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C:\Users\Sam\UBC_MDS_Term_1\w2020-data599-capstone-projects-mnp-digital\ATST Project - April 1 2021\DataSets\"/>
    </mc:Choice>
  </mc:AlternateContent>
  <xr:revisionPtr revIDLastSave="0" documentId="13_ncr:1_{8DDD1CD4-68BA-4C0D-B8A7-029CEFEBF09C}" xr6:coauthVersionLast="47" xr6:coauthVersionMax="47" xr10:uidLastSave="{00000000-0000-0000-0000-000000000000}"/>
  <bookViews>
    <workbookView xWindow="1092" yWindow="516" windowWidth="20412" windowHeight="6060" tabRatio="331" xr2:uid="{0788A653-3EF2-41FA-A3B4-B0838871322C}"/>
  </bookViews>
  <sheets>
    <sheet name="Combined" sheetId="4" r:id="rId1"/>
    <sheet name="ServiceTickets" sheetId="1" r:id="rId2"/>
    <sheet name="Classifications" sheetId="2" r:id="rId3"/>
  </sheets>
  <externalReferences>
    <externalReference r:id="rId4"/>
    <externalReference r:id="rId5"/>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3" i="4" l="1"/>
  <c r="H4" i="4"/>
  <c r="H5" i="4"/>
  <c r="H6" i="4"/>
  <c r="H7" i="4"/>
  <c r="H8" i="4"/>
  <c r="H9" i="4"/>
  <c r="H10" i="4"/>
  <c r="H11" i="4"/>
  <c r="H12" i="4"/>
  <c r="H13" i="4"/>
  <c r="H14" i="4"/>
  <c r="H15" i="4"/>
  <c r="H16" i="4"/>
  <c r="H17" i="4"/>
  <c r="H18" i="4"/>
  <c r="H19" i="4"/>
  <c r="H20" i="4"/>
  <c r="H21" i="4"/>
  <c r="H22" i="4"/>
  <c r="H23" i="4"/>
  <c r="H24" i="4"/>
  <c r="H25" i="4"/>
  <c r="H26" i="4"/>
  <c r="H27" i="4"/>
  <c r="H28" i="4"/>
  <c r="H29" i="4"/>
  <c r="H30" i="4"/>
  <c r="H31" i="4"/>
  <c r="H32" i="4"/>
  <c r="H33" i="4"/>
  <c r="H34" i="4"/>
  <c r="H35" i="4"/>
  <c r="H36" i="4"/>
  <c r="H37" i="4"/>
  <c r="H38" i="4"/>
  <c r="H39" i="4"/>
  <c r="H40" i="4"/>
  <c r="H41" i="4"/>
  <c r="H42" i="4"/>
  <c r="H43" i="4"/>
  <c r="H44" i="4"/>
  <c r="H45" i="4"/>
  <c r="H46" i="4"/>
  <c r="H47" i="4"/>
  <c r="H48" i="4"/>
  <c r="H49" i="4"/>
  <c r="H50" i="4"/>
  <c r="H51" i="4"/>
  <c r="H52" i="4"/>
  <c r="H53" i="4"/>
  <c r="H54" i="4"/>
  <c r="H55" i="4"/>
  <c r="H56" i="4"/>
  <c r="H57" i="4"/>
  <c r="H58" i="4"/>
  <c r="H59" i="4"/>
  <c r="H60" i="4"/>
  <c r="H61" i="4"/>
  <c r="H62" i="4"/>
  <c r="H63" i="4"/>
  <c r="H64" i="4"/>
  <c r="H65" i="4"/>
  <c r="H66" i="4"/>
  <c r="H67" i="4"/>
  <c r="H68" i="4"/>
  <c r="H69" i="4"/>
  <c r="H70" i="4"/>
  <c r="H71" i="4"/>
  <c r="H72" i="4"/>
  <c r="H73" i="4"/>
  <c r="H74" i="4"/>
  <c r="H75" i="4"/>
  <c r="H76" i="4"/>
  <c r="H77" i="4"/>
  <c r="H78" i="4"/>
  <c r="H79" i="4"/>
  <c r="H80" i="4"/>
  <c r="H81" i="4"/>
  <c r="H82" i="4"/>
  <c r="H83" i="4"/>
  <c r="H84" i="4"/>
  <c r="H85" i="4"/>
  <c r="H86" i="4"/>
  <c r="H87" i="4"/>
  <c r="H88" i="4"/>
  <c r="H89" i="4"/>
  <c r="H90" i="4"/>
  <c r="H91" i="4"/>
  <c r="H92" i="4"/>
  <c r="H93" i="4"/>
  <c r="H94" i="4"/>
  <c r="H95" i="4"/>
  <c r="H96" i="4"/>
  <c r="H97" i="4"/>
  <c r="H98" i="4"/>
  <c r="H99" i="4"/>
  <c r="H100" i="4"/>
  <c r="H101" i="4"/>
  <c r="H102" i="4"/>
  <c r="H103" i="4"/>
  <c r="H104" i="4"/>
  <c r="H105" i="4"/>
  <c r="H106" i="4"/>
  <c r="H107" i="4"/>
  <c r="H108" i="4"/>
  <c r="H109" i="4"/>
  <c r="H110" i="4"/>
  <c r="H111" i="4"/>
  <c r="H112" i="4"/>
  <c r="H113" i="4"/>
  <c r="H114" i="4"/>
  <c r="H115" i="4"/>
  <c r="H116" i="4"/>
  <c r="H117" i="4"/>
  <c r="H118" i="4"/>
  <c r="H119" i="4"/>
  <c r="H120" i="4"/>
  <c r="H121" i="4"/>
  <c r="H122" i="4"/>
  <c r="H123" i="4"/>
  <c r="H124" i="4"/>
  <c r="H125" i="4"/>
  <c r="H126" i="4"/>
  <c r="H127" i="4"/>
  <c r="H128" i="4"/>
  <c r="H129" i="4"/>
  <c r="H130" i="4"/>
  <c r="H131" i="4"/>
  <c r="H132" i="4"/>
  <c r="H133" i="4"/>
  <c r="H134" i="4"/>
  <c r="H135" i="4"/>
  <c r="H136" i="4"/>
  <c r="H137" i="4"/>
  <c r="H138" i="4"/>
  <c r="H139" i="4"/>
  <c r="H140" i="4"/>
  <c r="H141" i="4"/>
  <c r="H142" i="4"/>
  <c r="H143" i="4"/>
  <c r="H144" i="4"/>
  <c r="H145" i="4"/>
  <c r="H146" i="4"/>
  <c r="H147" i="4"/>
  <c r="H148" i="4"/>
  <c r="H149" i="4"/>
  <c r="H150" i="4"/>
  <c r="H151" i="4"/>
  <c r="H152" i="4"/>
  <c r="H153" i="4"/>
  <c r="H154" i="4"/>
  <c r="H155" i="4"/>
  <c r="H156" i="4"/>
  <c r="H157" i="4"/>
  <c r="H158" i="4"/>
  <c r="H159" i="4"/>
  <c r="H160" i="4"/>
  <c r="H161" i="4"/>
  <c r="H162" i="4"/>
  <c r="H163" i="4"/>
  <c r="H164" i="4"/>
  <c r="H165" i="4"/>
  <c r="H166" i="4"/>
  <c r="H167" i="4"/>
  <c r="H168" i="4"/>
  <c r="H169" i="4"/>
  <c r="H170" i="4"/>
  <c r="H171" i="4"/>
  <c r="H172" i="4"/>
  <c r="H173" i="4"/>
  <c r="H174" i="4"/>
  <c r="H175" i="4"/>
  <c r="H176" i="4"/>
  <c r="H177" i="4"/>
  <c r="H178" i="4"/>
  <c r="H179" i="4"/>
  <c r="H180" i="4"/>
  <c r="H181" i="4"/>
  <c r="H182" i="4"/>
  <c r="H183" i="4"/>
  <c r="H184" i="4"/>
  <c r="H185" i="4"/>
  <c r="H186" i="4"/>
  <c r="H187" i="4"/>
  <c r="H188" i="4"/>
  <c r="H189" i="4"/>
  <c r="H190" i="4"/>
  <c r="H191" i="4"/>
  <c r="H192" i="4"/>
  <c r="H193" i="4"/>
  <c r="H194" i="4"/>
  <c r="H195" i="4"/>
  <c r="H196" i="4"/>
  <c r="H197" i="4"/>
  <c r="H198" i="4"/>
  <c r="H199" i="4"/>
  <c r="H200" i="4"/>
  <c r="H201" i="4"/>
  <c r="H202" i="4"/>
  <c r="H203" i="4"/>
  <c r="H204" i="4"/>
  <c r="H205" i="4"/>
  <c r="H206" i="4"/>
  <c r="H207" i="4"/>
  <c r="H208" i="4"/>
  <c r="H209" i="4"/>
  <c r="H210" i="4"/>
  <c r="H211" i="4"/>
  <c r="H212" i="4"/>
  <c r="H213" i="4"/>
  <c r="H214" i="4"/>
  <c r="H215" i="4"/>
  <c r="H216" i="4"/>
  <c r="H217" i="4"/>
  <c r="H218" i="4"/>
  <c r="H219" i="4"/>
  <c r="H220" i="4"/>
  <c r="H221" i="4"/>
  <c r="H222" i="4"/>
  <c r="H223" i="4"/>
  <c r="H224" i="4"/>
  <c r="H225" i="4"/>
  <c r="H226" i="4"/>
  <c r="H227" i="4"/>
  <c r="H228" i="4"/>
  <c r="H229" i="4"/>
  <c r="H230" i="4"/>
  <c r="H231" i="4"/>
  <c r="H232" i="4"/>
  <c r="H233" i="4"/>
  <c r="H234" i="4"/>
  <c r="H235" i="4"/>
  <c r="H236" i="4"/>
  <c r="H237" i="4"/>
  <c r="H238" i="4"/>
  <c r="H239" i="4"/>
  <c r="H240" i="4"/>
  <c r="H241" i="4"/>
  <c r="H242" i="4"/>
  <c r="H243" i="4"/>
  <c r="H244" i="4"/>
  <c r="H245" i="4"/>
  <c r="H246" i="4"/>
  <c r="H247" i="4"/>
  <c r="H248" i="4"/>
  <c r="H249" i="4"/>
  <c r="H250" i="4"/>
  <c r="H251" i="4"/>
  <c r="H252" i="4"/>
  <c r="H253" i="4"/>
  <c r="H254" i="4"/>
  <c r="H255" i="4"/>
  <c r="H256" i="4"/>
  <c r="H257" i="4"/>
  <c r="H258" i="4"/>
  <c r="H259" i="4"/>
  <c r="H260" i="4"/>
  <c r="H261" i="4"/>
  <c r="H262" i="4"/>
  <c r="H263" i="4"/>
  <c r="H264" i="4"/>
  <c r="H265" i="4"/>
  <c r="H266" i="4"/>
  <c r="H267" i="4"/>
  <c r="H268" i="4"/>
  <c r="H269" i="4"/>
  <c r="H270" i="4"/>
  <c r="H271" i="4"/>
  <c r="H272" i="4"/>
  <c r="H273" i="4"/>
  <c r="H274" i="4"/>
  <c r="H275" i="4"/>
  <c r="H276" i="4"/>
  <c r="H277" i="4"/>
  <c r="H278" i="4"/>
  <c r="H279" i="4"/>
  <c r="H280" i="4"/>
  <c r="H281" i="4"/>
  <c r="H282" i="4"/>
  <c r="H283" i="4"/>
  <c r="H284" i="4"/>
  <c r="H285" i="4"/>
  <c r="H286" i="4"/>
  <c r="H287" i="4"/>
  <c r="H288" i="4"/>
  <c r="H289" i="4"/>
  <c r="H290" i="4"/>
  <c r="H291" i="4"/>
  <c r="H292" i="4"/>
  <c r="H293" i="4"/>
  <c r="H294" i="4"/>
  <c r="H295" i="4"/>
  <c r="H296" i="4"/>
  <c r="H297" i="4"/>
  <c r="H298" i="4"/>
  <c r="H299" i="4"/>
  <c r="H300" i="4"/>
  <c r="H301" i="4"/>
  <c r="H302" i="4"/>
  <c r="H303" i="4"/>
  <c r="H304" i="4"/>
  <c r="H305" i="4"/>
  <c r="H306" i="4"/>
  <c r="H307" i="4"/>
  <c r="H308" i="4"/>
  <c r="H309" i="4"/>
  <c r="H310" i="4"/>
  <c r="H311" i="4"/>
  <c r="H312" i="4"/>
  <c r="H313" i="4"/>
  <c r="H314" i="4"/>
  <c r="H315" i="4"/>
  <c r="H316" i="4"/>
  <c r="H317" i="4"/>
  <c r="H318" i="4"/>
  <c r="H319" i="4"/>
  <c r="H320" i="4"/>
  <c r="H321" i="4"/>
  <c r="H322" i="4"/>
  <c r="H323" i="4"/>
  <c r="H324" i="4"/>
  <c r="H325" i="4"/>
  <c r="H326" i="4"/>
  <c r="H327" i="4"/>
  <c r="H328" i="4"/>
  <c r="H329" i="4"/>
  <c r="H330" i="4"/>
  <c r="H331" i="4"/>
  <c r="H332" i="4"/>
  <c r="H333" i="4"/>
  <c r="H334" i="4"/>
  <c r="H335" i="4"/>
  <c r="H336" i="4"/>
  <c r="H337" i="4"/>
  <c r="H338" i="4"/>
  <c r="H339" i="4"/>
  <c r="H340" i="4"/>
  <c r="H341" i="4"/>
  <c r="H342" i="4"/>
  <c r="H343" i="4"/>
  <c r="H344" i="4"/>
  <c r="H345" i="4"/>
  <c r="H346" i="4"/>
  <c r="H347" i="4"/>
  <c r="H348" i="4"/>
  <c r="H349" i="4"/>
  <c r="H350" i="4"/>
  <c r="H351" i="4"/>
  <c r="H352" i="4"/>
  <c r="H353" i="4"/>
  <c r="H354" i="4"/>
  <c r="H355" i="4"/>
  <c r="H356" i="4"/>
  <c r="H357" i="4"/>
  <c r="H358" i="4"/>
  <c r="H359" i="4"/>
  <c r="H360" i="4"/>
  <c r="H361" i="4"/>
  <c r="H362" i="4"/>
  <c r="H363" i="4"/>
  <c r="H364" i="4"/>
  <c r="H365" i="4"/>
  <c r="H366" i="4"/>
  <c r="H367" i="4"/>
  <c r="H368" i="4"/>
  <c r="H369" i="4"/>
  <c r="H370" i="4"/>
  <c r="H371" i="4"/>
  <c r="H372" i="4"/>
  <c r="H373" i="4"/>
  <c r="H374" i="4"/>
  <c r="H375" i="4"/>
  <c r="H376" i="4"/>
  <c r="H377" i="4"/>
  <c r="H378" i="4"/>
  <c r="H379" i="4"/>
  <c r="H380" i="4"/>
  <c r="H381" i="4"/>
  <c r="H382" i="4"/>
  <c r="H383" i="4"/>
  <c r="H384" i="4"/>
  <c r="H385" i="4"/>
  <c r="H386" i="4"/>
  <c r="H387" i="4"/>
  <c r="H388" i="4"/>
  <c r="H389" i="4"/>
  <c r="H390" i="4"/>
  <c r="H391" i="4"/>
  <c r="H392" i="4"/>
  <c r="H393" i="4"/>
  <c r="H394" i="4"/>
  <c r="H395" i="4"/>
  <c r="H396" i="4"/>
  <c r="H397" i="4"/>
  <c r="H398" i="4"/>
  <c r="H399" i="4"/>
  <c r="H400" i="4"/>
  <c r="H401" i="4"/>
  <c r="H402" i="4"/>
  <c r="H403" i="4"/>
  <c r="H404" i="4"/>
  <c r="H405" i="4"/>
  <c r="H406" i="4"/>
  <c r="H407" i="4"/>
  <c r="H408" i="4"/>
  <c r="H409" i="4"/>
  <c r="H410" i="4"/>
  <c r="H411" i="4"/>
  <c r="H412" i="4"/>
  <c r="H413" i="4"/>
  <c r="H414" i="4"/>
  <c r="H415" i="4"/>
  <c r="H416" i="4"/>
  <c r="H417" i="4"/>
  <c r="H418" i="4"/>
  <c r="H419" i="4"/>
  <c r="H420" i="4"/>
  <c r="H421" i="4"/>
  <c r="H422" i="4"/>
  <c r="H423" i="4"/>
  <c r="H424" i="4"/>
  <c r="H425" i="4"/>
  <c r="H426" i="4"/>
  <c r="H427" i="4"/>
  <c r="H428" i="4"/>
  <c r="H429" i="4"/>
  <c r="H430" i="4"/>
  <c r="H431" i="4"/>
  <c r="H432" i="4"/>
  <c r="H433" i="4"/>
  <c r="H434" i="4"/>
  <c r="H435" i="4"/>
  <c r="H436" i="4"/>
  <c r="H437" i="4"/>
  <c r="H438" i="4"/>
  <c r="H439" i="4"/>
  <c r="H440" i="4"/>
  <c r="H441" i="4"/>
  <c r="H442" i="4"/>
  <c r="H443" i="4"/>
  <c r="H444" i="4"/>
  <c r="H445" i="4"/>
  <c r="H446" i="4"/>
  <c r="H447" i="4"/>
  <c r="H448" i="4"/>
  <c r="H449" i="4"/>
  <c r="H450" i="4"/>
  <c r="H451" i="4"/>
  <c r="H452" i="4"/>
  <c r="H453" i="4"/>
  <c r="H454" i="4"/>
  <c r="H455" i="4"/>
  <c r="H456" i="4"/>
  <c r="H457" i="4"/>
  <c r="H458" i="4"/>
  <c r="H459" i="4"/>
  <c r="H460" i="4"/>
  <c r="H461" i="4"/>
  <c r="H462" i="4"/>
  <c r="H463" i="4"/>
  <c r="H464" i="4"/>
  <c r="H465" i="4"/>
  <c r="H466" i="4"/>
  <c r="H467" i="4"/>
  <c r="H468" i="4"/>
  <c r="H469" i="4"/>
  <c r="H470" i="4"/>
  <c r="H471" i="4"/>
  <c r="H472" i="4"/>
  <c r="H473" i="4"/>
  <c r="H474" i="4"/>
  <c r="H475" i="4"/>
  <c r="H476" i="4"/>
  <c r="H477" i="4"/>
  <c r="H478" i="4"/>
  <c r="H479" i="4"/>
  <c r="H480" i="4"/>
  <c r="H481" i="4"/>
  <c r="H482" i="4"/>
  <c r="H483" i="4"/>
  <c r="H484" i="4"/>
  <c r="H485" i="4"/>
  <c r="H486" i="4"/>
  <c r="H487" i="4"/>
  <c r="H488" i="4"/>
  <c r="H489" i="4"/>
  <c r="H490" i="4"/>
  <c r="H491" i="4"/>
  <c r="H492" i="4"/>
  <c r="H493" i="4"/>
  <c r="H494" i="4"/>
  <c r="H495" i="4"/>
  <c r="H496" i="4"/>
  <c r="H497" i="4"/>
  <c r="H498" i="4"/>
  <c r="H499" i="4"/>
  <c r="H500" i="4"/>
  <c r="H501" i="4"/>
  <c r="H502" i="4"/>
  <c r="H503" i="4"/>
  <c r="H504" i="4"/>
  <c r="H505" i="4"/>
  <c r="H506" i="4"/>
  <c r="H507" i="4"/>
  <c r="H508" i="4"/>
  <c r="H509" i="4"/>
  <c r="H510" i="4"/>
  <c r="H511" i="4"/>
  <c r="H512" i="4"/>
  <c r="H513" i="4"/>
  <c r="H514" i="4"/>
  <c r="H515" i="4"/>
  <c r="H516" i="4"/>
  <c r="H517" i="4"/>
  <c r="H518" i="4"/>
  <c r="H519" i="4"/>
  <c r="H520" i="4"/>
  <c r="H521" i="4"/>
  <c r="H522" i="4"/>
  <c r="H523" i="4"/>
  <c r="H524" i="4"/>
  <c r="H525" i="4"/>
  <c r="H526" i="4"/>
  <c r="H527" i="4"/>
  <c r="H528" i="4"/>
  <c r="H529" i="4"/>
  <c r="H530" i="4"/>
  <c r="H531" i="4"/>
  <c r="H532" i="4"/>
  <c r="H533" i="4"/>
  <c r="H534" i="4"/>
  <c r="H535" i="4"/>
  <c r="H536" i="4"/>
  <c r="H537" i="4"/>
  <c r="H538" i="4"/>
  <c r="H539" i="4"/>
  <c r="H540" i="4"/>
  <c r="H541" i="4"/>
  <c r="H542" i="4"/>
  <c r="H543" i="4"/>
  <c r="H544" i="4"/>
  <c r="H545" i="4"/>
  <c r="H546" i="4"/>
  <c r="H547" i="4"/>
  <c r="H548" i="4"/>
  <c r="H549" i="4"/>
  <c r="H550" i="4"/>
  <c r="H551" i="4"/>
  <c r="H552" i="4"/>
  <c r="H553" i="4"/>
  <c r="H554" i="4"/>
  <c r="H555" i="4"/>
  <c r="H556" i="4"/>
  <c r="H557" i="4"/>
  <c r="H558" i="4"/>
  <c r="H559" i="4"/>
  <c r="H560" i="4"/>
  <c r="H561" i="4"/>
  <c r="H562" i="4"/>
  <c r="H563" i="4"/>
  <c r="H564" i="4"/>
  <c r="H565" i="4"/>
  <c r="H566" i="4"/>
  <c r="H567" i="4"/>
  <c r="H568" i="4"/>
  <c r="H569" i="4"/>
  <c r="H570" i="4"/>
  <c r="H571" i="4"/>
  <c r="H572" i="4"/>
  <c r="H573" i="4"/>
  <c r="H574" i="4"/>
  <c r="H575" i="4"/>
  <c r="H576" i="4"/>
  <c r="H577" i="4"/>
  <c r="H578" i="4"/>
  <c r="H579" i="4"/>
  <c r="H580" i="4"/>
  <c r="H581" i="4"/>
  <c r="H582" i="4"/>
  <c r="H583" i="4"/>
  <c r="H584" i="4"/>
  <c r="H585" i="4"/>
  <c r="H586" i="4"/>
  <c r="H587" i="4"/>
  <c r="H588" i="4"/>
  <c r="H589" i="4"/>
  <c r="H590" i="4"/>
  <c r="H591" i="4"/>
  <c r="H592" i="4"/>
  <c r="H593" i="4"/>
  <c r="H594" i="4"/>
  <c r="H595" i="4"/>
  <c r="H596" i="4"/>
  <c r="H597" i="4"/>
  <c r="H598" i="4"/>
  <c r="H599" i="4"/>
  <c r="H600" i="4"/>
  <c r="H601" i="4"/>
  <c r="H602" i="4"/>
  <c r="H603" i="4"/>
  <c r="H604" i="4"/>
  <c r="H605" i="4"/>
  <c r="H606" i="4"/>
  <c r="H607" i="4"/>
  <c r="H608" i="4"/>
  <c r="H609" i="4"/>
  <c r="H610" i="4"/>
  <c r="H611" i="4"/>
  <c r="H612" i="4"/>
  <c r="H613" i="4"/>
  <c r="H614" i="4"/>
  <c r="H615" i="4"/>
  <c r="H616" i="4"/>
  <c r="H617" i="4"/>
  <c r="H618" i="4"/>
  <c r="H619" i="4"/>
  <c r="H620" i="4"/>
  <c r="H621" i="4"/>
  <c r="H622" i="4"/>
  <c r="H623" i="4"/>
  <c r="H624" i="4"/>
  <c r="H625" i="4"/>
  <c r="H626" i="4"/>
  <c r="H627" i="4"/>
  <c r="H628" i="4"/>
  <c r="H629" i="4"/>
  <c r="H630" i="4"/>
  <c r="H631" i="4"/>
  <c r="H632" i="4"/>
  <c r="H633" i="4"/>
  <c r="H634" i="4"/>
  <c r="H635" i="4"/>
  <c r="H636" i="4"/>
  <c r="H637" i="4"/>
  <c r="H638" i="4"/>
  <c r="H639" i="4"/>
  <c r="H640" i="4"/>
  <c r="H641" i="4"/>
  <c r="H642" i="4"/>
  <c r="H643" i="4"/>
  <c r="H644" i="4"/>
  <c r="H645" i="4"/>
  <c r="H646" i="4"/>
  <c r="H647" i="4"/>
  <c r="H648" i="4"/>
  <c r="H649" i="4"/>
  <c r="H650" i="4"/>
  <c r="H651" i="4"/>
  <c r="H652" i="4"/>
  <c r="H653" i="4"/>
  <c r="H654" i="4"/>
  <c r="H655" i="4"/>
  <c r="H656" i="4"/>
  <c r="H657" i="4"/>
  <c r="H658" i="4"/>
  <c r="H659" i="4"/>
  <c r="H660" i="4"/>
  <c r="H661" i="4"/>
  <c r="H662" i="4"/>
  <c r="H663" i="4"/>
  <c r="H664" i="4"/>
  <c r="H665" i="4"/>
  <c r="H666" i="4"/>
  <c r="H667" i="4"/>
  <c r="H668" i="4"/>
  <c r="H669" i="4"/>
  <c r="H670" i="4"/>
  <c r="H671" i="4"/>
  <c r="H672" i="4"/>
  <c r="H673" i="4"/>
  <c r="H674" i="4"/>
  <c r="H675" i="4"/>
  <c r="H676" i="4"/>
  <c r="H677" i="4"/>
  <c r="H678" i="4"/>
  <c r="H679" i="4"/>
  <c r="H680" i="4"/>
  <c r="H681" i="4"/>
  <c r="H682" i="4"/>
  <c r="H683" i="4"/>
  <c r="H684" i="4"/>
  <c r="H685" i="4"/>
  <c r="H686" i="4"/>
  <c r="H687" i="4"/>
  <c r="H688" i="4"/>
  <c r="H689" i="4"/>
  <c r="H690" i="4"/>
  <c r="H691" i="4"/>
  <c r="H692" i="4"/>
  <c r="H693" i="4"/>
  <c r="H694" i="4"/>
  <c r="H695" i="4"/>
  <c r="H696" i="4"/>
  <c r="H697" i="4"/>
  <c r="H698" i="4"/>
  <c r="H699" i="4"/>
  <c r="H700" i="4"/>
  <c r="H701" i="4"/>
  <c r="H702" i="4"/>
  <c r="H703" i="4"/>
  <c r="H704" i="4"/>
  <c r="H705" i="4"/>
  <c r="H706" i="4"/>
  <c r="H707" i="4"/>
  <c r="H708" i="4"/>
  <c r="H709" i="4"/>
  <c r="H710" i="4"/>
  <c r="H711" i="4"/>
  <c r="H712" i="4"/>
  <c r="H713" i="4"/>
  <c r="H714" i="4"/>
  <c r="H715" i="4"/>
  <c r="H716" i="4"/>
  <c r="H717" i="4"/>
  <c r="H718" i="4"/>
  <c r="H719" i="4"/>
  <c r="H720" i="4"/>
  <c r="H721" i="4"/>
  <c r="H722" i="4"/>
  <c r="H723" i="4"/>
  <c r="H724" i="4"/>
  <c r="H725" i="4"/>
  <c r="H726" i="4"/>
  <c r="H727" i="4"/>
  <c r="H728" i="4"/>
  <c r="H729" i="4"/>
  <c r="H730" i="4"/>
  <c r="H731" i="4"/>
  <c r="H732" i="4"/>
  <c r="H733" i="4"/>
  <c r="H734" i="4"/>
  <c r="H735" i="4"/>
  <c r="H736" i="4"/>
  <c r="H737" i="4"/>
  <c r="H738" i="4"/>
  <c r="H739" i="4"/>
  <c r="H740" i="4"/>
  <c r="H741" i="4"/>
  <c r="H742" i="4"/>
  <c r="H743" i="4"/>
  <c r="H744" i="4"/>
  <c r="H745" i="4"/>
  <c r="H746" i="4"/>
  <c r="H747" i="4"/>
  <c r="H748" i="4"/>
  <c r="H749" i="4"/>
  <c r="H750" i="4"/>
  <c r="H751" i="4"/>
  <c r="H752" i="4"/>
  <c r="H753" i="4"/>
  <c r="H754" i="4"/>
  <c r="H755" i="4"/>
  <c r="H756" i="4"/>
  <c r="H757" i="4"/>
  <c r="H758" i="4"/>
  <c r="H759" i="4"/>
  <c r="H760" i="4"/>
  <c r="H761" i="4"/>
  <c r="H762" i="4"/>
  <c r="H763" i="4"/>
  <c r="H764" i="4"/>
  <c r="H765" i="4"/>
  <c r="H766" i="4"/>
  <c r="H767" i="4"/>
  <c r="H768" i="4"/>
  <c r="H769" i="4"/>
  <c r="H770" i="4"/>
  <c r="H771" i="4"/>
  <c r="H772" i="4"/>
  <c r="H773" i="4"/>
  <c r="H774" i="4"/>
  <c r="H775" i="4"/>
  <c r="H776" i="4"/>
  <c r="H777" i="4"/>
  <c r="H778" i="4"/>
  <c r="H779" i="4"/>
  <c r="H780" i="4"/>
  <c r="H781" i="4"/>
  <c r="H782" i="4"/>
  <c r="H783" i="4"/>
  <c r="H784" i="4"/>
  <c r="H785" i="4"/>
  <c r="H786" i="4"/>
  <c r="H787" i="4"/>
  <c r="H788" i="4"/>
  <c r="H789" i="4"/>
  <c r="H790" i="4"/>
  <c r="H791" i="4"/>
  <c r="H792" i="4"/>
  <c r="H793" i="4"/>
  <c r="H794" i="4"/>
  <c r="H795" i="4"/>
  <c r="H796" i="4"/>
  <c r="H797" i="4"/>
  <c r="H798" i="4"/>
  <c r="H799" i="4"/>
  <c r="H800" i="4"/>
  <c r="H801" i="4"/>
  <c r="H802" i="4"/>
  <c r="H803" i="4"/>
  <c r="H804" i="4"/>
  <c r="H805" i="4"/>
  <c r="H806" i="4"/>
  <c r="H807" i="4"/>
  <c r="H808" i="4"/>
  <c r="H809" i="4"/>
  <c r="H810" i="4"/>
  <c r="H811" i="4"/>
  <c r="H812" i="4"/>
  <c r="H813" i="4"/>
  <c r="H814" i="4"/>
  <c r="H815" i="4"/>
  <c r="H816" i="4"/>
  <c r="H817" i="4"/>
  <c r="H818" i="4"/>
  <c r="H819" i="4"/>
  <c r="H820" i="4"/>
  <c r="H821" i="4"/>
  <c r="H822" i="4"/>
  <c r="H823" i="4"/>
  <c r="H824" i="4"/>
  <c r="H825" i="4"/>
  <c r="H826" i="4"/>
  <c r="H827" i="4"/>
  <c r="H828" i="4"/>
  <c r="H829" i="4"/>
  <c r="H830" i="4"/>
  <c r="H831" i="4"/>
  <c r="H832" i="4"/>
  <c r="H833" i="4"/>
  <c r="H834" i="4"/>
  <c r="H835" i="4"/>
  <c r="H836" i="4"/>
  <c r="H837" i="4"/>
  <c r="H838" i="4"/>
  <c r="H839" i="4"/>
  <c r="H840" i="4"/>
  <c r="H841" i="4"/>
  <c r="H842" i="4"/>
  <c r="H843" i="4"/>
  <c r="H844" i="4"/>
  <c r="H845" i="4"/>
  <c r="H846" i="4"/>
  <c r="H847" i="4"/>
  <c r="H848" i="4"/>
  <c r="H849" i="4"/>
  <c r="H850" i="4"/>
  <c r="H851" i="4"/>
  <c r="H852" i="4"/>
  <c r="H853" i="4"/>
  <c r="H854" i="4"/>
  <c r="H855" i="4"/>
  <c r="H856" i="4"/>
  <c r="H857" i="4"/>
  <c r="H858" i="4"/>
  <c r="H859" i="4"/>
  <c r="H860" i="4"/>
  <c r="H861" i="4"/>
  <c r="H862" i="4"/>
  <c r="H863" i="4"/>
  <c r="H864" i="4"/>
  <c r="H865" i="4"/>
  <c r="H866" i="4"/>
  <c r="H867" i="4"/>
  <c r="H868" i="4"/>
  <c r="H869" i="4"/>
  <c r="H870" i="4"/>
  <c r="H871" i="4"/>
  <c r="H872" i="4"/>
  <c r="H873" i="4"/>
  <c r="H874" i="4"/>
  <c r="H875" i="4"/>
  <c r="H876" i="4"/>
  <c r="H877" i="4"/>
  <c r="H878" i="4"/>
  <c r="H879" i="4"/>
  <c r="H880" i="4"/>
  <c r="H881" i="4"/>
  <c r="H882" i="4"/>
  <c r="H883" i="4"/>
  <c r="H884" i="4"/>
  <c r="H885" i="4"/>
  <c r="H886" i="4"/>
  <c r="H887" i="4"/>
  <c r="H888" i="4"/>
  <c r="H889" i="4"/>
  <c r="H890" i="4"/>
  <c r="H891" i="4"/>
  <c r="H892" i="4"/>
  <c r="H893" i="4"/>
  <c r="H894" i="4"/>
  <c r="H895" i="4"/>
  <c r="H896" i="4"/>
  <c r="H897" i="4"/>
  <c r="H898" i="4"/>
  <c r="H899" i="4"/>
  <c r="H900" i="4"/>
  <c r="H901" i="4"/>
  <c r="H902" i="4"/>
  <c r="H903" i="4"/>
  <c r="H904" i="4"/>
  <c r="H905" i="4"/>
  <c r="H906" i="4"/>
  <c r="H907" i="4"/>
  <c r="H908" i="4"/>
  <c r="H909" i="4"/>
  <c r="H910" i="4"/>
  <c r="H911" i="4"/>
  <c r="H912" i="4"/>
  <c r="H913" i="4"/>
  <c r="H914" i="4"/>
  <c r="H915" i="4"/>
  <c r="H916" i="4"/>
  <c r="H917" i="4"/>
  <c r="H918" i="4"/>
  <c r="H919" i="4"/>
  <c r="H920" i="4"/>
  <c r="H921" i="4"/>
  <c r="H922" i="4"/>
  <c r="H923" i="4"/>
  <c r="H924" i="4"/>
  <c r="H925" i="4"/>
  <c r="H926" i="4"/>
  <c r="H927" i="4"/>
  <c r="H928" i="4"/>
  <c r="H929" i="4"/>
  <c r="H930" i="4"/>
  <c r="H931" i="4"/>
  <c r="H932" i="4"/>
  <c r="H933" i="4"/>
  <c r="H934" i="4"/>
  <c r="H935" i="4"/>
  <c r="H936" i="4"/>
  <c r="H937" i="4"/>
  <c r="H938" i="4"/>
  <c r="H939" i="4"/>
  <c r="H940" i="4"/>
  <c r="H941" i="4"/>
  <c r="H942" i="4"/>
  <c r="H943" i="4"/>
  <c r="H944" i="4"/>
  <c r="H945" i="4"/>
  <c r="H946" i="4"/>
  <c r="H947" i="4"/>
  <c r="H948" i="4"/>
  <c r="H949" i="4"/>
  <c r="H950" i="4"/>
  <c r="H951" i="4"/>
  <c r="H952" i="4"/>
  <c r="H953" i="4"/>
  <c r="H954" i="4"/>
  <c r="H955" i="4"/>
  <c r="H956" i="4"/>
  <c r="H957" i="4"/>
  <c r="H958" i="4"/>
  <c r="H959" i="4"/>
  <c r="H960" i="4"/>
  <c r="H961" i="4"/>
  <c r="H962" i="4"/>
  <c r="H963" i="4"/>
  <c r="H964" i="4"/>
  <c r="H965" i="4"/>
  <c r="H966" i="4"/>
  <c r="H967" i="4"/>
  <c r="H968" i="4"/>
  <c r="H969" i="4"/>
  <c r="H970" i="4"/>
  <c r="H971" i="4"/>
  <c r="H972" i="4"/>
  <c r="H973" i="4"/>
  <c r="H974" i="4"/>
  <c r="H975" i="4"/>
  <c r="H976" i="4"/>
  <c r="H977" i="4"/>
  <c r="H978" i="4"/>
  <c r="H979" i="4"/>
  <c r="H980" i="4"/>
  <c r="H981" i="4"/>
  <c r="H982" i="4"/>
  <c r="H983" i="4"/>
  <c r="H984" i="4"/>
  <c r="H985" i="4"/>
  <c r="H986" i="4"/>
  <c r="H987" i="4"/>
  <c r="H988" i="4"/>
  <c r="H989" i="4"/>
  <c r="H990" i="4"/>
  <c r="H991" i="4"/>
  <c r="H992" i="4"/>
  <c r="H993" i="4"/>
  <c r="H994" i="4"/>
  <c r="H995" i="4"/>
  <c r="H996" i="4"/>
  <c r="H997" i="4"/>
  <c r="H998" i="4"/>
  <c r="H999" i="4"/>
  <c r="H1000" i="4"/>
  <c r="H1001" i="4"/>
  <c r="H1002" i="4"/>
  <c r="H1003" i="4"/>
  <c r="H1004" i="4"/>
  <c r="H1005" i="4"/>
  <c r="H1006" i="4"/>
  <c r="H1007" i="4"/>
  <c r="H1008" i="4"/>
  <c r="H1009" i="4"/>
  <c r="H1010" i="4"/>
  <c r="H1011" i="4"/>
  <c r="H1012" i="4"/>
  <c r="H1013" i="4"/>
  <c r="H1014" i="4"/>
  <c r="H1015" i="4"/>
  <c r="H1016" i="4"/>
  <c r="H1017" i="4"/>
  <c r="H1018" i="4"/>
  <c r="H1019" i="4"/>
  <c r="H1020" i="4"/>
  <c r="H1021" i="4"/>
  <c r="H1022" i="4"/>
  <c r="H1023" i="4"/>
  <c r="H1024" i="4"/>
  <c r="H1025" i="4"/>
  <c r="H1026" i="4"/>
  <c r="H1027" i="4"/>
  <c r="H1028" i="4"/>
  <c r="H1029" i="4"/>
  <c r="H1030" i="4"/>
  <c r="H1031" i="4"/>
  <c r="H1032" i="4"/>
  <c r="H1033" i="4"/>
  <c r="H1034" i="4"/>
  <c r="H1035" i="4"/>
  <c r="H1036" i="4"/>
  <c r="H1037" i="4"/>
  <c r="H1038" i="4"/>
  <c r="H1039" i="4"/>
  <c r="H1040" i="4"/>
  <c r="H1041" i="4"/>
  <c r="H1042" i="4"/>
  <c r="H1043" i="4"/>
  <c r="H1044" i="4"/>
  <c r="H1045" i="4"/>
  <c r="H1046" i="4"/>
  <c r="H1047" i="4"/>
  <c r="H1048" i="4"/>
  <c r="H1049" i="4"/>
  <c r="H1050" i="4"/>
  <c r="H1051" i="4"/>
  <c r="H1052" i="4"/>
  <c r="H1053" i="4"/>
  <c r="H1054" i="4"/>
  <c r="H1055" i="4"/>
  <c r="H1056" i="4"/>
  <c r="H1057" i="4"/>
  <c r="H1058" i="4"/>
  <c r="H1059" i="4"/>
  <c r="H1060" i="4"/>
  <c r="H1061" i="4"/>
  <c r="H1062" i="4"/>
  <c r="H1063" i="4"/>
  <c r="H1064" i="4"/>
  <c r="H1065" i="4"/>
  <c r="H1066" i="4"/>
  <c r="H1067" i="4"/>
  <c r="H1068" i="4"/>
  <c r="H1069" i="4"/>
  <c r="H1070" i="4"/>
  <c r="H1071" i="4"/>
  <c r="H1072" i="4"/>
  <c r="H1073" i="4"/>
  <c r="H1074" i="4"/>
  <c r="H1075" i="4"/>
  <c r="H1076" i="4"/>
  <c r="H1077" i="4"/>
  <c r="H1078" i="4"/>
  <c r="H1079" i="4"/>
  <c r="H1080" i="4"/>
  <c r="H1081" i="4"/>
  <c r="H1082" i="4"/>
  <c r="H1083" i="4"/>
  <c r="H1084" i="4"/>
  <c r="H1085" i="4"/>
  <c r="H1086" i="4"/>
  <c r="H1087" i="4"/>
  <c r="H1088" i="4"/>
  <c r="H1089" i="4"/>
  <c r="H1090" i="4"/>
  <c r="H1091" i="4"/>
  <c r="H1092" i="4"/>
  <c r="H1093" i="4"/>
  <c r="H1094" i="4"/>
  <c r="H1095" i="4"/>
  <c r="H1096" i="4"/>
  <c r="H1097" i="4"/>
  <c r="H1098" i="4"/>
  <c r="H1099" i="4"/>
  <c r="H1100" i="4"/>
  <c r="H1101" i="4"/>
  <c r="H1102" i="4"/>
  <c r="H1103" i="4"/>
  <c r="H1104" i="4"/>
  <c r="H1105" i="4"/>
  <c r="H1106" i="4"/>
  <c r="H1107" i="4"/>
  <c r="H1108" i="4"/>
  <c r="H1109" i="4"/>
  <c r="H1110" i="4"/>
  <c r="H1111" i="4"/>
  <c r="H1112" i="4"/>
  <c r="H1113" i="4"/>
  <c r="H1114" i="4"/>
  <c r="H1115" i="4"/>
  <c r="H1116" i="4"/>
  <c r="H1117" i="4"/>
  <c r="H1118" i="4"/>
  <c r="H1119" i="4"/>
  <c r="H1120" i="4"/>
  <c r="H1121" i="4"/>
  <c r="H1122" i="4"/>
  <c r="H1123" i="4"/>
  <c r="H1124" i="4"/>
  <c r="H1125" i="4"/>
  <c r="H1126" i="4"/>
  <c r="H1127" i="4"/>
  <c r="H1128" i="4"/>
  <c r="H1129" i="4"/>
  <c r="H1130" i="4"/>
  <c r="H1131" i="4"/>
  <c r="H1132" i="4"/>
  <c r="H1133" i="4"/>
  <c r="H1134" i="4"/>
  <c r="H1135" i="4"/>
  <c r="H1136" i="4"/>
  <c r="H1137" i="4"/>
  <c r="H1138" i="4"/>
  <c r="H1139" i="4"/>
  <c r="H1140" i="4"/>
  <c r="H1141" i="4"/>
  <c r="H1142" i="4"/>
  <c r="H1143" i="4"/>
  <c r="H1144" i="4"/>
  <c r="H1145" i="4"/>
  <c r="H1146" i="4"/>
  <c r="H1147" i="4"/>
  <c r="H1148" i="4"/>
  <c r="H1149" i="4"/>
  <c r="H1150" i="4"/>
  <c r="H1151" i="4"/>
  <c r="H1152" i="4"/>
  <c r="H1153" i="4"/>
  <c r="H1154" i="4"/>
  <c r="H1155" i="4"/>
  <c r="H1156" i="4"/>
  <c r="H1157" i="4"/>
  <c r="H1158" i="4"/>
  <c r="H1159" i="4"/>
  <c r="H1160" i="4"/>
  <c r="H1161" i="4"/>
  <c r="H1162" i="4"/>
  <c r="H1163" i="4"/>
  <c r="H1164" i="4"/>
  <c r="H1165" i="4"/>
  <c r="H1166" i="4"/>
  <c r="H1167" i="4"/>
  <c r="H1168" i="4"/>
  <c r="H1169" i="4"/>
  <c r="H1170" i="4"/>
  <c r="H1171" i="4"/>
  <c r="H1172" i="4"/>
  <c r="H1173" i="4"/>
  <c r="H1174" i="4"/>
  <c r="H1175" i="4"/>
  <c r="H1176" i="4"/>
  <c r="H1177" i="4"/>
  <c r="H1178" i="4"/>
  <c r="H1179" i="4"/>
  <c r="H1180" i="4"/>
  <c r="H1181" i="4"/>
  <c r="H1182" i="4"/>
  <c r="H1183" i="4"/>
  <c r="H1184" i="4"/>
  <c r="H1185" i="4"/>
  <c r="H1186" i="4"/>
  <c r="H1187" i="4"/>
  <c r="H1188" i="4"/>
  <c r="H1189" i="4"/>
  <c r="H1190" i="4"/>
  <c r="H1191" i="4"/>
  <c r="H1192" i="4"/>
  <c r="H1193" i="4"/>
  <c r="H1194" i="4"/>
  <c r="H1195" i="4"/>
  <c r="H1196" i="4"/>
  <c r="H1197" i="4"/>
  <c r="H1198" i="4"/>
  <c r="H1199" i="4"/>
  <c r="H1200" i="4"/>
  <c r="H1201" i="4"/>
  <c r="H1202" i="4"/>
  <c r="H1203" i="4"/>
  <c r="H1204" i="4"/>
  <c r="H1205" i="4"/>
  <c r="H1206" i="4"/>
  <c r="H1207" i="4"/>
  <c r="H1208" i="4"/>
  <c r="H1209" i="4"/>
  <c r="H1210" i="4"/>
  <c r="H1211" i="4"/>
  <c r="H1212" i="4"/>
  <c r="H1213" i="4"/>
  <c r="H1214" i="4"/>
  <c r="H1215" i="4"/>
  <c r="H1216" i="4"/>
  <c r="H1217" i="4"/>
  <c r="H1218" i="4"/>
  <c r="H1219" i="4"/>
  <c r="H1220" i="4"/>
  <c r="H1221" i="4"/>
  <c r="H1222" i="4"/>
  <c r="H1223" i="4"/>
  <c r="H1224" i="4"/>
  <c r="H1225" i="4"/>
  <c r="H1226" i="4"/>
  <c r="H1227" i="4"/>
  <c r="H1228" i="4"/>
  <c r="H1229" i="4"/>
  <c r="H1230" i="4"/>
  <c r="H1231" i="4"/>
  <c r="H1232" i="4"/>
  <c r="H1233" i="4"/>
  <c r="H1234" i="4"/>
  <c r="H1235" i="4"/>
  <c r="H1236" i="4"/>
  <c r="H1237" i="4"/>
  <c r="H1238" i="4"/>
  <c r="H1239" i="4"/>
  <c r="H1240" i="4"/>
  <c r="H1241" i="4"/>
  <c r="H1242" i="4"/>
  <c r="H1243" i="4"/>
  <c r="H1244" i="4"/>
  <c r="H1245" i="4"/>
  <c r="H1246" i="4"/>
  <c r="H1247" i="4"/>
  <c r="H1248" i="4"/>
  <c r="H1249" i="4"/>
  <c r="H1250" i="4"/>
  <c r="H1251" i="4"/>
  <c r="H1252" i="4"/>
  <c r="H1253" i="4"/>
  <c r="H1254" i="4"/>
  <c r="H1255" i="4"/>
  <c r="H1256" i="4"/>
  <c r="H1257" i="4"/>
  <c r="H1258" i="4"/>
  <c r="H1259" i="4"/>
  <c r="H1260" i="4"/>
  <c r="H1261" i="4"/>
  <c r="H1262" i="4"/>
  <c r="H1263" i="4"/>
  <c r="H1264" i="4"/>
  <c r="H1265" i="4"/>
  <c r="H1266" i="4"/>
  <c r="H1267" i="4"/>
  <c r="H1268" i="4"/>
  <c r="H1269" i="4"/>
  <c r="H1270" i="4"/>
  <c r="H1271" i="4"/>
  <c r="H1272" i="4"/>
  <c r="H1273" i="4"/>
  <c r="H1274" i="4"/>
  <c r="H1275" i="4"/>
  <c r="H1276" i="4"/>
  <c r="H1277" i="4"/>
  <c r="H1278" i="4"/>
  <c r="H1279" i="4"/>
  <c r="H1280" i="4"/>
  <c r="H1281" i="4"/>
  <c r="H1282" i="4"/>
  <c r="H1283" i="4"/>
  <c r="H1284" i="4"/>
  <c r="H1285" i="4"/>
  <c r="H1286" i="4"/>
  <c r="H1287" i="4"/>
  <c r="H1288" i="4"/>
  <c r="H1289" i="4"/>
  <c r="H1290" i="4"/>
  <c r="H1291" i="4"/>
  <c r="H1292" i="4"/>
  <c r="H1293" i="4"/>
  <c r="H1294" i="4"/>
  <c r="H1295" i="4"/>
  <c r="H1296" i="4"/>
  <c r="H1297" i="4"/>
  <c r="H1298" i="4"/>
  <c r="H1299" i="4"/>
  <c r="H1300" i="4"/>
  <c r="H1301" i="4"/>
  <c r="H1302" i="4"/>
  <c r="H1303" i="4"/>
  <c r="H1304" i="4"/>
  <c r="H1305" i="4"/>
  <c r="H1306" i="4"/>
  <c r="H1307" i="4"/>
  <c r="H1308" i="4"/>
  <c r="H1309" i="4"/>
  <c r="H1310" i="4"/>
  <c r="H1311" i="4"/>
  <c r="H1312" i="4"/>
  <c r="H1313" i="4"/>
  <c r="H1314" i="4"/>
  <c r="H1315" i="4"/>
  <c r="H1316" i="4"/>
  <c r="H1317" i="4"/>
  <c r="H1318" i="4"/>
  <c r="H1319" i="4"/>
  <c r="H1320" i="4"/>
  <c r="H1321" i="4"/>
  <c r="H1322" i="4"/>
  <c r="H1323" i="4"/>
  <c r="H1324" i="4"/>
  <c r="H1325" i="4"/>
  <c r="H1326" i="4"/>
  <c r="H1327" i="4"/>
  <c r="H1328" i="4"/>
  <c r="H1329" i="4"/>
  <c r="H1330" i="4"/>
  <c r="H1331" i="4"/>
  <c r="H1332" i="4"/>
  <c r="H1333" i="4"/>
  <c r="H1334" i="4"/>
  <c r="H1335" i="4"/>
  <c r="H1336" i="4"/>
  <c r="H1337" i="4"/>
  <c r="H1338" i="4"/>
  <c r="H1339" i="4"/>
  <c r="H1340" i="4"/>
  <c r="H1341" i="4"/>
  <c r="H1342" i="4"/>
  <c r="H1343" i="4"/>
  <c r="H1344" i="4"/>
  <c r="H1345" i="4"/>
  <c r="H1346" i="4"/>
  <c r="H1347" i="4"/>
  <c r="H1348" i="4"/>
  <c r="H1349" i="4"/>
  <c r="H1350" i="4"/>
  <c r="H1351" i="4"/>
  <c r="H1352" i="4"/>
  <c r="H1353" i="4"/>
  <c r="H1354" i="4"/>
  <c r="H1355" i="4"/>
  <c r="H1356" i="4"/>
  <c r="H1357" i="4"/>
  <c r="H1358" i="4"/>
  <c r="H1359" i="4"/>
  <c r="H1360" i="4"/>
  <c r="H1361" i="4"/>
  <c r="H1362" i="4"/>
  <c r="H1363" i="4"/>
  <c r="H1364" i="4"/>
  <c r="H1365" i="4"/>
  <c r="H1366" i="4"/>
  <c r="H1367" i="4"/>
  <c r="H1368" i="4"/>
  <c r="H1369" i="4"/>
  <c r="H1370" i="4"/>
  <c r="H1371" i="4"/>
  <c r="H1372" i="4"/>
  <c r="H1373" i="4"/>
  <c r="H1374" i="4"/>
  <c r="H1375" i="4"/>
  <c r="H1376" i="4"/>
  <c r="H1377" i="4"/>
  <c r="H1378" i="4"/>
  <c r="H1379" i="4"/>
  <c r="H1380" i="4"/>
  <c r="H1381" i="4"/>
  <c r="H1382" i="4"/>
  <c r="H1383" i="4"/>
  <c r="H1384" i="4"/>
  <c r="H1385" i="4"/>
  <c r="H1386" i="4"/>
  <c r="H1387" i="4"/>
  <c r="H1388" i="4"/>
  <c r="H1389" i="4"/>
  <c r="H1390" i="4"/>
  <c r="H1391" i="4"/>
  <c r="H1392" i="4"/>
  <c r="H1393" i="4"/>
  <c r="H1394" i="4"/>
  <c r="H1395" i="4"/>
  <c r="H1396" i="4"/>
  <c r="H1397" i="4"/>
  <c r="H1398" i="4"/>
  <c r="H1399" i="4"/>
  <c r="H1400" i="4"/>
  <c r="H1401" i="4"/>
  <c r="H1402" i="4"/>
  <c r="H1403" i="4"/>
  <c r="H1404" i="4"/>
  <c r="H1405" i="4"/>
  <c r="H1406" i="4"/>
  <c r="H1407" i="4"/>
  <c r="H1408" i="4"/>
  <c r="H1409" i="4"/>
  <c r="H1410" i="4"/>
  <c r="H1411" i="4"/>
  <c r="H1412" i="4"/>
  <c r="H1413" i="4"/>
  <c r="H1414" i="4"/>
  <c r="H1415" i="4"/>
  <c r="H1416" i="4"/>
  <c r="H1417" i="4"/>
  <c r="H1418" i="4"/>
  <c r="H1419" i="4"/>
  <c r="H1420" i="4"/>
  <c r="H1421" i="4"/>
  <c r="H1422" i="4"/>
  <c r="H1423" i="4"/>
  <c r="H1424" i="4"/>
  <c r="H1425" i="4"/>
  <c r="H1426" i="4"/>
  <c r="H1427" i="4"/>
  <c r="H1428" i="4"/>
  <c r="H1429" i="4"/>
  <c r="H1430" i="4"/>
  <c r="H1431" i="4"/>
  <c r="H1432" i="4"/>
  <c r="H1433" i="4"/>
  <c r="H1434" i="4"/>
  <c r="H1435" i="4"/>
  <c r="H1436" i="4"/>
  <c r="H1437" i="4"/>
  <c r="H1438" i="4"/>
  <c r="H1439" i="4"/>
  <c r="H1440" i="4"/>
  <c r="H1441" i="4"/>
  <c r="H1442" i="4"/>
  <c r="H1443" i="4"/>
  <c r="H1444" i="4"/>
  <c r="H1445" i="4"/>
  <c r="H1446" i="4"/>
  <c r="H1447" i="4"/>
  <c r="H1448" i="4"/>
  <c r="H1449" i="4"/>
  <c r="H1450" i="4"/>
  <c r="H1451" i="4"/>
  <c r="H1452" i="4"/>
  <c r="H1453" i="4"/>
  <c r="H1454" i="4"/>
  <c r="H1455" i="4"/>
  <c r="H1456" i="4"/>
  <c r="H1457" i="4"/>
  <c r="H1458" i="4"/>
  <c r="H1459" i="4"/>
  <c r="H1460" i="4"/>
  <c r="H1461" i="4"/>
  <c r="H1462" i="4"/>
  <c r="H1463" i="4"/>
  <c r="H1464" i="4"/>
  <c r="H1465" i="4"/>
  <c r="H1466" i="4"/>
  <c r="H1467" i="4"/>
  <c r="H1468" i="4"/>
  <c r="H1469" i="4"/>
  <c r="H1470" i="4"/>
  <c r="H1471" i="4"/>
  <c r="H1472" i="4"/>
  <c r="H1473" i="4"/>
  <c r="H1474" i="4"/>
  <c r="H1475" i="4"/>
  <c r="H1476" i="4"/>
  <c r="H1477" i="4"/>
  <c r="H1478" i="4"/>
  <c r="H1479" i="4"/>
  <c r="H1480" i="4"/>
  <c r="H1481" i="4"/>
  <c r="H1482" i="4"/>
  <c r="H1483" i="4"/>
  <c r="H1484" i="4"/>
  <c r="H1485" i="4"/>
  <c r="H1486" i="4"/>
  <c r="H1487" i="4"/>
  <c r="H1488" i="4"/>
  <c r="H1489" i="4"/>
  <c r="H1490" i="4"/>
  <c r="H1491" i="4"/>
  <c r="H1492" i="4"/>
  <c r="H1493" i="4"/>
  <c r="H1494" i="4"/>
  <c r="H1495" i="4"/>
  <c r="H1496" i="4"/>
  <c r="H1497" i="4"/>
  <c r="H1498" i="4"/>
  <c r="H1499" i="4"/>
  <c r="H1500" i="4"/>
  <c r="H1501" i="4"/>
  <c r="H1502" i="4"/>
  <c r="H1503" i="4"/>
  <c r="H1504" i="4"/>
  <c r="H1505" i="4"/>
  <c r="H1506" i="4"/>
  <c r="H1507" i="4"/>
  <c r="H1508" i="4"/>
  <c r="H1509" i="4"/>
  <c r="H1510" i="4"/>
  <c r="H1511" i="4"/>
  <c r="H1512" i="4"/>
  <c r="H1513" i="4"/>
  <c r="H1514" i="4"/>
  <c r="H1515" i="4"/>
  <c r="H1516" i="4"/>
  <c r="H1517" i="4"/>
  <c r="H1518" i="4"/>
  <c r="H1519" i="4"/>
  <c r="H1520" i="4"/>
  <c r="H1521" i="4"/>
  <c r="H1522" i="4"/>
  <c r="H1523" i="4"/>
  <c r="H1524" i="4"/>
  <c r="H1525" i="4"/>
  <c r="H1526" i="4"/>
  <c r="H1527" i="4"/>
  <c r="H1528" i="4"/>
  <c r="H1529" i="4"/>
  <c r="H1530" i="4"/>
  <c r="H1531" i="4"/>
  <c r="H1532" i="4"/>
  <c r="H1533" i="4"/>
  <c r="H1534" i="4"/>
  <c r="H1535" i="4"/>
  <c r="H1536" i="4"/>
  <c r="H1537" i="4"/>
  <c r="H1538" i="4"/>
  <c r="H1539" i="4"/>
  <c r="H1540" i="4"/>
  <c r="H1541" i="4"/>
  <c r="H1542" i="4"/>
  <c r="H1543" i="4"/>
  <c r="H1544" i="4"/>
  <c r="H1545" i="4"/>
  <c r="H1546" i="4"/>
  <c r="H1547" i="4"/>
  <c r="H1548" i="4"/>
  <c r="H1549" i="4"/>
  <c r="H1550" i="4"/>
  <c r="H1551" i="4"/>
  <c r="H1552" i="4"/>
  <c r="H1553" i="4"/>
  <c r="H1554" i="4"/>
  <c r="H1555" i="4"/>
  <c r="H1556" i="4"/>
  <c r="H1557" i="4"/>
  <c r="H1558" i="4"/>
  <c r="H1559" i="4"/>
  <c r="H1560" i="4"/>
  <c r="H1561" i="4"/>
  <c r="H1562" i="4"/>
  <c r="H1563" i="4"/>
  <c r="H1564" i="4"/>
  <c r="H1565" i="4"/>
  <c r="H1566" i="4"/>
  <c r="H1567" i="4"/>
  <c r="H1568" i="4"/>
  <c r="H1569" i="4"/>
  <c r="H1570" i="4"/>
  <c r="H1571" i="4"/>
  <c r="H1572" i="4"/>
  <c r="H1573" i="4"/>
  <c r="H1574" i="4"/>
  <c r="H1575" i="4"/>
  <c r="H1576" i="4"/>
  <c r="H1577" i="4"/>
  <c r="H1578" i="4"/>
  <c r="H1579" i="4"/>
  <c r="H1580" i="4"/>
  <c r="H1581" i="4"/>
  <c r="H1582" i="4"/>
  <c r="H1583" i="4"/>
  <c r="H1584" i="4"/>
  <c r="H1585" i="4"/>
  <c r="H1586" i="4"/>
  <c r="H1587" i="4"/>
  <c r="H1588" i="4"/>
  <c r="H1589" i="4"/>
  <c r="H1590" i="4"/>
  <c r="H1591" i="4"/>
  <c r="H1592" i="4"/>
  <c r="H1593" i="4"/>
  <c r="H1594" i="4"/>
  <c r="H1595" i="4"/>
  <c r="H1596" i="4"/>
  <c r="H1597" i="4"/>
  <c r="H1598" i="4"/>
  <c r="H1599" i="4"/>
  <c r="H1600" i="4"/>
  <c r="H1601" i="4"/>
  <c r="H1602" i="4"/>
  <c r="H1603" i="4"/>
  <c r="H1604" i="4"/>
  <c r="H1605" i="4"/>
  <c r="H1606" i="4"/>
  <c r="H1607" i="4"/>
  <c r="H1608" i="4"/>
  <c r="H1609" i="4"/>
  <c r="H1610" i="4"/>
  <c r="H1611" i="4"/>
  <c r="H1612" i="4"/>
  <c r="H1613" i="4"/>
  <c r="H1614" i="4"/>
  <c r="H1615" i="4"/>
  <c r="H1616" i="4"/>
  <c r="H1617" i="4"/>
  <c r="H1618" i="4"/>
  <c r="H1619" i="4"/>
  <c r="H1620" i="4"/>
  <c r="H1621" i="4"/>
  <c r="H1622" i="4"/>
  <c r="H1623" i="4"/>
  <c r="H1624" i="4"/>
  <c r="H1625" i="4"/>
  <c r="H1626" i="4"/>
  <c r="H1627" i="4"/>
  <c r="H1628" i="4"/>
  <c r="H1629" i="4"/>
  <c r="H1630" i="4"/>
  <c r="H1631" i="4"/>
  <c r="H1632" i="4"/>
  <c r="H1633" i="4"/>
  <c r="H1634" i="4"/>
  <c r="H1635" i="4"/>
  <c r="H1636" i="4"/>
  <c r="H1637" i="4"/>
  <c r="H1638" i="4"/>
  <c r="H1639" i="4"/>
  <c r="H1640" i="4"/>
  <c r="H1641" i="4"/>
  <c r="H1642" i="4"/>
  <c r="H1643" i="4"/>
  <c r="H1644" i="4"/>
  <c r="H1645" i="4"/>
  <c r="H1646" i="4"/>
  <c r="H1647" i="4"/>
  <c r="H1648" i="4"/>
  <c r="H1649" i="4"/>
  <c r="H1650" i="4"/>
  <c r="H1651" i="4"/>
  <c r="H1652" i="4"/>
  <c r="H1653" i="4"/>
  <c r="H1654" i="4"/>
  <c r="H1655" i="4"/>
  <c r="H1656" i="4"/>
  <c r="H1657" i="4"/>
  <c r="H1658" i="4"/>
  <c r="H1659" i="4"/>
  <c r="H1660" i="4"/>
  <c r="H1661" i="4"/>
  <c r="H1662" i="4"/>
  <c r="H1663" i="4"/>
  <c r="H1664" i="4"/>
  <c r="H1665" i="4"/>
  <c r="H1666" i="4"/>
  <c r="H1667" i="4"/>
  <c r="H1668" i="4"/>
  <c r="H1669" i="4"/>
  <c r="H1670" i="4"/>
  <c r="H1671" i="4"/>
  <c r="H1672" i="4"/>
  <c r="H1673" i="4"/>
  <c r="H1674" i="4"/>
  <c r="H1675" i="4"/>
  <c r="H1676" i="4"/>
  <c r="H1677" i="4"/>
  <c r="H1678" i="4"/>
  <c r="H1679" i="4"/>
  <c r="H1680" i="4"/>
  <c r="H1681" i="4"/>
  <c r="H1682" i="4"/>
  <c r="H1683" i="4"/>
  <c r="H1684" i="4"/>
  <c r="H1685" i="4"/>
  <c r="H1686" i="4"/>
  <c r="H1687" i="4"/>
  <c r="H1688" i="4"/>
  <c r="H1689" i="4"/>
  <c r="H1690" i="4"/>
  <c r="H1691" i="4"/>
  <c r="H1692" i="4"/>
  <c r="H1693" i="4"/>
  <c r="H1694" i="4"/>
  <c r="H1695" i="4"/>
  <c r="H1696" i="4"/>
  <c r="H1697" i="4"/>
  <c r="H1698" i="4"/>
  <c r="H1699" i="4"/>
  <c r="H1700" i="4"/>
  <c r="H1701" i="4"/>
  <c r="H1702" i="4"/>
  <c r="H1703" i="4"/>
  <c r="H1704" i="4"/>
  <c r="H1705" i="4"/>
  <c r="H1706" i="4"/>
  <c r="H1707" i="4"/>
  <c r="H1708" i="4"/>
  <c r="H1709" i="4"/>
  <c r="H1710" i="4"/>
  <c r="H1711" i="4"/>
  <c r="H1712" i="4"/>
  <c r="H1713" i="4"/>
  <c r="H1714" i="4"/>
  <c r="H1715" i="4"/>
  <c r="H1716" i="4"/>
  <c r="H1717" i="4"/>
  <c r="H1718" i="4"/>
  <c r="H1719" i="4"/>
  <c r="H1720" i="4"/>
  <c r="H1721" i="4"/>
  <c r="H1722" i="4"/>
  <c r="H1723" i="4"/>
  <c r="H1724" i="4"/>
  <c r="H1725" i="4"/>
  <c r="H1726" i="4"/>
  <c r="H1727" i="4"/>
  <c r="H1728" i="4"/>
  <c r="H1729" i="4"/>
  <c r="H1730" i="4"/>
  <c r="H1731" i="4"/>
  <c r="H1732" i="4"/>
  <c r="H1733" i="4"/>
  <c r="H1734" i="4"/>
  <c r="H1735" i="4"/>
  <c r="H1736" i="4"/>
  <c r="H1737" i="4"/>
  <c r="H1738" i="4"/>
  <c r="H1739" i="4"/>
  <c r="H1740" i="4"/>
  <c r="H1741" i="4"/>
  <c r="H1742" i="4"/>
  <c r="H1743" i="4"/>
  <c r="H1744" i="4"/>
  <c r="H1745" i="4"/>
  <c r="H1746" i="4"/>
  <c r="H1747" i="4"/>
  <c r="H1748" i="4"/>
  <c r="H1749" i="4"/>
  <c r="H1750" i="4"/>
  <c r="H1751" i="4"/>
  <c r="H1752" i="4"/>
  <c r="H1753" i="4"/>
  <c r="H1754" i="4"/>
  <c r="H1755" i="4"/>
  <c r="H1756" i="4"/>
  <c r="H1757" i="4"/>
  <c r="H1758" i="4"/>
  <c r="H1759" i="4"/>
  <c r="H1760" i="4"/>
  <c r="H1761" i="4"/>
  <c r="H1762" i="4"/>
  <c r="H1763" i="4"/>
  <c r="H1764" i="4"/>
  <c r="H1765" i="4"/>
  <c r="H1766" i="4"/>
  <c r="H1767" i="4"/>
  <c r="H1768" i="4"/>
  <c r="H1769" i="4"/>
  <c r="H1770" i="4"/>
  <c r="H1771" i="4"/>
  <c r="H1772" i="4"/>
  <c r="H1773" i="4"/>
  <c r="H1774" i="4"/>
  <c r="H1775" i="4"/>
  <c r="H1776" i="4"/>
  <c r="H1777" i="4"/>
  <c r="H1778" i="4"/>
  <c r="H1779" i="4"/>
  <c r="H1780" i="4"/>
  <c r="H1781" i="4"/>
  <c r="H1782" i="4"/>
  <c r="H1783" i="4"/>
  <c r="H1784" i="4"/>
  <c r="H1785" i="4"/>
  <c r="H1786" i="4"/>
  <c r="H1787" i="4"/>
  <c r="H1788" i="4"/>
  <c r="H1789" i="4"/>
  <c r="H1790" i="4"/>
  <c r="H1791" i="4"/>
  <c r="H1792" i="4"/>
  <c r="H1793" i="4"/>
  <c r="H1794" i="4"/>
  <c r="H1795" i="4"/>
  <c r="H1796" i="4"/>
  <c r="H1797" i="4"/>
  <c r="H1798" i="4"/>
  <c r="H1799" i="4"/>
  <c r="H1800" i="4"/>
  <c r="H1801" i="4"/>
  <c r="H1802" i="4"/>
  <c r="H1803" i="4"/>
  <c r="H1804" i="4"/>
  <c r="H1805" i="4"/>
  <c r="H1806" i="4"/>
  <c r="H1807" i="4"/>
  <c r="H1808" i="4"/>
  <c r="H1809" i="4"/>
  <c r="H1810" i="4"/>
  <c r="H1811" i="4"/>
  <c r="H1812" i="4"/>
  <c r="H1813" i="4"/>
  <c r="H1814" i="4"/>
  <c r="H1815" i="4"/>
  <c r="H1816" i="4"/>
  <c r="H1817" i="4"/>
  <c r="H1818" i="4"/>
  <c r="H1819" i="4"/>
  <c r="H1820" i="4"/>
  <c r="H1821" i="4"/>
  <c r="H1822" i="4"/>
  <c r="H1823" i="4"/>
  <c r="H1824" i="4"/>
  <c r="H1825" i="4"/>
  <c r="H1826" i="4"/>
  <c r="H1827" i="4"/>
  <c r="H1828" i="4"/>
  <c r="H1829" i="4"/>
  <c r="H1830" i="4"/>
  <c r="H1831" i="4"/>
  <c r="H1832" i="4"/>
  <c r="H1833" i="4"/>
  <c r="H1834" i="4"/>
  <c r="H1835" i="4"/>
  <c r="H1836" i="4"/>
  <c r="H1837" i="4"/>
  <c r="H1838" i="4"/>
  <c r="H1839" i="4"/>
  <c r="H1840" i="4"/>
  <c r="H1841" i="4"/>
  <c r="H1842" i="4"/>
  <c r="H1843" i="4"/>
  <c r="H1844" i="4"/>
  <c r="H1845" i="4"/>
  <c r="H1846" i="4"/>
  <c r="H1847" i="4"/>
  <c r="H1848" i="4"/>
  <c r="H1849" i="4"/>
  <c r="H1850" i="4"/>
  <c r="H1851" i="4"/>
  <c r="H1852" i="4"/>
  <c r="H1853" i="4"/>
  <c r="H1854" i="4"/>
  <c r="H1855" i="4"/>
  <c r="H1856" i="4"/>
  <c r="H1857" i="4"/>
  <c r="H1858" i="4"/>
  <c r="H1859" i="4"/>
  <c r="H1860" i="4"/>
  <c r="H1861" i="4"/>
  <c r="H1862" i="4"/>
  <c r="H1863" i="4"/>
  <c r="H1864" i="4"/>
  <c r="H1865" i="4"/>
  <c r="H1866" i="4"/>
  <c r="H1867" i="4"/>
  <c r="H1868" i="4"/>
  <c r="H1869" i="4"/>
  <c r="H1870" i="4"/>
  <c r="H1871" i="4"/>
  <c r="H1872" i="4"/>
  <c r="H1873" i="4"/>
  <c r="H1874" i="4"/>
  <c r="H1875" i="4"/>
  <c r="H1876" i="4"/>
  <c r="H1877" i="4"/>
  <c r="H1878" i="4"/>
  <c r="H1879" i="4"/>
  <c r="H1880" i="4"/>
  <c r="H1881" i="4"/>
  <c r="H1882" i="4"/>
  <c r="H1883" i="4"/>
  <c r="H1884" i="4"/>
  <c r="H1885" i="4"/>
  <c r="H1886" i="4"/>
  <c r="H1887" i="4"/>
  <c r="H1888" i="4"/>
  <c r="H1889" i="4"/>
  <c r="H1890" i="4"/>
  <c r="H1891" i="4"/>
  <c r="H1892" i="4"/>
  <c r="H1893" i="4"/>
  <c r="H1894" i="4"/>
  <c r="H1895" i="4"/>
  <c r="H1896" i="4"/>
  <c r="H1897" i="4"/>
  <c r="H1898" i="4"/>
  <c r="H1899" i="4"/>
  <c r="H1900" i="4"/>
  <c r="H1901" i="4"/>
  <c r="H1902" i="4"/>
  <c r="H1903" i="4"/>
  <c r="H1904" i="4"/>
  <c r="H1905" i="4"/>
  <c r="H1906" i="4"/>
  <c r="H1907" i="4"/>
  <c r="H1908" i="4"/>
  <c r="H1909" i="4"/>
  <c r="H1910" i="4"/>
  <c r="H1911" i="4"/>
  <c r="H1912" i="4"/>
  <c r="H1913" i="4"/>
  <c r="H1914" i="4"/>
  <c r="H1915" i="4"/>
  <c r="H1916" i="4"/>
  <c r="H1917" i="4"/>
  <c r="H1918" i="4"/>
  <c r="H1919" i="4"/>
  <c r="H1920" i="4"/>
  <c r="H1921" i="4"/>
  <c r="H1922" i="4"/>
  <c r="H1923" i="4"/>
  <c r="H1924" i="4"/>
  <c r="H1925" i="4"/>
  <c r="H1926" i="4"/>
  <c r="H1927" i="4"/>
  <c r="H1928" i="4"/>
  <c r="H1929" i="4"/>
  <c r="H1930" i="4"/>
  <c r="H1931" i="4"/>
  <c r="H1932" i="4"/>
  <c r="H1933" i="4"/>
  <c r="H1934" i="4"/>
  <c r="H1935" i="4"/>
  <c r="H1936" i="4"/>
  <c r="H1937" i="4"/>
  <c r="H1938" i="4"/>
  <c r="H1939" i="4"/>
  <c r="H1940" i="4"/>
  <c r="H1941" i="4"/>
  <c r="H1942" i="4"/>
  <c r="H1943" i="4"/>
  <c r="H1944" i="4"/>
  <c r="H1945" i="4"/>
  <c r="H1946" i="4"/>
  <c r="H1947" i="4"/>
  <c r="H1948" i="4"/>
  <c r="H1949" i="4"/>
  <c r="H1950" i="4"/>
  <c r="H1951" i="4"/>
  <c r="H1952" i="4"/>
  <c r="H1953" i="4"/>
  <c r="H1954" i="4"/>
  <c r="H1955" i="4"/>
  <c r="H1956" i="4"/>
  <c r="H1957" i="4"/>
  <c r="H1958" i="4"/>
  <c r="H1959" i="4"/>
  <c r="H1960" i="4"/>
  <c r="H1961" i="4"/>
  <c r="H1962" i="4"/>
  <c r="H1963" i="4"/>
  <c r="H1964" i="4"/>
  <c r="H1965" i="4"/>
  <c r="H1966" i="4"/>
  <c r="H1967" i="4"/>
  <c r="H1968" i="4"/>
  <c r="H1969" i="4"/>
  <c r="H1970" i="4"/>
  <c r="H1971" i="4"/>
  <c r="H1972" i="4"/>
  <c r="H1973" i="4"/>
  <c r="H1974" i="4"/>
  <c r="H1975" i="4"/>
  <c r="H1976" i="4"/>
  <c r="H1977" i="4"/>
  <c r="H1978" i="4"/>
  <c r="H1979" i="4"/>
  <c r="H1980" i="4"/>
  <c r="H1981" i="4"/>
  <c r="H1982" i="4"/>
  <c r="H1983" i="4"/>
  <c r="H1984" i="4"/>
  <c r="H1985" i="4"/>
  <c r="H1986" i="4"/>
  <c r="H1987" i="4"/>
  <c r="H1988" i="4"/>
  <c r="H1989" i="4"/>
  <c r="H1990" i="4"/>
  <c r="H1991" i="4"/>
  <c r="H1992" i="4"/>
  <c r="H1993" i="4"/>
  <c r="H1994" i="4"/>
  <c r="H1995" i="4"/>
  <c r="H1996" i="4"/>
  <c r="H1997" i="4"/>
  <c r="H1998" i="4"/>
  <c r="G41" i="4"/>
  <c r="G42" i="4"/>
  <c r="G43" i="4"/>
  <c r="G44" i="4"/>
  <c r="G45" i="4"/>
  <c r="G46" i="4"/>
  <c r="G47" i="4"/>
  <c r="G48" i="4"/>
  <c r="G49" i="4"/>
  <c r="G50" i="4"/>
  <c r="G51" i="4"/>
  <c r="G52" i="4"/>
  <c r="G53" i="4"/>
  <c r="G54" i="4"/>
  <c r="G55" i="4"/>
  <c r="G56" i="4"/>
  <c r="G57" i="4"/>
  <c r="G58" i="4"/>
  <c r="G59" i="4"/>
  <c r="G60" i="4"/>
  <c r="G61" i="4"/>
  <c r="G62" i="4"/>
  <c r="G63" i="4"/>
  <c r="G64" i="4"/>
  <c r="G65" i="4"/>
  <c r="G66" i="4"/>
  <c r="G67" i="4"/>
  <c r="G68" i="4"/>
  <c r="G69" i="4"/>
  <c r="G70" i="4"/>
  <c r="G71" i="4"/>
  <c r="G72" i="4"/>
  <c r="G73" i="4"/>
  <c r="G74" i="4"/>
  <c r="G75" i="4"/>
  <c r="G76" i="4"/>
  <c r="G77" i="4"/>
  <c r="G78" i="4"/>
  <c r="G79" i="4"/>
  <c r="G80" i="4"/>
  <c r="G81" i="4"/>
  <c r="G82" i="4"/>
  <c r="G83" i="4"/>
  <c r="G84" i="4"/>
  <c r="G85" i="4"/>
  <c r="G86" i="4"/>
  <c r="G87" i="4"/>
  <c r="G88" i="4"/>
  <c r="G89" i="4"/>
  <c r="G90" i="4"/>
  <c r="G91" i="4"/>
  <c r="G92" i="4"/>
  <c r="G93" i="4"/>
  <c r="G94" i="4"/>
  <c r="G95" i="4"/>
  <c r="G96" i="4"/>
  <c r="G97" i="4"/>
  <c r="G98" i="4"/>
  <c r="G99" i="4"/>
  <c r="G100" i="4"/>
  <c r="G101" i="4"/>
  <c r="G102" i="4"/>
  <c r="G103" i="4"/>
  <c r="G104" i="4"/>
  <c r="G105" i="4"/>
  <c r="G106" i="4"/>
  <c r="G107" i="4"/>
  <c r="G108" i="4"/>
  <c r="G109" i="4"/>
  <c r="G110" i="4"/>
  <c r="G111" i="4"/>
  <c r="G112" i="4"/>
  <c r="G113" i="4"/>
  <c r="G114" i="4"/>
  <c r="G115" i="4"/>
  <c r="G116" i="4"/>
  <c r="G117" i="4"/>
  <c r="G118" i="4"/>
  <c r="G119" i="4"/>
  <c r="G120" i="4"/>
  <c r="G121" i="4"/>
  <c r="G122" i="4"/>
  <c r="G123" i="4"/>
  <c r="G124" i="4"/>
  <c r="G125" i="4"/>
  <c r="G126" i="4"/>
  <c r="G127" i="4"/>
  <c r="G128" i="4"/>
  <c r="G129" i="4"/>
  <c r="G130" i="4"/>
  <c r="G131" i="4"/>
  <c r="G132" i="4"/>
  <c r="G133" i="4"/>
  <c r="G134" i="4"/>
  <c r="G135" i="4"/>
  <c r="G136" i="4"/>
  <c r="G137" i="4"/>
  <c r="G138" i="4"/>
  <c r="G139" i="4"/>
  <c r="G140" i="4"/>
  <c r="G141" i="4"/>
  <c r="G142" i="4"/>
  <c r="G143" i="4"/>
  <c r="G144" i="4"/>
  <c r="G145" i="4"/>
  <c r="G146" i="4"/>
  <c r="G147" i="4"/>
  <c r="G148" i="4"/>
  <c r="G149" i="4"/>
  <c r="G150" i="4"/>
  <c r="G151" i="4"/>
  <c r="G152" i="4"/>
  <c r="G153" i="4"/>
  <c r="G154" i="4"/>
  <c r="G155" i="4"/>
  <c r="G156" i="4"/>
  <c r="G157" i="4"/>
  <c r="G158" i="4"/>
  <c r="G159" i="4"/>
  <c r="G160" i="4"/>
  <c r="G161" i="4"/>
  <c r="G162" i="4"/>
  <c r="G163" i="4"/>
  <c r="G164" i="4"/>
  <c r="G165" i="4"/>
  <c r="G166" i="4"/>
  <c r="G167" i="4"/>
  <c r="G168" i="4"/>
  <c r="G169" i="4"/>
  <c r="G170" i="4"/>
  <c r="G171" i="4"/>
  <c r="G172" i="4"/>
  <c r="G173" i="4"/>
  <c r="G174" i="4"/>
  <c r="G175" i="4"/>
  <c r="G176" i="4"/>
  <c r="G177" i="4"/>
  <c r="G178" i="4"/>
  <c r="G179" i="4"/>
  <c r="G180" i="4"/>
  <c r="G181" i="4"/>
  <c r="G182" i="4"/>
  <c r="G183" i="4"/>
  <c r="G184" i="4"/>
  <c r="G185" i="4"/>
  <c r="G186" i="4"/>
  <c r="G187" i="4"/>
  <c r="G188" i="4"/>
  <c r="G189" i="4"/>
  <c r="G190" i="4"/>
  <c r="G191" i="4"/>
  <c r="G192" i="4"/>
  <c r="G193" i="4"/>
  <c r="G194" i="4"/>
  <c r="G195" i="4"/>
  <c r="G196" i="4"/>
  <c r="G197" i="4"/>
  <c r="G198" i="4"/>
  <c r="G199" i="4"/>
  <c r="G200" i="4"/>
  <c r="G201" i="4"/>
  <c r="G202" i="4"/>
  <c r="G203" i="4"/>
  <c r="G204" i="4"/>
  <c r="G205" i="4"/>
  <c r="G206" i="4"/>
  <c r="G207" i="4"/>
  <c r="G208" i="4"/>
  <c r="G209" i="4"/>
  <c r="G210" i="4"/>
  <c r="G211" i="4"/>
  <c r="G212" i="4"/>
  <c r="G213" i="4"/>
  <c r="G214" i="4"/>
  <c r="G215" i="4"/>
  <c r="G216" i="4"/>
  <c r="G217" i="4"/>
  <c r="G218" i="4"/>
  <c r="G219" i="4"/>
  <c r="G220" i="4"/>
  <c r="G221" i="4"/>
  <c r="G222" i="4"/>
  <c r="G223" i="4"/>
  <c r="G224" i="4"/>
  <c r="G225" i="4"/>
  <c r="G226" i="4"/>
  <c r="G227" i="4"/>
  <c r="G228" i="4"/>
  <c r="G229" i="4"/>
  <c r="G230" i="4"/>
  <c r="G231" i="4"/>
  <c r="G232" i="4"/>
  <c r="G233" i="4"/>
  <c r="G234" i="4"/>
  <c r="G235" i="4"/>
  <c r="G236" i="4"/>
  <c r="G237" i="4"/>
  <c r="G238" i="4"/>
  <c r="G239" i="4"/>
  <c r="G240" i="4"/>
  <c r="G241" i="4"/>
  <c r="G242" i="4"/>
  <c r="G243" i="4"/>
  <c r="G244" i="4"/>
  <c r="G245" i="4"/>
  <c r="G246" i="4"/>
  <c r="G247" i="4"/>
  <c r="G248" i="4"/>
  <c r="G249" i="4"/>
  <c r="G250" i="4"/>
  <c r="G251" i="4"/>
  <c r="G252" i="4"/>
  <c r="G253" i="4"/>
  <c r="G254" i="4"/>
  <c r="G255" i="4"/>
  <c r="G256" i="4"/>
  <c r="G257" i="4"/>
  <c r="G258" i="4"/>
  <c r="G259" i="4"/>
  <c r="G260" i="4"/>
  <c r="G261" i="4"/>
  <c r="G262" i="4"/>
  <c r="G263" i="4"/>
  <c r="G264" i="4"/>
  <c r="G265" i="4"/>
  <c r="G266" i="4"/>
  <c r="G267" i="4"/>
  <c r="G268" i="4"/>
  <c r="G269" i="4"/>
  <c r="G270" i="4"/>
  <c r="G271" i="4"/>
  <c r="G272" i="4"/>
  <c r="G273" i="4"/>
  <c r="G274" i="4"/>
  <c r="G275" i="4"/>
  <c r="G276" i="4"/>
  <c r="G277" i="4"/>
  <c r="G278" i="4"/>
  <c r="G279" i="4"/>
  <c r="G280" i="4"/>
  <c r="G281" i="4"/>
  <c r="G282" i="4"/>
  <c r="G283" i="4"/>
  <c r="G284" i="4"/>
  <c r="G285" i="4"/>
  <c r="G286" i="4"/>
  <c r="G287" i="4"/>
  <c r="G288" i="4"/>
  <c r="G289" i="4"/>
  <c r="G290" i="4"/>
  <c r="G291" i="4"/>
  <c r="G292" i="4"/>
  <c r="G293" i="4"/>
  <c r="G294" i="4"/>
  <c r="G295" i="4"/>
  <c r="G296" i="4"/>
  <c r="G297" i="4"/>
  <c r="G298" i="4"/>
  <c r="G299" i="4"/>
  <c r="G300" i="4"/>
  <c r="G301" i="4"/>
  <c r="G302" i="4"/>
  <c r="G303" i="4"/>
  <c r="G304" i="4"/>
  <c r="G305" i="4"/>
  <c r="G306" i="4"/>
  <c r="G307" i="4"/>
  <c r="G308" i="4"/>
  <c r="G309" i="4"/>
  <c r="G310" i="4"/>
  <c r="G311" i="4"/>
  <c r="G312" i="4"/>
  <c r="G313" i="4"/>
  <c r="G314" i="4"/>
  <c r="G315" i="4"/>
  <c r="G316" i="4"/>
  <c r="G317" i="4"/>
  <c r="G318" i="4"/>
  <c r="G319" i="4"/>
  <c r="G320" i="4"/>
  <c r="G321" i="4"/>
  <c r="G322" i="4"/>
  <c r="G323" i="4"/>
  <c r="G324" i="4"/>
  <c r="G325" i="4"/>
  <c r="G326" i="4"/>
  <c r="G327" i="4"/>
  <c r="G328" i="4"/>
  <c r="G329" i="4"/>
  <c r="G330" i="4"/>
  <c r="G331" i="4"/>
  <c r="G332" i="4"/>
  <c r="G333" i="4"/>
  <c r="G334" i="4"/>
  <c r="G335" i="4"/>
  <c r="G336" i="4"/>
  <c r="G337" i="4"/>
  <c r="G338" i="4"/>
  <c r="G339" i="4"/>
  <c r="G340" i="4"/>
  <c r="G341" i="4"/>
  <c r="G342" i="4"/>
  <c r="G343" i="4"/>
  <c r="G344" i="4"/>
  <c r="G345" i="4"/>
  <c r="G346" i="4"/>
  <c r="G347" i="4"/>
  <c r="G348" i="4"/>
  <c r="G349" i="4"/>
  <c r="G350" i="4"/>
  <c r="G351" i="4"/>
  <c r="G352" i="4"/>
  <c r="G353" i="4"/>
  <c r="G354" i="4"/>
  <c r="G355" i="4"/>
  <c r="G356" i="4"/>
  <c r="G357" i="4"/>
  <c r="G358" i="4"/>
  <c r="G359" i="4"/>
  <c r="G360" i="4"/>
  <c r="G361" i="4"/>
  <c r="G362" i="4"/>
  <c r="G363" i="4"/>
  <c r="G364" i="4"/>
  <c r="G365" i="4"/>
  <c r="G366" i="4"/>
  <c r="G367" i="4"/>
  <c r="G368" i="4"/>
  <c r="G369" i="4"/>
  <c r="G370" i="4"/>
  <c r="G371" i="4"/>
  <c r="G372" i="4"/>
  <c r="G373" i="4"/>
  <c r="G374" i="4"/>
  <c r="G375" i="4"/>
  <c r="G376" i="4"/>
  <c r="G377" i="4"/>
  <c r="G378" i="4"/>
  <c r="G379" i="4"/>
  <c r="G380" i="4"/>
  <c r="G381" i="4"/>
  <c r="G382" i="4"/>
  <c r="G383" i="4"/>
  <c r="G384" i="4"/>
  <c r="G385" i="4"/>
  <c r="G386" i="4"/>
  <c r="G387" i="4"/>
  <c r="G388" i="4"/>
  <c r="G389" i="4"/>
  <c r="G390" i="4"/>
  <c r="G391" i="4"/>
  <c r="G392" i="4"/>
  <c r="G393" i="4"/>
  <c r="G394" i="4"/>
  <c r="G395" i="4"/>
  <c r="G396" i="4"/>
  <c r="G397" i="4"/>
  <c r="G398" i="4"/>
  <c r="G399" i="4"/>
  <c r="G400" i="4"/>
  <c r="G401" i="4"/>
  <c r="G402" i="4"/>
  <c r="G403" i="4"/>
  <c r="G404" i="4"/>
  <c r="G405" i="4"/>
  <c r="G406" i="4"/>
  <c r="G407" i="4"/>
  <c r="G408" i="4"/>
  <c r="G409" i="4"/>
  <c r="G410" i="4"/>
  <c r="G411" i="4"/>
  <c r="G412" i="4"/>
  <c r="G413" i="4"/>
  <c r="G414" i="4"/>
  <c r="G415" i="4"/>
  <c r="G416" i="4"/>
  <c r="G417" i="4"/>
  <c r="G418" i="4"/>
  <c r="G419" i="4"/>
  <c r="G420" i="4"/>
  <c r="G421" i="4"/>
  <c r="G422" i="4"/>
  <c r="G423" i="4"/>
  <c r="G424" i="4"/>
  <c r="G425" i="4"/>
  <c r="G426" i="4"/>
  <c r="G427" i="4"/>
  <c r="G428" i="4"/>
  <c r="G429" i="4"/>
  <c r="G430" i="4"/>
  <c r="G431" i="4"/>
  <c r="G432" i="4"/>
  <c r="G433" i="4"/>
  <c r="G434" i="4"/>
  <c r="G435" i="4"/>
  <c r="G436" i="4"/>
  <c r="G437" i="4"/>
  <c r="G438" i="4"/>
  <c r="G439" i="4"/>
  <c r="G440" i="4"/>
  <c r="G441" i="4"/>
  <c r="G442" i="4"/>
  <c r="G443" i="4"/>
  <c r="G444" i="4"/>
  <c r="G445" i="4"/>
  <c r="G446" i="4"/>
  <c r="G447" i="4"/>
  <c r="G448" i="4"/>
  <c r="G449" i="4"/>
  <c r="G450" i="4"/>
  <c r="G451" i="4"/>
  <c r="G452" i="4"/>
  <c r="G453" i="4"/>
  <c r="G454" i="4"/>
  <c r="G455" i="4"/>
  <c r="G456" i="4"/>
  <c r="G457" i="4"/>
  <c r="G458" i="4"/>
  <c r="G459" i="4"/>
  <c r="G460" i="4"/>
  <c r="G461" i="4"/>
  <c r="G462" i="4"/>
  <c r="G463" i="4"/>
  <c r="G464" i="4"/>
  <c r="G465" i="4"/>
  <c r="G466" i="4"/>
  <c r="G467" i="4"/>
  <c r="G468" i="4"/>
  <c r="G469" i="4"/>
  <c r="G470" i="4"/>
  <c r="G471" i="4"/>
  <c r="G472" i="4"/>
  <c r="G473" i="4"/>
  <c r="G474" i="4"/>
  <c r="G475" i="4"/>
  <c r="G476" i="4"/>
  <c r="G477" i="4"/>
  <c r="G478" i="4"/>
  <c r="G479" i="4"/>
  <c r="G480" i="4"/>
  <c r="G481" i="4"/>
  <c r="G482" i="4"/>
  <c r="G483" i="4"/>
  <c r="G484" i="4"/>
  <c r="G485" i="4"/>
  <c r="G486" i="4"/>
  <c r="G487" i="4"/>
  <c r="G488" i="4"/>
  <c r="G489" i="4"/>
  <c r="G490" i="4"/>
  <c r="G491" i="4"/>
  <c r="G492" i="4"/>
  <c r="G493" i="4"/>
  <c r="G494" i="4"/>
  <c r="G495" i="4"/>
  <c r="G496" i="4"/>
  <c r="G497" i="4"/>
  <c r="G498" i="4"/>
  <c r="G499" i="4"/>
  <c r="G500" i="4"/>
  <c r="G501" i="4"/>
  <c r="G502" i="4"/>
  <c r="G503" i="4"/>
  <c r="G504" i="4"/>
  <c r="G505" i="4"/>
  <c r="G506" i="4"/>
  <c r="G507" i="4"/>
  <c r="G508" i="4"/>
  <c r="G509" i="4"/>
  <c r="G510" i="4"/>
  <c r="G511" i="4"/>
  <c r="G512" i="4"/>
  <c r="G513" i="4"/>
  <c r="G514" i="4"/>
  <c r="G515" i="4"/>
  <c r="G516" i="4"/>
  <c r="G517" i="4"/>
  <c r="G518" i="4"/>
  <c r="G519" i="4"/>
  <c r="G520" i="4"/>
  <c r="G521" i="4"/>
  <c r="G522" i="4"/>
  <c r="G523" i="4"/>
  <c r="G524" i="4"/>
  <c r="G525" i="4"/>
  <c r="G526" i="4"/>
  <c r="G527" i="4"/>
  <c r="G528" i="4"/>
  <c r="G529" i="4"/>
  <c r="G530" i="4"/>
  <c r="G531" i="4"/>
  <c r="G532" i="4"/>
  <c r="G533" i="4"/>
  <c r="G534" i="4"/>
  <c r="G535" i="4"/>
  <c r="G536" i="4"/>
  <c r="G537" i="4"/>
  <c r="G538" i="4"/>
  <c r="G539" i="4"/>
  <c r="G540" i="4"/>
  <c r="G541" i="4"/>
  <c r="G542" i="4"/>
  <c r="G543" i="4"/>
  <c r="G544" i="4"/>
  <c r="G545" i="4"/>
  <c r="G546" i="4"/>
  <c r="G547" i="4"/>
  <c r="G548" i="4"/>
  <c r="G549" i="4"/>
  <c r="G550" i="4"/>
  <c r="G551" i="4"/>
  <c r="G552" i="4"/>
  <c r="G553" i="4"/>
  <c r="G554" i="4"/>
  <c r="G555" i="4"/>
  <c r="G556" i="4"/>
  <c r="G557" i="4"/>
  <c r="G558" i="4"/>
  <c r="G559" i="4"/>
  <c r="G560" i="4"/>
  <c r="G561" i="4"/>
  <c r="G562" i="4"/>
  <c r="G563" i="4"/>
  <c r="G564" i="4"/>
  <c r="G565" i="4"/>
  <c r="G566" i="4"/>
  <c r="G567" i="4"/>
  <c r="G568" i="4"/>
  <c r="G569" i="4"/>
  <c r="G570" i="4"/>
  <c r="G571" i="4"/>
  <c r="G572" i="4"/>
  <c r="G573" i="4"/>
  <c r="G574" i="4"/>
  <c r="G575" i="4"/>
  <c r="G576" i="4"/>
  <c r="G577" i="4"/>
  <c r="G578" i="4"/>
  <c r="G579" i="4"/>
  <c r="G580" i="4"/>
  <c r="G581" i="4"/>
  <c r="G582" i="4"/>
  <c r="G583" i="4"/>
  <c r="G584" i="4"/>
  <c r="G585" i="4"/>
  <c r="G586" i="4"/>
  <c r="G587" i="4"/>
  <c r="G588" i="4"/>
  <c r="G589" i="4"/>
  <c r="G590" i="4"/>
  <c r="G591" i="4"/>
  <c r="G592" i="4"/>
  <c r="G593" i="4"/>
  <c r="G594" i="4"/>
  <c r="G595" i="4"/>
  <c r="G596" i="4"/>
  <c r="G597" i="4"/>
  <c r="G598" i="4"/>
  <c r="G599" i="4"/>
  <c r="G600" i="4"/>
  <c r="G601" i="4"/>
  <c r="G602" i="4"/>
  <c r="G603" i="4"/>
  <c r="G604" i="4"/>
  <c r="G605" i="4"/>
  <c r="G606" i="4"/>
  <c r="G607" i="4"/>
  <c r="G608" i="4"/>
  <c r="G609" i="4"/>
  <c r="G610" i="4"/>
  <c r="G611" i="4"/>
  <c r="G612" i="4"/>
  <c r="G613" i="4"/>
  <c r="G614" i="4"/>
  <c r="G615" i="4"/>
  <c r="G616" i="4"/>
  <c r="G617" i="4"/>
  <c r="G618" i="4"/>
  <c r="G619" i="4"/>
  <c r="G620" i="4"/>
  <c r="G621" i="4"/>
  <c r="G622" i="4"/>
  <c r="G623" i="4"/>
  <c r="G624" i="4"/>
  <c r="G625" i="4"/>
  <c r="G626" i="4"/>
  <c r="G627" i="4"/>
  <c r="G628" i="4"/>
  <c r="G629" i="4"/>
  <c r="G630" i="4"/>
  <c r="G631" i="4"/>
  <c r="G632" i="4"/>
  <c r="G633" i="4"/>
  <c r="G634" i="4"/>
  <c r="G635" i="4"/>
  <c r="G636" i="4"/>
  <c r="G637" i="4"/>
  <c r="G638" i="4"/>
  <c r="G639" i="4"/>
  <c r="G640" i="4"/>
  <c r="G641" i="4"/>
  <c r="G642" i="4"/>
  <c r="G643" i="4"/>
  <c r="G644" i="4"/>
  <c r="G645" i="4"/>
  <c r="G646" i="4"/>
  <c r="G647" i="4"/>
  <c r="G648" i="4"/>
  <c r="G649" i="4"/>
  <c r="G650" i="4"/>
  <c r="G651" i="4"/>
  <c r="G652" i="4"/>
  <c r="G653" i="4"/>
  <c r="G654" i="4"/>
  <c r="G655" i="4"/>
  <c r="G656" i="4"/>
  <c r="G657" i="4"/>
  <c r="G658" i="4"/>
  <c r="G659" i="4"/>
  <c r="G660" i="4"/>
  <c r="G661" i="4"/>
  <c r="G662" i="4"/>
  <c r="G663" i="4"/>
  <c r="G664" i="4"/>
  <c r="G665" i="4"/>
  <c r="G666" i="4"/>
  <c r="G667" i="4"/>
  <c r="G668" i="4"/>
  <c r="G669" i="4"/>
  <c r="G670" i="4"/>
  <c r="G671" i="4"/>
  <c r="G672" i="4"/>
  <c r="G673" i="4"/>
  <c r="G674" i="4"/>
  <c r="G675" i="4"/>
  <c r="G676" i="4"/>
  <c r="G677" i="4"/>
  <c r="G678" i="4"/>
  <c r="G679" i="4"/>
  <c r="G680" i="4"/>
  <c r="G681" i="4"/>
  <c r="G682" i="4"/>
  <c r="G683" i="4"/>
  <c r="G684" i="4"/>
  <c r="G685" i="4"/>
  <c r="G686" i="4"/>
  <c r="G687" i="4"/>
  <c r="G688" i="4"/>
  <c r="G689" i="4"/>
  <c r="G690" i="4"/>
  <c r="G691" i="4"/>
  <c r="G692" i="4"/>
  <c r="G693" i="4"/>
  <c r="G694" i="4"/>
  <c r="G695" i="4"/>
  <c r="G696" i="4"/>
  <c r="G697" i="4"/>
  <c r="G698" i="4"/>
  <c r="G699" i="4"/>
  <c r="G700" i="4"/>
  <c r="G701" i="4"/>
  <c r="G702" i="4"/>
  <c r="G703" i="4"/>
  <c r="G704" i="4"/>
  <c r="G705" i="4"/>
  <c r="G706" i="4"/>
  <c r="G707" i="4"/>
  <c r="G708" i="4"/>
  <c r="G709" i="4"/>
  <c r="G710" i="4"/>
  <c r="G711" i="4"/>
  <c r="G712" i="4"/>
  <c r="G713" i="4"/>
  <c r="G714" i="4"/>
  <c r="G715" i="4"/>
  <c r="G716" i="4"/>
  <c r="G717" i="4"/>
  <c r="G718" i="4"/>
  <c r="G719" i="4"/>
  <c r="G720" i="4"/>
  <c r="G721" i="4"/>
  <c r="G722" i="4"/>
  <c r="G723" i="4"/>
  <c r="G724" i="4"/>
  <c r="G725" i="4"/>
  <c r="G726" i="4"/>
  <c r="G727" i="4"/>
  <c r="G728" i="4"/>
  <c r="G729" i="4"/>
  <c r="G730" i="4"/>
  <c r="G731" i="4"/>
  <c r="G732" i="4"/>
  <c r="G733" i="4"/>
  <c r="G734" i="4"/>
  <c r="G735" i="4"/>
  <c r="G736" i="4"/>
  <c r="G737" i="4"/>
  <c r="G738" i="4"/>
  <c r="G739" i="4"/>
  <c r="G740" i="4"/>
  <c r="G741" i="4"/>
  <c r="G742" i="4"/>
  <c r="G743" i="4"/>
  <c r="G744" i="4"/>
  <c r="G745" i="4"/>
  <c r="G746" i="4"/>
  <c r="G747" i="4"/>
  <c r="G748" i="4"/>
  <c r="G749" i="4"/>
  <c r="G750" i="4"/>
  <c r="G751" i="4"/>
  <c r="G752" i="4"/>
  <c r="G753" i="4"/>
  <c r="G754" i="4"/>
  <c r="G755" i="4"/>
  <c r="G756" i="4"/>
  <c r="G757" i="4"/>
  <c r="G758" i="4"/>
  <c r="G759" i="4"/>
  <c r="G760" i="4"/>
  <c r="G761" i="4"/>
  <c r="G762" i="4"/>
  <c r="G763" i="4"/>
  <c r="G764" i="4"/>
  <c r="G765" i="4"/>
  <c r="G766" i="4"/>
  <c r="G767" i="4"/>
  <c r="G768" i="4"/>
  <c r="G769" i="4"/>
  <c r="G770" i="4"/>
  <c r="G771" i="4"/>
  <c r="G772" i="4"/>
  <c r="G773" i="4"/>
  <c r="G774" i="4"/>
  <c r="G775" i="4"/>
  <c r="G776" i="4"/>
  <c r="G777" i="4"/>
  <c r="G778" i="4"/>
  <c r="G779" i="4"/>
  <c r="G780" i="4"/>
  <c r="G781" i="4"/>
  <c r="G782" i="4"/>
  <c r="G783" i="4"/>
  <c r="G784" i="4"/>
  <c r="G785" i="4"/>
  <c r="G786" i="4"/>
  <c r="G787" i="4"/>
  <c r="G788" i="4"/>
  <c r="G789" i="4"/>
  <c r="G790" i="4"/>
  <c r="G791" i="4"/>
  <c r="G792" i="4"/>
  <c r="G793" i="4"/>
  <c r="G794" i="4"/>
  <c r="G795" i="4"/>
  <c r="G796" i="4"/>
  <c r="G797" i="4"/>
  <c r="G798" i="4"/>
  <c r="G799" i="4"/>
  <c r="G800" i="4"/>
  <c r="G801" i="4"/>
  <c r="G802" i="4"/>
  <c r="G803" i="4"/>
  <c r="G804" i="4"/>
  <c r="G805" i="4"/>
  <c r="G806" i="4"/>
  <c r="G807" i="4"/>
  <c r="G808" i="4"/>
  <c r="G809" i="4"/>
  <c r="G810" i="4"/>
  <c r="G811" i="4"/>
  <c r="G812" i="4"/>
  <c r="G813" i="4"/>
  <c r="G814" i="4"/>
  <c r="G815" i="4"/>
  <c r="G816" i="4"/>
  <c r="G817" i="4"/>
  <c r="G818" i="4"/>
  <c r="G819" i="4"/>
  <c r="G820" i="4"/>
  <c r="G821" i="4"/>
  <c r="G822" i="4"/>
  <c r="G823" i="4"/>
  <c r="G824" i="4"/>
  <c r="G825" i="4"/>
  <c r="G826" i="4"/>
  <c r="G827" i="4"/>
  <c r="G828" i="4"/>
  <c r="G829" i="4"/>
  <c r="G830" i="4"/>
  <c r="G831" i="4"/>
  <c r="G832" i="4"/>
  <c r="G833" i="4"/>
  <c r="G834" i="4"/>
  <c r="G835" i="4"/>
  <c r="G836" i="4"/>
  <c r="G837" i="4"/>
  <c r="G838" i="4"/>
  <c r="G839" i="4"/>
  <c r="G840" i="4"/>
  <c r="G841" i="4"/>
  <c r="G842" i="4"/>
  <c r="G843" i="4"/>
  <c r="G844" i="4"/>
  <c r="G845" i="4"/>
  <c r="G846" i="4"/>
  <c r="G847" i="4"/>
  <c r="G848" i="4"/>
  <c r="G849" i="4"/>
  <c r="G850" i="4"/>
  <c r="G851" i="4"/>
  <c r="G852" i="4"/>
  <c r="G853" i="4"/>
  <c r="G854" i="4"/>
  <c r="G855" i="4"/>
  <c r="G856" i="4"/>
  <c r="G857" i="4"/>
  <c r="G858" i="4"/>
  <c r="G859" i="4"/>
  <c r="G860" i="4"/>
  <c r="G861" i="4"/>
  <c r="G862" i="4"/>
  <c r="G863" i="4"/>
  <c r="G864" i="4"/>
  <c r="G865" i="4"/>
  <c r="G866" i="4"/>
  <c r="G867" i="4"/>
  <c r="G868" i="4"/>
  <c r="G869" i="4"/>
  <c r="G870" i="4"/>
  <c r="G871" i="4"/>
  <c r="G872" i="4"/>
  <c r="G873" i="4"/>
  <c r="G874" i="4"/>
  <c r="G875" i="4"/>
  <c r="G876" i="4"/>
  <c r="G877" i="4"/>
  <c r="G878" i="4"/>
  <c r="G879" i="4"/>
  <c r="G880" i="4"/>
  <c r="G881" i="4"/>
  <c r="G882" i="4"/>
  <c r="G883" i="4"/>
  <c r="G884" i="4"/>
  <c r="G885" i="4"/>
  <c r="G886" i="4"/>
  <c r="G887" i="4"/>
  <c r="G888" i="4"/>
  <c r="G889" i="4"/>
  <c r="G890" i="4"/>
  <c r="G891" i="4"/>
  <c r="G892" i="4"/>
  <c r="G893" i="4"/>
  <c r="G894" i="4"/>
  <c r="G895" i="4"/>
  <c r="G896" i="4"/>
  <c r="G897" i="4"/>
  <c r="G898" i="4"/>
  <c r="G899" i="4"/>
  <c r="G900" i="4"/>
  <c r="G901" i="4"/>
  <c r="G902" i="4"/>
  <c r="G903" i="4"/>
  <c r="G904" i="4"/>
  <c r="G905" i="4"/>
  <c r="G906" i="4"/>
  <c r="G907" i="4"/>
  <c r="G908" i="4"/>
  <c r="G909" i="4"/>
  <c r="G910" i="4"/>
  <c r="G911" i="4"/>
  <c r="G912" i="4"/>
  <c r="G913" i="4"/>
  <c r="G914" i="4"/>
  <c r="G915" i="4"/>
  <c r="G916" i="4"/>
  <c r="G917" i="4"/>
  <c r="G918" i="4"/>
  <c r="G919" i="4"/>
  <c r="G920" i="4"/>
  <c r="G921" i="4"/>
  <c r="G922" i="4"/>
  <c r="G923" i="4"/>
  <c r="G924" i="4"/>
  <c r="G925" i="4"/>
  <c r="G926" i="4"/>
  <c r="G927" i="4"/>
  <c r="G928" i="4"/>
  <c r="G929" i="4"/>
  <c r="G930" i="4"/>
  <c r="G931" i="4"/>
  <c r="G932" i="4"/>
  <c r="G933" i="4"/>
  <c r="G934" i="4"/>
  <c r="G935" i="4"/>
  <c r="G936" i="4"/>
  <c r="G937" i="4"/>
  <c r="G938" i="4"/>
  <c r="G939" i="4"/>
  <c r="G940" i="4"/>
  <c r="G941" i="4"/>
  <c r="G942" i="4"/>
  <c r="G943" i="4"/>
  <c r="G944" i="4"/>
  <c r="G945" i="4"/>
  <c r="G946" i="4"/>
  <c r="G947" i="4"/>
  <c r="G948" i="4"/>
  <c r="G949" i="4"/>
  <c r="G950" i="4"/>
  <c r="G951" i="4"/>
  <c r="G952" i="4"/>
  <c r="G953" i="4"/>
  <c r="G954" i="4"/>
  <c r="G955" i="4"/>
  <c r="G956" i="4"/>
  <c r="G957" i="4"/>
  <c r="G958" i="4"/>
  <c r="G959" i="4"/>
  <c r="G960" i="4"/>
  <c r="G961" i="4"/>
  <c r="G962" i="4"/>
  <c r="G963" i="4"/>
  <c r="G964" i="4"/>
  <c r="G965" i="4"/>
  <c r="G966" i="4"/>
  <c r="G967" i="4"/>
  <c r="G968" i="4"/>
  <c r="G969" i="4"/>
  <c r="G970" i="4"/>
  <c r="G971" i="4"/>
  <c r="G972" i="4"/>
  <c r="G973" i="4"/>
  <c r="G974" i="4"/>
  <c r="G975" i="4"/>
  <c r="G976" i="4"/>
  <c r="G977" i="4"/>
  <c r="G978" i="4"/>
  <c r="G979" i="4"/>
  <c r="G980" i="4"/>
  <c r="G981" i="4"/>
  <c r="G982" i="4"/>
  <c r="G983" i="4"/>
  <c r="G984" i="4"/>
  <c r="G985" i="4"/>
  <c r="G986" i="4"/>
  <c r="G987" i="4"/>
  <c r="G988" i="4"/>
  <c r="G989" i="4"/>
  <c r="G990" i="4"/>
  <c r="G991" i="4"/>
  <c r="G992" i="4"/>
  <c r="G993" i="4"/>
  <c r="G994" i="4"/>
  <c r="G995" i="4"/>
  <c r="G996" i="4"/>
  <c r="G997" i="4"/>
  <c r="G998" i="4"/>
  <c r="G999" i="4"/>
  <c r="G1000" i="4"/>
  <c r="G1001" i="4"/>
  <c r="G1002" i="4"/>
  <c r="G1003" i="4"/>
  <c r="G1004" i="4"/>
  <c r="G1005" i="4"/>
  <c r="G1006" i="4"/>
  <c r="G1007" i="4"/>
  <c r="G1008" i="4"/>
  <c r="G1009" i="4"/>
  <c r="G1010" i="4"/>
  <c r="G1011" i="4"/>
  <c r="G1012" i="4"/>
  <c r="G1013" i="4"/>
  <c r="G1014" i="4"/>
  <c r="G1015" i="4"/>
  <c r="G1016" i="4"/>
  <c r="G1017" i="4"/>
  <c r="G1018" i="4"/>
  <c r="G1019" i="4"/>
  <c r="G1020" i="4"/>
  <c r="G1021" i="4"/>
  <c r="G1022" i="4"/>
  <c r="G1023" i="4"/>
  <c r="G1024" i="4"/>
  <c r="G1025" i="4"/>
  <c r="G1026" i="4"/>
  <c r="G1027" i="4"/>
  <c r="G1028" i="4"/>
  <c r="G1029" i="4"/>
  <c r="G1030" i="4"/>
  <c r="G1031" i="4"/>
  <c r="G1032" i="4"/>
  <c r="G1033" i="4"/>
  <c r="G1034" i="4"/>
  <c r="G1035" i="4"/>
  <c r="G1036" i="4"/>
  <c r="G1037" i="4"/>
  <c r="G1038" i="4"/>
  <c r="G1039" i="4"/>
  <c r="G1040" i="4"/>
  <c r="G1041" i="4"/>
  <c r="G1042" i="4"/>
  <c r="G1043" i="4"/>
  <c r="G1044" i="4"/>
  <c r="G1045" i="4"/>
  <c r="G1046" i="4"/>
  <c r="G1047" i="4"/>
  <c r="G1048" i="4"/>
  <c r="G1049" i="4"/>
  <c r="G1050" i="4"/>
  <c r="G1051" i="4"/>
  <c r="G1052" i="4"/>
  <c r="G1053" i="4"/>
  <c r="G1054" i="4"/>
  <c r="G1055" i="4"/>
  <c r="G1056" i="4"/>
  <c r="G1057" i="4"/>
  <c r="G1058" i="4"/>
  <c r="G1059" i="4"/>
  <c r="G1060" i="4"/>
  <c r="G1061" i="4"/>
  <c r="G1062" i="4"/>
  <c r="G1063" i="4"/>
  <c r="G1064" i="4"/>
  <c r="G1065" i="4"/>
  <c r="G1066" i="4"/>
  <c r="G1067" i="4"/>
  <c r="G1068" i="4"/>
  <c r="G1069" i="4"/>
  <c r="G1070" i="4"/>
  <c r="G1071" i="4"/>
  <c r="G1072" i="4"/>
  <c r="G1073" i="4"/>
  <c r="G1074" i="4"/>
  <c r="G1075" i="4"/>
  <c r="G1076" i="4"/>
  <c r="G1077" i="4"/>
  <c r="G1078" i="4"/>
  <c r="G1079" i="4"/>
  <c r="G1080" i="4"/>
  <c r="G1081" i="4"/>
  <c r="G1082" i="4"/>
  <c r="G1083" i="4"/>
  <c r="G1084" i="4"/>
  <c r="G1085" i="4"/>
  <c r="G1086" i="4"/>
  <c r="G1087" i="4"/>
  <c r="G1088" i="4"/>
  <c r="G1089" i="4"/>
  <c r="G1090" i="4"/>
  <c r="G1091" i="4"/>
  <c r="G1092" i="4"/>
  <c r="G1093" i="4"/>
  <c r="G1094" i="4"/>
  <c r="G1095" i="4"/>
  <c r="G1096" i="4"/>
  <c r="G1097" i="4"/>
  <c r="G1098" i="4"/>
  <c r="G1099" i="4"/>
  <c r="G1100" i="4"/>
  <c r="G1101" i="4"/>
  <c r="G1102" i="4"/>
  <c r="G1103" i="4"/>
  <c r="G1104" i="4"/>
  <c r="G1105" i="4"/>
  <c r="G1106" i="4"/>
  <c r="G1107" i="4"/>
  <c r="G1108" i="4"/>
  <c r="G1109" i="4"/>
  <c r="G1110" i="4"/>
  <c r="G1111" i="4"/>
  <c r="G1112" i="4"/>
  <c r="G1113" i="4"/>
  <c r="G1114" i="4"/>
  <c r="G1115" i="4"/>
  <c r="G1116" i="4"/>
  <c r="G1117" i="4"/>
  <c r="G1118" i="4"/>
  <c r="G1119" i="4"/>
  <c r="G1120" i="4"/>
  <c r="G1121" i="4"/>
  <c r="G1122" i="4"/>
  <c r="G1123" i="4"/>
  <c r="G1124" i="4"/>
  <c r="G1125" i="4"/>
  <c r="G1126" i="4"/>
  <c r="G1127" i="4"/>
  <c r="G1128" i="4"/>
  <c r="G1129" i="4"/>
  <c r="G1130" i="4"/>
  <c r="G1131" i="4"/>
  <c r="G1132" i="4"/>
  <c r="G1133" i="4"/>
  <c r="G1134" i="4"/>
  <c r="G1135" i="4"/>
  <c r="G1136" i="4"/>
  <c r="G1137" i="4"/>
  <c r="G1138" i="4"/>
  <c r="G1139" i="4"/>
  <c r="G1140" i="4"/>
  <c r="G1141" i="4"/>
  <c r="G1142" i="4"/>
  <c r="G1143" i="4"/>
  <c r="G1144" i="4"/>
  <c r="G1145" i="4"/>
  <c r="G1146" i="4"/>
  <c r="G1147" i="4"/>
  <c r="G1148" i="4"/>
  <c r="G1149" i="4"/>
  <c r="G1150" i="4"/>
  <c r="G1151" i="4"/>
  <c r="G1152" i="4"/>
  <c r="G1153" i="4"/>
  <c r="G1154" i="4"/>
  <c r="G1155" i="4"/>
  <c r="G1156" i="4"/>
  <c r="G1157" i="4"/>
  <c r="G1158" i="4"/>
  <c r="G1159" i="4"/>
  <c r="G1160" i="4"/>
  <c r="G1161" i="4"/>
  <c r="G1162" i="4"/>
  <c r="G1163" i="4"/>
  <c r="G1164" i="4"/>
  <c r="G1165" i="4"/>
  <c r="G1166" i="4"/>
  <c r="G1167" i="4"/>
  <c r="G1168" i="4"/>
  <c r="G1169" i="4"/>
  <c r="G1170" i="4"/>
  <c r="G1171" i="4"/>
  <c r="G1172" i="4"/>
  <c r="G1173" i="4"/>
  <c r="G1174" i="4"/>
  <c r="G1175" i="4"/>
  <c r="G1176" i="4"/>
  <c r="G1177" i="4"/>
  <c r="G1178" i="4"/>
  <c r="G1179" i="4"/>
  <c r="G1180" i="4"/>
  <c r="G1181" i="4"/>
  <c r="G1182" i="4"/>
  <c r="G1183" i="4"/>
  <c r="G1184" i="4"/>
  <c r="G1185" i="4"/>
  <c r="G1186" i="4"/>
  <c r="G1187" i="4"/>
  <c r="G1188" i="4"/>
  <c r="G1189" i="4"/>
  <c r="G1190" i="4"/>
  <c r="G1191" i="4"/>
  <c r="G1192" i="4"/>
  <c r="G1193" i="4"/>
  <c r="G1194" i="4"/>
  <c r="G1195" i="4"/>
  <c r="G1196" i="4"/>
  <c r="G1197" i="4"/>
  <c r="G1198" i="4"/>
  <c r="G1199" i="4"/>
  <c r="G1200" i="4"/>
  <c r="G1201" i="4"/>
  <c r="G1202" i="4"/>
  <c r="G1203" i="4"/>
  <c r="G1204" i="4"/>
  <c r="G1205" i="4"/>
  <c r="G1206" i="4"/>
  <c r="G1207" i="4"/>
  <c r="G1208" i="4"/>
  <c r="G1209" i="4"/>
  <c r="G1210" i="4"/>
  <c r="G1211" i="4"/>
  <c r="G1212" i="4"/>
  <c r="G1213" i="4"/>
  <c r="G1214" i="4"/>
  <c r="G1215" i="4"/>
  <c r="G1216" i="4"/>
  <c r="G1217" i="4"/>
  <c r="G1218" i="4"/>
  <c r="G1219" i="4"/>
  <c r="G1220" i="4"/>
  <c r="G1221" i="4"/>
  <c r="G1222" i="4"/>
  <c r="G1223" i="4"/>
  <c r="G1224" i="4"/>
  <c r="G1225" i="4"/>
  <c r="G1226" i="4"/>
  <c r="G1227" i="4"/>
  <c r="G1228" i="4"/>
  <c r="G1229" i="4"/>
  <c r="G1230" i="4"/>
  <c r="G1231" i="4"/>
  <c r="G1232" i="4"/>
  <c r="G1233" i="4"/>
  <c r="G1234" i="4"/>
  <c r="G1235" i="4"/>
  <c r="G1236" i="4"/>
  <c r="G1237" i="4"/>
  <c r="G1238" i="4"/>
  <c r="G1239" i="4"/>
  <c r="G1240" i="4"/>
  <c r="G1241" i="4"/>
  <c r="G1242" i="4"/>
  <c r="G1243" i="4"/>
  <c r="G1244" i="4"/>
  <c r="G1245" i="4"/>
  <c r="G1246" i="4"/>
  <c r="G1247" i="4"/>
  <c r="G1248" i="4"/>
  <c r="G1249" i="4"/>
  <c r="G1250" i="4"/>
  <c r="G1251" i="4"/>
  <c r="G1252" i="4"/>
  <c r="G1253" i="4"/>
  <c r="G1254" i="4"/>
  <c r="G1255" i="4"/>
  <c r="G1256" i="4"/>
  <c r="G1257" i="4"/>
  <c r="G1258" i="4"/>
  <c r="G1259" i="4"/>
  <c r="G1260" i="4"/>
  <c r="G1261" i="4"/>
  <c r="G1262" i="4"/>
  <c r="G1263" i="4"/>
  <c r="G1264" i="4"/>
  <c r="G1265" i="4"/>
  <c r="G1266" i="4"/>
  <c r="G1267" i="4"/>
  <c r="G1268" i="4"/>
  <c r="G1269" i="4"/>
  <c r="G1270" i="4"/>
  <c r="G1271" i="4"/>
  <c r="G1272" i="4"/>
  <c r="G1273" i="4"/>
  <c r="G1274" i="4"/>
  <c r="G1275" i="4"/>
  <c r="G1276" i="4"/>
  <c r="G1277" i="4"/>
  <c r="G1278" i="4"/>
  <c r="G1279" i="4"/>
  <c r="G1280" i="4"/>
  <c r="G1281" i="4"/>
  <c r="G1282" i="4"/>
  <c r="G1283" i="4"/>
  <c r="G1284" i="4"/>
  <c r="G1285" i="4"/>
  <c r="G1286" i="4"/>
  <c r="G1287" i="4"/>
  <c r="G1288" i="4"/>
  <c r="G1289" i="4"/>
  <c r="G1290" i="4"/>
  <c r="G1291" i="4"/>
  <c r="G1292" i="4"/>
  <c r="G1293" i="4"/>
  <c r="G1294" i="4"/>
  <c r="G1295" i="4"/>
  <c r="G1296" i="4"/>
  <c r="G1297" i="4"/>
  <c r="G1298" i="4"/>
  <c r="G1299" i="4"/>
  <c r="G1300" i="4"/>
  <c r="G1301" i="4"/>
  <c r="G1302" i="4"/>
  <c r="G1303" i="4"/>
  <c r="G1304" i="4"/>
  <c r="G1305" i="4"/>
  <c r="G1306" i="4"/>
  <c r="G1307" i="4"/>
  <c r="G1308" i="4"/>
  <c r="G1309" i="4"/>
  <c r="G1310" i="4"/>
  <c r="G1311" i="4"/>
  <c r="G1312" i="4"/>
  <c r="G1313" i="4"/>
  <c r="G1314" i="4"/>
  <c r="G1315" i="4"/>
  <c r="G1316" i="4"/>
  <c r="G1317" i="4"/>
  <c r="G1318" i="4"/>
  <c r="G1319" i="4"/>
  <c r="G1320" i="4"/>
  <c r="G1321" i="4"/>
  <c r="G1322" i="4"/>
  <c r="G1323" i="4"/>
  <c r="G1324" i="4"/>
  <c r="G1325" i="4"/>
  <c r="G1326" i="4"/>
  <c r="G1327" i="4"/>
  <c r="G1328" i="4"/>
  <c r="G1329" i="4"/>
  <c r="G1330" i="4"/>
  <c r="G1331" i="4"/>
  <c r="G1332" i="4"/>
  <c r="G1333" i="4"/>
  <c r="G1334" i="4"/>
  <c r="G1335" i="4"/>
  <c r="G1336" i="4"/>
  <c r="G1337" i="4"/>
  <c r="G1338" i="4"/>
  <c r="G1339" i="4"/>
  <c r="G1340" i="4"/>
  <c r="G1341" i="4"/>
  <c r="G1342" i="4"/>
  <c r="G1343" i="4"/>
  <c r="G1344" i="4"/>
  <c r="G1345" i="4"/>
  <c r="G1346" i="4"/>
  <c r="G1347" i="4"/>
  <c r="G1348" i="4"/>
  <c r="G1349" i="4"/>
  <c r="G1350" i="4"/>
  <c r="G1351" i="4"/>
  <c r="G1352" i="4"/>
  <c r="G1353" i="4"/>
  <c r="G1354" i="4"/>
  <c r="G1355" i="4"/>
  <c r="G1356" i="4"/>
  <c r="G1357" i="4"/>
  <c r="G1358" i="4"/>
  <c r="G1359" i="4"/>
  <c r="G1360" i="4"/>
  <c r="G1361" i="4"/>
  <c r="G1362" i="4"/>
  <c r="G1363" i="4"/>
  <c r="G1364" i="4"/>
  <c r="G1365" i="4"/>
  <c r="G1366" i="4"/>
  <c r="G1367" i="4"/>
  <c r="G1368" i="4"/>
  <c r="G1369" i="4"/>
  <c r="G1370" i="4"/>
  <c r="G1371" i="4"/>
  <c r="G1372" i="4"/>
  <c r="G1373" i="4"/>
  <c r="G1374" i="4"/>
  <c r="G1375" i="4"/>
  <c r="G1376" i="4"/>
  <c r="G1377" i="4"/>
  <c r="G1378" i="4"/>
  <c r="G1379" i="4"/>
  <c r="G1380" i="4"/>
  <c r="G1381" i="4"/>
  <c r="G1382" i="4"/>
  <c r="G1383" i="4"/>
  <c r="G1384" i="4"/>
  <c r="G1385" i="4"/>
  <c r="G1386" i="4"/>
  <c r="G1387" i="4"/>
  <c r="G1388" i="4"/>
  <c r="G1389" i="4"/>
  <c r="G1390" i="4"/>
  <c r="G1391" i="4"/>
  <c r="G1392" i="4"/>
  <c r="G1393" i="4"/>
  <c r="G1394" i="4"/>
  <c r="G1395" i="4"/>
  <c r="G1396" i="4"/>
  <c r="G1397" i="4"/>
  <c r="G1398" i="4"/>
  <c r="G1399" i="4"/>
  <c r="G1400" i="4"/>
  <c r="G1401" i="4"/>
  <c r="G1402" i="4"/>
  <c r="G1403" i="4"/>
  <c r="G1404" i="4"/>
  <c r="G1405" i="4"/>
  <c r="G1406" i="4"/>
  <c r="G1407" i="4"/>
  <c r="G1408" i="4"/>
  <c r="G1409" i="4"/>
  <c r="G1410" i="4"/>
  <c r="G1411" i="4"/>
  <c r="G1412" i="4"/>
  <c r="G1413" i="4"/>
  <c r="G1414" i="4"/>
  <c r="G1415" i="4"/>
  <c r="G1416" i="4"/>
  <c r="G1417" i="4"/>
  <c r="G1418" i="4"/>
  <c r="G1419" i="4"/>
  <c r="G1420" i="4"/>
  <c r="G1421" i="4"/>
  <c r="G1422" i="4"/>
  <c r="G1423" i="4"/>
  <c r="G1424" i="4"/>
  <c r="G1425" i="4"/>
  <c r="G1426" i="4"/>
  <c r="G1427" i="4"/>
  <c r="G1428" i="4"/>
  <c r="G1429" i="4"/>
  <c r="G1430" i="4"/>
  <c r="G1431" i="4"/>
  <c r="G1432" i="4"/>
  <c r="G1433" i="4"/>
  <c r="G1434" i="4"/>
  <c r="G1435" i="4"/>
  <c r="G1436" i="4"/>
  <c r="G1437" i="4"/>
  <c r="G1438" i="4"/>
  <c r="G1439" i="4"/>
  <c r="G1440" i="4"/>
  <c r="G1441" i="4"/>
  <c r="G1442" i="4"/>
  <c r="G1443" i="4"/>
  <c r="G1444" i="4"/>
  <c r="G1445" i="4"/>
  <c r="G1446" i="4"/>
  <c r="G1447" i="4"/>
  <c r="G1448" i="4"/>
  <c r="G1449" i="4"/>
  <c r="G1450" i="4"/>
  <c r="G1451" i="4"/>
  <c r="G1452" i="4"/>
  <c r="G1453" i="4"/>
  <c r="G1454" i="4"/>
  <c r="G1455" i="4"/>
  <c r="G1456" i="4"/>
  <c r="G1457" i="4"/>
  <c r="G1458" i="4"/>
  <c r="G1459" i="4"/>
  <c r="G1460" i="4"/>
  <c r="G1461" i="4"/>
  <c r="G1462" i="4"/>
  <c r="G1463" i="4"/>
  <c r="G1464" i="4"/>
  <c r="G1465" i="4"/>
  <c r="G1466" i="4"/>
  <c r="G1467" i="4"/>
  <c r="G1468" i="4"/>
  <c r="G1469" i="4"/>
  <c r="G1470" i="4"/>
  <c r="G1471" i="4"/>
  <c r="G1472" i="4"/>
  <c r="G1473" i="4"/>
  <c r="G1474" i="4"/>
  <c r="G1475" i="4"/>
  <c r="G1476" i="4"/>
  <c r="G1477" i="4"/>
  <c r="G1478" i="4"/>
  <c r="G1479" i="4"/>
  <c r="G1480" i="4"/>
  <c r="G1481" i="4"/>
  <c r="G1482" i="4"/>
  <c r="G1483" i="4"/>
  <c r="G1484" i="4"/>
  <c r="G1485" i="4"/>
  <c r="G1486" i="4"/>
  <c r="G1487" i="4"/>
  <c r="G1488" i="4"/>
  <c r="G1489" i="4"/>
  <c r="G1490" i="4"/>
  <c r="G1491" i="4"/>
  <c r="G1492" i="4"/>
  <c r="G1493" i="4"/>
  <c r="G1494" i="4"/>
  <c r="G1495" i="4"/>
  <c r="G1496" i="4"/>
  <c r="G1497" i="4"/>
  <c r="G1498" i="4"/>
  <c r="G1499" i="4"/>
  <c r="G1500" i="4"/>
  <c r="G1501" i="4"/>
  <c r="G1502" i="4"/>
  <c r="G1503" i="4"/>
  <c r="G1504" i="4"/>
  <c r="G1505" i="4"/>
  <c r="G1506" i="4"/>
  <c r="G1507" i="4"/>
  <c r="G1508" i="4"/>
  <c r="G1509" i="4"/>
  <c r="G1510" i="4"/>
  <c r="G1511" i="4"/>
  <c r="G1512" i="4"/>
  <c r="G1513" i="4"/>
  <c r="G1514" i="4"/>
  <c r="G1515" i="4"/>
  <c r="G1516" i="4"/>
  <c r="G1517" i="4"/>
  <c r="G1518" i="4"/>
  <c r="G1519" i="4"/>
  <c r="G1520" i="4"/>
  <c r="G1521" i="4"/>
  <c r="G1522" i="4"/>
  <c r="G1523" i="4"/>
  <c r="G1524" i="4"/>
  <c r="G1525" i="4"/>
  <c r="G1526" i="4"/>
  <c r="G1527" i="4"/>
  <c r="G1528" i="4"/>
  <c r="G1529" i="4"/>
  <c r="G1530" i="4"/>
  <c r="G1531" i="4"/>
  <c r="G1532" i="4"/>
  <c r="G1533" i="4"/>
  <c r="G1534" i="4"/>
  <c r="G1535" i="4"/>
  <c r="G1536" i="4"/>
  <c r="G1537" i="4"/>
  <c r="G1538" i="4"/>
  <c r="G1539" i="4"/>
  <c r="G1540" i="4"/>
  <c r="G1541" i="4"/>
  <c r="G1542" i="4"/>
  <c r="G1543" i="4"/>
  <c r="G1544" i="4"/>
  <c r="G1545" i="4"/>
  <c r="G1546" i="4"/>
  <c r="G1547" i="4"/>
  <c r="G1548" i="4"/>
  <c r="G1549" i="4"/>
  <c r="G1550" i="4"/>
  <c r="G1551" i="4"/>
  <c r="G1552" i="4"/>
  <c r="G1553" i="4"/>
  <c r="G1554" i="4"/>
  <c r="G1555" i="4"/>
  <c r="G1556" i="4"/>
  <c r="G1557" i="4"/>
  <c r="G1558" i="4"/>
  <c r="G1559" i="4"/>
  <c r="G1560" i="4"/>
  <c r="G1561" i="4"/>
  <c r="G1562" i="4"/>
  <c r="G1563" i="4"/>
  <c r="G1564" i="4"/>
  <c r="G1565" i="4"/>
  <c r="G1566" i="4"/>
  <c r="G1567" i="4"/>
  <c r="G1568" i="4"/>
  <c r="G1569" i="4"/>
  <c r="G1570" i="4"/>
  <c r="G1571" i="4"/>
  <c r="G1572" i="4"/>
  <c r="G1573" i="4"/>
  <c r="G1574" i="4"/>
  <c r="G1575" i="4"/>
  <c r="G1576" i="4"/>
  <c r="G1577" i="4"/>
  <c r="G1578" i="4"/>
  <c r="G1579" i="4"/>
  <c r="G1580" i="4"/>
  <c r="G1581" i="4"/>
  <c r="G1582" i="4"/>
  <c r="G1583" i="4"/>
  <c r="G1584" i="4"/>
  <c r="G1585" i="4"/>
  <c r="G1586" i="4"/>
  <c r="G1587" i="4"/>
  <c r="G1588" i="4"/>
  <c r="G1589" i="4"/>
  <c r="G1590" i="4"/>
  <c r="G1591" i="4"/>
  <c r="G1592" i="4"/>
  <c r="G1593" i="4"/>
  <c r="G1594" i="4"/>
  <c r="G1595" i="4"/>
  <c r="G1596" i="4"/>
  <c r="G1597" i="4"/>
  <c r="G1598" i="4"/>
  <c r="G1599" i="4"/>
  <c r="G1600" i="4"/>
  <c r="G1601" i="4"/>
  <c r="G1602" i="4"/>
  <c r="G1603" i="4"/>
  <c r="G1604" i="4"/>
  <c r="G1605" i="4"/>
  <c r="G1606" i="4"/>
  <c r="G1607" i="4"/>
  <c r="G1608" i="4"/>
  <c r="G1609" i="4"/>
  <c r="G1610" i="4"/>
  <c r="G1611" i="4"/>
  <c r="G1612" i="4"/>
  <c r="G1613" i="4"/>
  <c r="G1614" i="4"/>
  <c r="G1615" i="4"/>
  <c r="G1616" i="4"/>
  <c r="G1617" i="4"/>
  <c r="G1618" i="4"/>
  <c r="G1619" i="4"/>
  <c r="G1620" i="4"/>
  <c r="G1621" i="4"/>
  <c r="G1622" i="4"/>
  <c r="G1623" i="4"/>
  <c r="G1624" i="4"/>
  <c r="G1625" i="4"/>
  <c r="G1626" i="4"/>
  <c r="G1627" i="4"/>
  <c r="G1628" i="4"/>
  <c r="G1629" i="4"/>
  <c r="G1630" i="4"/>
  <c r="G1631" i="4"/>
  <c r="G1632" i="4"/>
  <c r="G1633" i="4"/>
  <c r="G1634" i="4"/>
  <c r="G1635" i="4"/>
  <c r="G1636" i="4"/>
  <c r="G1637" i="4"/>
  <c r="G1638" i="4"/>
  <c r="G1639" i="4"/>
  <c r="G1640" i="4"/>
  <c r="G1641" i="4"/>
  <c r="G1642" i="4"/>
  <c r="G1643" i="4"/>
  <c r="G1644" i="4"/>
  <c r="G1645" i="4"/>
  <c r="G1646" i="4"/>
  <c r="G1647" i="4"/>
  <c r="G1648" i="4"/>
  <c r="G1649" i="4"/>
  <c r="G1650" i="4"/>
  <c r="G1651" i="4"/>
  <c r="G1652" i="4"/>
  <c r="G1653" i="4"/>
  <c r="G1654" i="4"/>
  <c r="G1655" i="4"/>
  <c r="G1656" i="4"/>
  <c r="G1657" i="4"/>
  <c r="G1658" i="4"/>
  <c r="G1659" i="4"/>
  <c r="G1660" i="4"/>
  <c r="G1661" i="4"/>
  <c r="G1662" i="4"/>
  <c r="G1663" i="4"/>
  <c r="G1664" i="4"/>
  <c r="G1665" i="4"/>
  <c r="G1666" i="4"/>
  <c r="G1667" i="4"/>
  <c r="G1668" i="4"/>
  <c r="G1669" i="4"/>
  <c r="G1670" i="4"/>
  <c r="G1671" i="4"/>
  <c r="G1672" i="4"/>
  <c r="G1673" i="4"/>
  <c r="G1674" i="4"/>
  <c r="G1675" i="4"/>
  <c r="G1676" i="4"/>
  <c r="G1677" i="4"/>
  <c r="G1678" i="4"/>
  <c r="G1679" i="4"/>
  <c r="G1680" i="4"/>
  <c r="G1681" i="4"/>
  <c r="G1682" i="4"/>
  <c r="G1683" i="4"/>
  <c r="G1684" i="4"/>
  <c r="G1685" i="4"/>
  <c r="G1686" i="4"/>
  <c r="G1687" i="4"/>
  <c r="G1688" i="4"/>
  <c r="G1689" i="4"/>
  <c r="G1690" i="4"/>
  <c r="G1691" i="4"/>
  <c r="G1692" i="4"/>
  <c r="G1693" i="4"/>
  <c r="G1694" i="4"/>
  <c r="G1695" i="4"/>
  <c r="G1696" i="4"/>
  <c r="G1697" i="4"/>
  <c r="G1698" i="4"/>
  <c r="G1699" i="4"/>
  <c r="G1700" i="4"/>
  <c r="G1701" i="4"/>
  <c r="G1702" i="4"/>
  <c r="G1703" i="4"/>
  <c r="G1704" i="4"/>
  <c r="G1705" i="4"/>
  <c r="G1706" i="4"/>
  <c r="G1707" i="4"/>
  <c r="G1708" i="4"/>
  <c r="G1709" i="4"/>
  <c r="G1710" i="4"/>
  <c r="G1711" i="4"/>
  <c r="G1712" i="4"/>
  <c r="G1713" i="4"/>
  <c r="G1714" i="4"/>
  <c r="G1715" i="4"/>
  <c r="G1716" i="4"/>
  <c r="G1717" i="4"/>
  <c r="G1718" i="4"/>
  <c r="G1719" i="4"/>
  <c r="G1720" i="4"/>
  <c r="G1721" i="4"/>
  <c r="G1722" i="4"/>
  <c r="G1723" i="4"/>
  <c r="G1724" i="4"/>
  <c r="G1725" i="4"/>
  <c r="G1726" i="4"/>
  <c r="G1727" i="4"/>
  <c r="G1728" i="4"/>
  <c r="G1729" i="4"/>
  <c r="G1730" i="4"/>
  <c r="G1731" i="4"/>
  <c r="G1732" i="4"/>
  <c r="G1733" i="4"/>
  <c r="G1734" i="4"/>
  <c r="G1735" i="4"/>
  <c r="G1736" i="4"/>
  <c r="G1737" i="4"/>
  <c r="G1738" i="4"/>
  <c r="G1739" i="4"/>
  <c r="G1740" i="4"/>
  <c r="G1741" i="4"/>
  <c r="G1742" i="4"/>
  <c r="G1743" i="4"/>
  <c r="G1744" i="4"/>
  <c r="G1745" i="4"/>
  <c r="G1746" i="4"/>
  <c r="G1747" i="4"/>
  <c r="G1748" i="4"/>
  <c r="G1749" i="4"/>
  <c r="G1750" i="4"/>
  <c r="G1751" i="4"/>
  <c r="G1752" i="4"/>
  <c r="G1753" i="4"/>
  <c r="G1754" i="4"/>
  <c r="G1755" i="4"/>
  <c r="G1756" i="4"/>
  <c r="G1757" i="4"/>
  <c r="G1758" i="4"/>
  <c r="G1759" i="4"/>
  <c r="G1760" i="4"/>
  <c r="G1761" i="4"/>
  <c r="G1762" i="4"/>
  <c r="G1763" i="4"/>
  <c r="G1764" i="4"/>
  <c r="G1765" i="4"/>
  <c r="G1766" i="4"/>
  <c r="G1767" i="4"/>
  <c r="G1768" i="4"/>
  <c r="G1769" i="4"/>
  <c r="G1770" i="4"/>
  <c r="G1771" i="4"/>
  <c r="G1772" i="4"/>
  <c r="G1773" i="4"/>
  <c r="G1774" i="4"/>
  <c r="G1775" i="4"/>
  <c r="G1776" i="4"/>
  <c r="G1777" i="4"/>
  <c r="G1778" i="4"/>
  <c r="G1779" i="4"/>
  <c r="G1780" i="4"/>
  <c r="G1781" i="4"/>
  <c r="G1782" i="4"/>
  <c r="G1783" i="4"/>
  <c r="G1784" i="4"/>
  <c r="G1785" i="4"/>
  <c r="G1786" i="4"/>
  <c r="G1787" i="4"/>
  <c r="G1788" i="4"/>
  <c r="G1789" i="4"/>
  <c r="G1790" i="4"/>
  <c r="G1791" i="4"/>
  <c r="G1792" i="4"/>
  <c r="G1793" i="4"/>
  <c r="G1794" i="4"/>
  <c r="G1795" i="4"/>
  <c r="G1796" i="4"/>
  <c r="G1797" i="4"/>
  <c r="G1798" i="4"/>
  <c r="G1799" i="4"/>
  <c r="G1800" i="4"/>
  <c r="G1801" i="4"/>
  <c r="G1802" i="4"/>
  <c r="G1803" i="4"/>
  <c r="G1804" i="4"/>
  <c r="G1805" i="4"/>
  <c r="G1806" i="4"/>
  <c r="G1807" i="4"/>
  <c r="G1808" i="4"/>
  <c r="G1809" i="4"/>
  <c r="G1810" i="4"/>
  <c r="G1811" i="4"/>
  <c r="G1812" i="4"/>
  <c r="G1813" i="4"/>
  <c r="G1814" i="4"/>
  <c r="G1815" i="4"/>
  <c r="G1816" i="4"/>
  <c r="G1817" i="4"/>
  <c r="G1818" i="4"/>
  <c r="G1819" i="4"/>
  <c r="G1820" i="4"/>
  <c r="G1821" i="4"/>
  <c r="G1822" i="4"/>
  <c r="G1823" i="4"/>
  <c r="G1824" i="4"/>
  <c r="G1825" i="4"/>
  <c r="G1826" i="4"/>
  <c r="G1827" i="4"/>
  <c r="G1828" i="4"/>
  <c r="G1829" i="4"/>
  <c r="G1830" i="4"/>
  <c r="G1831" i="4"/>
  <c r="G1832" i="4"/>
  <c r="G1833" i="4"/>
  <c r="G1834" i="4"/>
  <c r="G1835" i="4"/>
  <c r="G1836" i="4"/>
  <c r="G1837" i="4"/>
  <c r="G1838" i="4"/>
  <c r="G1839" i="4"/>
  <c r="G1840" i="4"/>
  <c r="G1841" i="4"/>
  <c r="G1842" i="4"/>
  <c r="G1843" i="4"/>
  <c r="G1844" i="4"/>
  <c r="G1845" i="4"/>
  <c r="G1846" i="4"/>
  <c r="G1847" i="4"/>
  <c r="G1848" i="4"/>
  <c r="G1849" i="4"/>
  <c r="G1850" i="4"/>
  <c r="G1851" i="4"/>
  <c r="G1852" i="4"/>
  <c r="G1853" i="4"/>
  <c r="G1854" i="4"/>
  <c r="G1855" i="4"/>
  <c r="G1856" i="4"/>
  <c r="G1857" i="4"/>
  <c r="G1858" i="4"/>
  <c r="G1859" i="4"/>
  <c r="G1860" i="4"/>
  <c r="G1861" i="4"/>
  <c r="G1862" i="4"/>
  <c r="G1863" i="4"/>
  <c r="G1864" i="4"/>
  <c r="G1865" i="4"/>
  <c r="G1866" i="4"/>
  <c r="G1867" i="4"/>
  <c r="G1868" i="4"/>
  <c r="G1869" i="4"/>
  <c r="G1870" i="4"/>
  <c r="G1871" i="4"/>
  <c r="G1872" i="4"/>
  <c r="G1873" i="4"/>
  <c r="G1874" i="4"/>
  <c r="G1875" i="4"/>
  <c r="G1876" i="4"/>
  <c r="G1877" i="4"/>
  <c r="G1878" i="4"/>
  <c r="G1879" i="4"/>
  <c r="G1880" i="4"/>
  <c r="G1881" i="4"/>
  <c r="G1882" i="4"/>
  <c r="G1883" i="4"/>
  <c r="G1884" i="4"/>
  <c r="G1885" i="4"/>
  <c r="G1886" i="4"/>
  <c r="G1887" i="4"/>
  <c r="G1888" i="4"/>
  <c r="G1889" i="4"/>
  <c r="G1890" i="4"/>
  <c r="G1891" i="4"/>
  <c r="G1892" i="4"/>
  <c r="G1893" i="4"/>
  <c r="G1894" i="4"/>
  <c r="G1895" i="4"/>
  <c r="G1896" i="4"/>
  <c r="G1897" i="4"/>
  <c r="G1898" i="4"/>
  <c r="G1899" i="4"/>
  <c r="G1900" i="4"/>
  <c r="G1901" i="4"/>
  <c r="G1902" i="4"/>
  <c r="G1903" i="4"/>
  <c r="G1904" i="4"/>
  <c r="G1905" i="4"/>
  <c r="G1906" i="4"/>
  <c r="G1907" i="4"/>
  <c r="G1908" i="4"/>
  <c r="G1909" i="4"/>
  <c r="G1910" i="4"/>
  <c r="G1911" i="4"/>
  <c r="G1912" i="4"/>
  <c r="G1913" i="4"/>
  <c r="G1914" i="4"/>
  <c r="G1915" i="4"/>
  <c r="G1916" i="4"/>
  <c r="G1917" i="4"/>
  <c r="G1918" i="4"/>
  <c r="G1919" i="4"/>
  <c r="G1920" i="4"/>
  <c r="G1921" i="4"/>
  <c r="G1922" i="4"/>
  <c r="G1923" i="4"/>
  <c r="G1924" i="4"/>
  <c r="G1925" i="4"/>
  <c r="G1926" i="4"/>
  <c r="G1927" i="4"/>
  <c r="G1928" i="4"/>
  <c r="G1929" i="4"/>
  <c r="G1930" i="4"/>
  <c r="G1931" i="4"/>
  <c r="G1932" i="4"/>
  <c r="G1933" i="4"/>
  <c r="G1934" i="4"/>
  <c r="G1935" i="4"/>
  <c r="G1936" i="4"/>
  <c r="G1937" i="4"/>
  <c r="G1938" i="4"/>
  <c r="G1939" i="4"/>
  <c r="G1940" i="4"/>
  <c r="G1941" i="4"/>
  <c r="G1942" i="4"/>
  <c r="G1943" i="4"/>
  <c r="G1944" i="4"/>
  <c r="G1945" i="4"/>
  <c r="G1946" i="4"/>
  <c r="G1947" i="4"/>
  <c r="G1948" i="4"/>
  <c r="G1949" i="4"/>
  <c r="G1950" i="4"/>
  <c r="G1951" i="4"/>
  <c r="G1952" i="4"/>
  <c r="G1953" i="4"/>
  <c r="G1954" i="4"/>
  <c r="G1955" i="4"/>
  <c r="G1956" i="4"/>
  <c r="G1957" i="4"/>
  <c r="G1958" i="4"/>
  <c r="G1959" i="4"/>
  <c r="G1960" i="4"/>
  <c r="G1961" i="4"/>
  <c r="G1962" i="4"/>
  <c r="G1963" i="4"/>
  <c r="G1964" i="4"/>
  <c r="G1965" i="4"/>
  <c r="G1966" i="4"/>
  <c r="G1967" i="4"/>
  <c r="G1968" i="4"/>
  <c r="G1969" i="4"/>
  <c r="G1970" i="4"/>
  <c r="G1971" i="4"/>
  <c r="G1972" i="4"/>
  <c r="G1973" i="4"/>
  <c r="G1974" i="4"/>
  <c r="G1975" i="4"/>
  <c r="G1976" i="4"/>
  <c r="G1977" i="4"/>
  <c r="G1978" i="4"/>
  <c r="G1979" i="4"/>
  <c r="G1980" i="4"/>
  <c r="G1981" i="4"/>
  <c r="G1982" i="4"/>
  <c r="G1983" i="4"/>
  <c r="G1984" i="4"/>
  <c r="G1985" i="4"/>
  <c r="G1986" i="4"/>
  <c r="G1987" i="4"/>
  <c r="G1988" i="4"/>
  <c r="G1989" i="4"/>
  <c r="G1990" i="4"/>
  <c r="G1991" i="4"/>
  <c r="G1992" i="4"/>
  <c r="G1993" i="4"/>
  <c r="G1994" i="4"/>
  <c r="G1995" i="4"/>
  <c r="G1996" i="4"/>
  <c r="G1997" i="4"/>
  <c r="G1998" i="4"/>
  <c r="G3" i="4"/>
  <c r="G4" i="4"/>
  <c r="G5" i="4"/>
  <c r="G6" i="4"/>
  <c r="G7" i="4"/>
  <c r="G8" i="4"/>
  <c r="G9" i="4"/>
  <c r="G10" i="4"/>
  <c r="G11" i="4"/>
  <c r="G12" i="4"/>
  <c r="G13" i="4"/>
  <c r="G14" i="4"/>
  <c r="G15" i="4"/>
  <c r="G16" i="4"/>
  <c r="G17" i="4"/>
  <c r="G18" i="4"/>
  <c r="G19" i="4"/>
  <c r="G20" i="4"/>
  <c r="G21" i="4"/>
  <c r="G22" i="4"/>
  <c r="G23" i="4"/>
  <c r="G24" i="4"/>
  <c r="G25" i="4"/>
  <c r="G26" i="4"/>
  <c r="G27" i="4"/>
  <c r="G28" i="4"/>
  <c r="G29" i="4"/>
  <c r="G30" i="4"/>
  <c r="G31" i="4"/>
  <c r="G32" i="4"/>
  <c r="G33" i="4"/>
  <c r="G34" i="4"/>
  <c r="G35" i="4"/>
  <c r="G36" i="4"/>
  <c r="G37" i="4"/>
  <c r="G38" i="4"/>
  <c r="G39" i="4"/>
  <c r="G40" i="4"/>
  <c r="H2" i="4"/>
  <c r="G2" i="4"/>
  <c r="F28" i="4"/>
  <c r="F29" i="4"/>
  <c r="F30" i="4"/>
  <c r="F31" i="4"/>
  <c r="F32" i="4"/>
  <c r="F33" i="4"/>
  <c r="F34" i="4"/>
  <c r="F35" i="4"/>
  <c r="F36" i="4"/>
  <c r="F37" i="4"/>
  <c r="F38" i="4"/>
  <c r="F39" i="4"/>
  <c r="F40" i="4"/>
  <c r="F41" i="4"/>
  <c r="F42" i="4"/>
  <c r="F43" i="4"/>
  <c r="F44" i="4"/>
  <c r="F45" i="4"/>
  <c r="F46" i="4"/>
  <c r="F47" i="4"/>
  <c r="F48" i="4"/>
  <c r="F49" i="4"/>
  <c r="F50" i="4"/>
  <c r="F51" i="4"/>
  <c r="F52" i="4"/>
  <c r="F53" i="4"/>
  <c r="F54" i="4"/>
  <c r="F55" i="4"/>
  <c r="F56" i="4"/>
  <c r="F57" i="4"/>
  <c r="F58" i="4"/>
  <c r="F59" i="4"/>
  <c r="F60" i="4"/>
  <c r="F61" i="4"/>
  <c r="F62" i="4"/>
  <c r="F63" i="4"/>
  <c r="F64" i="4"/>
  <c r="F65" i="4"/>
  <c r="F66" i="4"/>
  <c r="F67" i="4"/>
  <c r="F68" i="4"/>
  <c r="F69" i="4"/>
  <c r="F70" i="4"/>
  <c r="F71" i="4"/>
  <c r="F72" i="4"/>
  <c r="F73" i="4"/>
  <c r="F74" i="4"/>
  <c r="F75" i="4"/>
  <c r="F76" i="4"/>
  <c r="F77" i="4"/>
  <c r="F78" i="4"/>
  <c r="F79" i="4"/>
  <c r="F80" i="4"/>
  <c r="F81" i="4"/>
  <c r="F82" i="4"/>
  <c r="F83" i="4"/>
  <c r="F84" i="4"/>
  <c r="F85" i="4"/>
  <c r="F86" i="4"/>
  <c r="F87" i="4"/>
  <c r="F88" i="4"/>
  <c r="F89" i="4"/>
  <c r="F90" i="4"/>
  <c r="F91" i="4"/>
  <c r="F92" i="4"/>
  <c r="F93" i="4"/>
  <c r="F94" i="4"/>
  <c r="F95" i="4"/>
  <c r="F96" i="4"/>
  <c r="F97" i="4"/>
  <c r="F98" i="4"/>
  <c r="F99" i="4"/>
  <c r="F100" i="4"/>
  <c r="F101" i="4"/>
  <c r="F102" i="4"/>
  <c r="F103" i="4"/>
  <c r="F104" i="4"/>
  <c r="F105" i="4"/>
  <c r="F106" i="4"/>
  <c r="F107" i="4"/>
  <c r="F108" i="4"/>
  <c r="F109" i="4"/>
  <c r="F110" i="4"/>
  <c r="F111" i="4"/>
  <c r="F112" i="4"/>
  <c r="F113" i="4"/>
  <c r="F114" i="4"/>
  <c r="F115" i="4"/>
  <c r="F116" i="4"/>
  <c r="F117" i="4"/>
  <c r="F118" i="4"/>
  <c r="F119" i="4"/>
  <c r="F120" i="4"/>
  <c r="F121" i="4"/>
  <c r="F122" i="4"/>
  <c r="F123" i="4"/>
  <c r="F124" i="4"/>
  <c r="F125" i="4"/>
  <c r="F126" i="4"/>
  <c r="F127" i="4"/>
  <c r="F128" i="4"/>
  <c r="F129" i="4"/>
  <c r="F130" i="4"/>
  <c r="F131" i="4"/>
  <c r="F132" i="4"/>
  <c r="F133" i="4"/>
  <c r="F134" i="4"/>
  <c r="F135" i="4"/>
  <c r="F136" i="4"/>
  <c r="F137" i="4"/>
  <c r="F138" i="4"/>
  <c r="F139" i="4"/>
  <c r="F140" i="4"/>
  <c r="F141" i="4"/>
  <c r="F142" i="4"/>
  <c r="F143" i="4"/>
  <c r="F144" i="4"/>
  <c r="F145" i="4"/>
  <c r="F146" i="4"/>
  <c r="F147" i="4"/>
  <c r="F148" i="4"/>
  <c r="F149" i="4"/>
  <c r="F150" i="4"/>
  <c r="F151" i="4"/>
  <c r="F152" i="4"/>
  <c r="F153" i="4"/>
  <c r="F154" i="4"/>
  <c r="F155" i="4"/>
  <c r="F156" i="4"/>
  <c r="F157" i="4"/>
  <c r="F158" i="4"/>
  <c r="F159" i="4"/>
  <c r="F160" i="4"/>
  <c r="F161" i="4"/>
  <c r="F162" i="4"/>
  <c r="F163" i="4"/>
  <c r="F164" i="4"/>
  <c r="F165" i="4"/>
  <c r="F166" i="4"/>
  <c r="F167" i="4"/>
  <c r="F168" i="4"/>
  <c r="F169" i="4"/>
  <c r="F170" i="4"/>
  <c r="F171" i="4"/>
  <c r="F172" i="4"/>
  <c r="F173" i="4"/>
  <c r="F174" i="4"/>
  <c r="F175" i="4"/>
  <c r="F176" i="4"/>
  <c r="F177" i="4"/>
  <c r="F178" i="4"/>
  <c r="F179" i="4"/>
  <c r="F180" i="4"/>
  <c r="F181" i="4"/>
  <c r="F182" i="4"/>
  <c r="F183" i="4"/>
  <c r="F184" i="4"/>
  <c r="F185" i="4"/>
  <c r="F186" i="4"/>
  <c r="F187" i="4"/>
  <c r="F188" i="4"/>
  <c r="F189" i="4"/>
  <c r="F190" i="4"/>
  <c r="F191" i="4"/>
  <c r="F192" i="4"/>
  <c r="F193" i="4"/>
  <c r="F194" i="4"/>
  <c r="F195" i="4"/>
  <c r="F196" i="4"/>
  <c r="F197" i="4"/>
  <c r="F198" i="4"/>
  <c r="F199" i="4"/>
  <c r="F200" i="4"/>
  <c r="F201" i="4"/>
  <c r="F202" i="4"/>
  <c r="F203" i="4"/>
  <c r="F204" i="4"/>
  <c r="F205" i="4"/>
  <c r="F206" i="4"/>
  <c r="F207" i="4"/>
  <c r="F208" i="4"/>
  <c r="F209" i="4"/>
  <c r="F210" i="4"/>
  <c r="F211" i="4"/>
  <c r="F212" i="4"/>
  <c r="F213" i="4"/>
  <c r="F214" i="4"/>
  <c r="F215" i="4"/>
  <c r="F216" i="4"/>
  <c r="F217" i="4"/>
  <c r="F218" i="4"/>
  <c r="F219" i="4"/>
  <c r="F220" i="4"/>
  <c r="F221" i="4"/>
  <c r="F222" i="4"/>
  <c r="F223" i="4"/>
  <c r="F224" i="4"/>
  <c r="F225" i="4"/>
  <c r="F226" i="4"/>
  <c r="F227" i="4"/>
  <c r="F228" i="4"/>
  <c r="F229" i="4"/>
  <c r="F230" i="4"/>
  <c r="F231" i="4"/>
  <c r="F232" i="4"/>
  <c r="F233" i="4"/>
  <c r="F234" i="4"/>
  <c r="F235" i="4"/>
  <c r="F236" i="4"/>
  <c r="F237" i="4"/>
  <c r="F238" i="4"/>
  <c r="F239" i="4"/>
  <c r="F240" i="4"/>
  <c r="F241" i="4"/>
  <c r="F242" i="4"/>
  <c r="F243" i="4"/>
  <c r="F244" i="4"/>
  <c r="F245" i="4"/>
  <c r="F246" i="4"/>
  <c r="F247" i="4"/>
  <c r="F248" i="4"/>
  <c r="F249" i="4"/>
  <c r="F250" i="4"/>
  <c r="F251" i="4"/>
  <c r="F252" i="4"/>
  <c r="F253" i="4"/>
  <c r="F254" i="4"/>
  <c r="F255" i="4"/>
  <c r="F256" i="4"/>
  <c r="F257" i="4"/>
  <c r="F258" i="4"/>
  <c r="F259" i="4"/>
  <c r="F260" i="4"/>
  <c r="F261" i="4"/>
  <c r="F262" i="4"/>
  <c r="F263" i="4"/>
  <c r="F264" i="4"/>
  <c r="F265" i="4"/>
  <c r="F266" i="4"/>
  <c r="F267" i="4"/>
  <c r="F268" i="4"/>
  <c r="F269" i="4"/>
  <c r="F270" i="4"/>
  <c r="F271" i="4"/>
  <c r="F272" i="4"/>
  <c r="F273" i="4"/>
  <c r="F274" i="4"/>
  <c r="F275" i="4"/>
  <c r="F276" i="4"/>
  <c r="F277" i="4"/>
  <c r="F278" i="4"/>
  <c r="F279" i="4"/>
  <c r="F280" i="4"/>
  <c r="F281" i="4"/>
  <c r="F282" i="4"/>
  <c r="F283" i="4"/>
  <c r="F284" i="4"/>
  <c r="F285" i="4"/>
  <c r="F286" i="4"/>
  <c r="F287" i="4"/>
  <c r="F288" i="4"/>
  <c r="F289" i="4"/>
  <c r="F290" i="4"/>
  <c r="F291" i="4"/>
  <c r="F292" i="4"/>
  <c r="F293" i="4"/>
  <c r="F294" i="4"/>
  <c r="F295" i="4"/>
  <c r="F296" i="4"/>
  <c r="F297" i="4"/>
  <c r="F298" i="4"/>
  <c r="F299" i="4"/>
  <c r="F300" i="4"/>
  <c r="F301" i="4"/>
  <c r="F302" i="4"/>
  <c r="F303" i="4"/>
  <c r="F304" i="4"/>
  <c r="F305" i="4"/>
  <c r="F306" i="4"/>
  <c r="F307" i="4"/>
  <c r="F308" i="4"/>
  <c r="F309" i="4"/>
  <c r="F310" i="4"/>
  <c r="F311" i="4"/>
  <c r="F312" i="4"/>
  <c r="F313" i="4"/>
  <c r="F314" i="4"/>
  <c r="F315" i="4"/>
  <c r="F316" i="4"/>
  <c r="F317" i="4"/>
  <c r="F318" i="4"/>
  <c r="F319" i="4"/>
  <c r="F320" i="4"/>
  <c r="F321" i="4"/>
  <c r="F322" i="4"/>
  <c r="F323" i="4"/>
  <c r="F324" i="4"/>
  <c r="F325" i="4"/>
  <c r="F326" i="4"/>
  <c r="F327" i="4"/>
  <c r="F328" i="4"/>
  <c r="F329" i="4"/>
  <c r="F330" i="4"/>
  <c r="F331" i="4"/>
  <c r="F332" i="4"/>
  <c r="F333" i="4"/>
  <c r="F334" i="4"/>
  <c r="F335" i="4"/>
  <c r="F336" i="4"/>
  <c r="F337" i="4"/>
  <c r="F338" i="4"/>
  <c r="F339" i="4"/>
  <c r="F340" i="4"/>
  <c r="F341" i="4"/>
  <c r="F342" i="4"/>
  <c r="F343" i="4"/>
  <c r="F344" i="4"/>
  <c r="F345" i="4"/>
  <c r="F346" i="4"/>
  <c r="F347" i="4"/>
  <c r="F348" i="4"/>
  <c r="F349" i="4"/>
  <c r="F350" i="4"/>
  <c r="F351" i="4"/>
  <c r="F352" i="4"/>
  <c r="F353" i="4"/>
  <c r="F354" i="4"/>
  <c r="F355" i="4"/>
  <c r="F356" i="4"/>
  <c r="F357" i="4"/>
  <c r="F358" i="4"/>
  <c r="F359" i="4"/>
  <c r="F360" i="4"/>
  <c r="F361" i="4"/>
  <c r="F362" i="4"/>
  <c r="F363" i="4"/>
  <c r="F364" i="4"/>
  <c r="F365" i="4"/>
  <c r="F366" i="4"/>
  <c r="F367" i="4"/>
  <c r="F368" i="4"/>
  <c r="F369" i="4"/>
  <c r="F370" i="4"/>
  <c r="F371" i="4"/>
  <c r="F372" i="4"/>
  <c r="F373" i="4"/>
  <c r="F374" i="4"/>
  <c r="F375" i="4"/>
  <c r="F376" i="4"/>
  <c r="F377" i="4"/>
  <c r="F378" i="4"/>
  <c r="F379" i="4"/>
  <c r="F380" i="4"/>
  <c r="F381" i="4"/>
  <c r="F382" i="4"/>
  <c r="F383" i="4"/>
  <c r="F384" i="4"/>
  <c r="F385" i="4"/>
  <c r="F386" i="4"/>
  <c r="F387" i="4"/>
  <c r="F388" i="4"/>
  <c r="F389" i="4"/>
  <c r="F390" i="4"/>
  <c r="F391" i="4"/>
  <c r="F392" i="4"/>
  <c r="F393" i="4"/>
  <c r="F394" i="4"/>
  <c r="F395" i="4"/>
  <c r="F396" i="4"/>
  <c r="F397" i="4"/>
  <c r="F398" i="4"/>
  <c r="F399" i="4"/>
  <c r="F400" i="4"/>
  <c r="F401" i="4"/>
  <c r="F402" i="4"/>
  <c r="F403" i="4"/>
  <c r="F404" i="4"/>
  <c r="F405" i="4"/>
  <c r="F406" i="4"/>
  <c r="F407" i="4"/>
  <c r="F408" i="4"/>
  <c r="F409" i="4"/>
  <c r="F410" i="4"/>
  <c r="F411" i="4"/>
  <c r="F412" i="4"/>
  <c r="F413" i="4"/>
  <c r="F414" i="4"/>
  <c r="F415" i="4"/>
  <c r="F416" i="4"/>
  <c r="F417" i="4"/>
  <c r="F418" i="4"/>
  <c r="F419" i="4"/>
  <c r="F420" i="4"/>
  <c r="F421" i="4"/>
  <c r="F422" i="4"/>
  <c r="F423" i="4"/>
  <c r="F424" i="4"/>
  <c r="F425" i="4"/>
  <c r="F426" i="4"/>
  <c r="F427" i="4"/>
  <c r="F428" i="4"/>
  <c r="F429" i="4"/>
  <c r="F430" i="4"/>
  <c r="F431" i="4"/>
  <c r="F432" i="4"/>
  <c r="F433" i="4"/>
  <c r="F434" i="4"/>
  <c r="F435" i="4"/>
  <c r="F436" i="4"/>
  <c r="F437" i="4"/>
  <c r="F438" i="4"/>
  <c r="F439" i="4"/>
  <c r="F440" i="4"/>
  <c r="F441" i="4"/>
  <c r="F442" i="4"/>
  <c r="F443" i="4"/>
  <c r="F444" i="4"/>
  <c r="F445" i="4"/>
  <c r="F446" i="4"/>
  <c r="F447" i="4"/>
  <c r="F448" i="4"/>
  <c r="F449" i="4"/>
  <c r="F450" i="4"/>
  <c r="F451" i="4"/>
  <c r="F452" i="4"/>
  <c r="F453" i="4"/>
  <c r="F454" i="4"/>
  <c r="F455" i="4"/>
  <c r="F456" i="4"/>
  <c r="F457" i="4"/>
  <c r="F458" i="4"/>
  <c r="F459" i="4"/>
  <c r="F460" i="4"/>
  <c r="F461" i="4"/>
  <c r="F462" i="4"/>
  <c r="F463" i="4"/>
  <c r="F464" i="4"/>
  <c r="F465" i="4"/>
  <c r="F466" i="4"/>
  <c r="F467" i="4"/>
  <c r="F468" i="4"/>
  <c r="F469" i="4"/>
  <c r="F470" i="4"/>
  <c r="F471" i="4"/>
  <c r="F472" i="4"/>
  <c r="F473" i="4"/>
  <c r="F474" i="4"/>
  <c r="F475" i="4"/>
  <c r="F476" i="4"/>
  <c r="F477" i="4"/>
  <c r="F478" i="4"/>
  <c r="F479" i="4"/>
  <c r="F480" i="4"/>
  <c r="F481" i="4"/>
  <c r="F482" i="4"/>
  <c r="F483" i="4"/>
  <c r="F484" i="4"/>
  <c r="F485" i="4"/>
  <c r="F486" i="4"/>
  <c r="F487" i="4"/>
  <c r="F488" i="4"/>
  <c r="F489" i="4"/>
  <c r="F490" i="4"/>
  <c r="F491" i="4"/>
  <c r="F492" i="4"/>
  <c r="F493" i="4"/>
  <c r="F494" i="4"/>
  <c r="F495" i="4"/>
  <c r="F496" i="4"/>
  <c r="F497" i="4"/>
  <c r="F498" i="4"/>
  <c r="F499" i="4"/>
  <c r="F500" i="4"/>
  <c r="F501" i="4"/>
  <c r="F502" i="4"/>
  <c r="F503" i="4"/>
  <c r="F504" i="4"/>
  <c r="F505" i="4"/>
  <c r="F506" i="4"/>
  <c r="F507" i="4"/>
  <c r="F508" i="4"/>
  <c r="F509" i="4"/>
  <c r="F510" i="4"/>
  <c r="F511" i="4"/>
  <c r="F512" i="4"/>
  <c r="F513" i="4"/>
  <c r="F514" i="4"/>
  <c r="F515" i="4"/>
  <c r="F516" i="4"/>
  <c r="F517" i="4"/>
  <c r="F518" i="4"/>
  <c r="F519" i="4"/>
  <c r="F520" i="4"/>
  <c r="F521" i="4"/>
  <c r="F522" i="4"/>
  <c r="F523" i="4"/>
  <c r="F524" i="4"/>
  <c r="F525" i="4"/>
  <c r="F526" i="4"/>
  <c r="F527" i="4"/>
  <c r="F528" i="4"/>
  <c r="F529" i="4"/>
  <c r="F530" i="4"/>
  <c r="F531" i="4"/>
  <c r="F532" i="4"/>
  <c r="F533" i="4"/>
  <c r="F534" i="4"/>
  <c r="F535" i="4"/>
  <c r="F536" i="4"/>
  <c r="F537" i="4"/>
  <c r="F538" i="4"/>
  <c r="F539" i="4"/>
  <c r="F540" i="4"/>
  <c r="F541" i="4"/>
  <c r="F542" i="4"/>
  <c r="F543" i="4"/>
  <c r="F544" i="4"/>
  <c r="F545" i="4"/>
  <c r="F546" i="4"/>
  <c r="F547" i="4"/>
  <c r="F548" i="4"/>
  <c r="F549" i="4"/>
  <c r="F550" i="4"/>
  <c r="F551" i="4"/>
  <c r="F552" i="4"/>
  <c r="F553" i="4"/>
  <c r="F554" i="4"/>
  <c r="F555" i="4"/>
  <c r="F556" i="4"/>
  <c r="F557" i="4"/>
  <c r="F558" i="4"/>
  <c r="F559" i="4"/>
  <c r="F560" i="4"/>
  <c r="F561" i="4"/>
  <c r="F562" i="4"/>
  <c r="F563" i="4"/>
  <c r="F564" i="4"/>
  <c r="F565" i="4"/>
  <c r="F566" i="4"/>
  <c r="F567" i="4"/>
  <c r="F568" i="4"/>
  <c r="F569" i="4"/>
  <c r="F570" i="4"/>
  <c r="F571" i="4"/>
  <c r="F572" i="4"/>
  <c r="F573" i="4"/>
  <c r="F574" i="4"/>
  <c r="F575" i="4"/>
  <c r="F576" i="4"/>
  <c r="F577" i="4"/>
  <c r="F578" i="4"/>
  <c r="F579" i="4"/>
  <c r="F580" i="4"/>
  <c r="F581" i="4"/>
  <c r="F582" i="4"/>
  <c r="F583" i="4"/>
  <c r="F584" i="4"/>
  <c r="F585" i="4"/>
  <c r="F586" i="4"/>
  <c r="F587" i="4"/>
  <c r="F588" i="4"/>
  <c r="F589" i="4"/>
  <c r="F590" i="4"/>
  <c r="F591" i="4"/>
  <c r="F592" i="4"/>
  <c r="F593" i="4"/>
  <c r="F594" i="4"/>
  <c r="F595" i="4"/>
  <c r="F596" i="4"/>
  <c r="F597" i="4"/>
  <c r="F598" i="4"/>
  <c r="F599" i="4"/>
  <c r="F600" i="4"/>
  <c r="F601" i="4"/>
  <c r="F602" i="4"/>
  <c r="F603" i="4"/>
  <c r="F604" i="4"/>
  <c r="F605" i="4"/>
  <c r="F606" i="4"/>
  <c r="F607" i="4"/>
  <c r="F608" i="4"/>
  <c r="F609" i="4"/>
  <c r="F610" i="4"/>
  <c r="F611" i="4"/>
  <c r="F612" i="4"/>
  <c r="F613" i="4"/>
  <c r="F614" i="4"/>
  <c r="F615" i="4"/>
  <c r="F616" i="4"/>
  <c r="F617" i="4"/>
  <c r="F618" i="4"/>
  <c r="F619" i="4"/>
  <c r="F620" i="4"/>
  <c r="F621" i="4"/>
  <c r="F622" i="4"/>
  <c r="F623" i="4"/>
  <c r="F624" i="4"/>
  <c r="F625" i="4"/>
  <c r="F626" i="4"/>
  <c r="F627" i="4"/>
  <c r="F628" i="4"/>
  <c r="F629" i="4"/>
  <c r="F630" i="4"/>
  <c r="F631" i="4"/>
  <c r="F632" i="4"/>
  <c r="F633" i="4"/>
  <c r="F634" i="4"/>
  <c r="F635" i="4"/>
  <c r="F636" i="4"/>
  <c r="F637" i="4"/>
  <c r="F638" i="4"/>
  <c r="F639" i="4"/>
  <c r="F640" i="4"/>
  <c r="F641" i="4"/>
  <c r="F642" i="4"/>
  <c r="F643" i="4"/>
  <c r="F644" i="4"/>
  <c r="F645" i="4"/>
  <c r="F646" i="4"/>
  <c r="F647" i="4"/>
  <c r="F648" i="4"/>
  <c r="F649" i="4"/>
  <c r="F650" i="4"/>
  <c r="F651" i="4"/>
  <c r="F652" i="4"/>
  <c r="F653" i="4"/>
  <c r="F654" i="4"/>
  <c r="F655" i="4"/>
  <c r="F656" i="4"/>
  <c r="F657" i="4"/>
  <c r="F658" i="4"/>
  <c r="F659" i="4"/>
  <c r="F660" i="4"/>
  <c r="F661" i="4"/>
  <c r="F662" i="4"/>
  <c r="F663" i="4"/>
  <c r="F664" i="4"/>
  <c r="F665" i="4"/>
  <c r="F666" i="4"/>
  <c r="F667" i="4"/>
  <c r="F668" i="4"/>
  <c r="F669" i="4"/>
  <c r="F670" i="4"/>
  <c r="F671" i="4"/>
  <c r="F672" i="4"/>
  <c r="F673" i="4"/>
  <c r="F674" i="4"/>
  <c r="F675" i="4"/>
  <c r="F676" i="4"/>
  <c r="F677" i="4"/>
  <c r="F678" i="4"/>
  <c r="F679" i="4"/>
  <c r="F680" i="4"/>
  <c r="F681" i="4"/>
  <c r="F682" i="4"/>
  <c r="F683" i="4"/>
  <c r="F684" i="4"/>
  <c r="F685" i="4"/>
  <c r="F686" i="4"/>
  <c r="F687" i="4"/>
  <c r="F688" i="4"/>
  <c r="F689" i="4"/>
  <c r="F690" i="4"/>
  <c r="F691" i="4"/>
  <c r="F692" i="4"/>
  <c r="F693" i="4"/>
  <c r="F694" i="4"/>
  <c r="F695" i="4"/>
  <c r="F696" i="4"/>
  <c r="F697" i="4"/>
  <c r="F698" i="4"/>
  <c r="F699" i="4"/>
  <c r="F700" i="4"/>
  <c r="F701" i="4"/>
  <c r="F702" i="4"/>
  <c r="F703" i="4"/>
  <c r="F704" i="4"/>
  <c r="F705" i="4"/>
  <c r="F706" i="4"/>
  <c r="F707" i="4"/>
  <c r="F708" i="4"/>
  <c r="F709" i="4"/>
  <c r="F710" i="4"/>
  <c r="F711" i="4"/>
  <c r="F712" i="4"/>
  <c r="F713" i="4"/>
  <c r="F714" i="4"/>
  <c r="F715" i="4"/>
  <c r="F716" i="4"/>
  <c r="F717" i="4"/>
  <c r="F718" i="4"/>
  <c r="F719" i="4"/>
  <c r="F720" i="4"/>
  <c r="F721" i="4"/>
  <c r="F722" i="4"/>
  <c r="F723" i="4"/>
  <c r="F724" i="4"/>
  <c r="F725" i="4"/>
  <c r="F726" i="4"/>
  <c r="F727" i="4"/>
  <c r="F728" i="4"/>
  <c r="F729" i="4"/>
  <c r="F730" i="4"/>
  <c r="F731" i="4"/>
  <c r="F732" i="4"/>
  <c r="F733" i="4"/>
  <c r="F734" i="4"/>
  <c r="F735" i="4"/>
  <c r="F736" i="4"/>
  <c r="F737" i="4"/>
  <c r="F738" i="4"/>
  <c r="F739" i="4"/>
  <c r="F740" i="4"/>
  <c r="F741" i="4"/>
  <c r="F742" i="4"/>
  <c r="F743" i="4"/>
  <c r="F744" i="4"/>
  <c r="F745" i="4"/>
  <c r="F746" i="4"/>
  <c r="F747" i="4"/>
  <c r="F748" i="4"/>
  <c r="F749" i="4"/>
  <c r="F750" i="4"/>
  <c r="F751" i="4"/>
  <c r="F752" i="4"/>
  <c r="F753" i="4"/>
  <c r="F754" i="4"/>
  <c r="F755" i="4"/>
  <c r="F756" i="4"/>
  <c r="F757" i="4"/>
  <c r="F758" i="4"/>
  <c r="F759" i="4"/>
  <c r="F760" i="4"/>
  <c r="F761" i="4"/>
  <c r="F762" i="4"/>
  <c r="F763" i="4"/>
  <c r="F764" i="4"/>
  <c r="F765" i="4"/>
  <c r="F766" i="4"/>
  <c r="F767" i="4"/>
  <c r="F768" i="4"/>
  <c r="F769" i="4"/>
  <c r="F770" i="4"/>
  <c r="F771" i="4"/>
  <c r="F772" i="4"/>
  <c r="F773" i="4"/>
  <c r="F774" i="4"/>
  <c r="F775" i="4"/>
  <c r="F776" i="4"/>
  <c r="F777" i="4"/>
  <c r="F778" i="4"/>
  <c r="F779" i="4"/>
  <c r="F780" i="4"/>
  <c r="F781" i="4"/>
  <c r="F782" i="4"/>
  <c r="F783" i="4"/>
  <c r="F784" i="4"/>
  <c r="F785" i="4"/>
  <c r="F786" i="4"/>
  <c r="F787" i="4"/>
  <c r="F788" i="4"/>
  <c r="F789" i="4"/>
  <c r="F790" i="4"/>
  <c r="F791" i="4"/>
  <c r="F792" i="4"/>
  <c r="F793" i="4"/>
  <c r="F794" i="4"/>
  <c r="F795" i="4"/>
  <c r="F796" i="4"/>
  <c r="F797" i="4"/>
  <c r="F798" i="4"/>
  <c r="F799" i="4"/>
  <c r="F800" i="4"/>
  <c r="F801" i="4"/>
  <c r="F802" i="4"/>
  <c r="F803" i="4"/>
  <c r="F804" i="4"/>
  <c r="F805" i="4"/>
  <c r="F806" i="4"/>
  <c r="F807" i="4"/>
  <c r="F808" i="4"/>
  <c r="F809" i="4"/>
  <c r="F810" i="4"/>
  <c r="F811" i="4"/>
  <c r="F812" i="4"/>
  <c r="F813" i="4"/>
  <c r="F814" i="4"/>
  <c r="F815" i="4"/>
  <c r="F816" i="4"/>
  <c r="F817" i="4"/>
  <c r="F818" i="4"/>
  <c r="F819" i="4"/>
  <c r="F820" i="4"/>
  <c r="F821" i="4"/>
  <c r="F822" i="4"/>
  <c r="F823" i="4"/>
  <c r="F824" i="4"/>
  <c r="F825" i="4"/>
  <c r="F826" i="4"/>
  <c r="F827" i="4"/>
  <c r="F828" i="4"/>
  <c r="F829" i="4"/>
  <c r="F830" i="4"/>
  <c r="F831" i="4"/>
  <c r="F832" i="4"/>
  <c r="F833" i="4"/>
  <c r="F834" i="4"/>
  <c r="F835" i="4"/>
  <c r="F836" i="4"/>
  <c r="F837" i="4"/>
  <c r="F838" i="4"/>
  <c r="F839" i="4"/>
  <c r="F840" i="4"/>
  <c r="F841" i="4"/>
  <c r="F842" i="4"/>
  <c r="F843" i="4"/>
  <c r="F844" i="4"/>
  <c r="F845" i="4"/>
  <c r="F846" i="4"/>
  <c r="F847" i="4"/>
  <c r="F848" i="4"/>
  <c r="F849" i="4"/>
  <c r="F850" i="4"/>
  <c r="F851" i="4"/>
  <c r="F852" i="4"/>
  <c r="F853" i="4"/>
  <c r="F854" i="4"/>
  <c r="F855" i="4"/>
  <c r="F856" i="4"/>
  <c r="F857" i="4"/>
  <c r="F858" i="4"/>
  <c r="F859" i="4"/>
  <c r="F860" i="4"/>
  <c r="F861" i="4"/>
  <c r="F862" i="4"/>
  <c r="F863" i="4"/>
  <c r="F864" i="4"/>
  <c r="F865" i="4"/>
  <c r="F866" i="4"/>
  <c r="F867" i="4"/>
  <c r="F868" i="4"/>
  <c r="F869" i="4"/>
  <c r="F870" i="4"/>
  <c r="F871" i="4"/>
  <c r="F872" i="4"/>
  <c r="F873" i="4"/>
  <c r="F874" i="4"/>
  <c r="F875" i="4"/>
  <c r="F876" i="4"/>
  <c r="F877" i="4"/>
  <c r="F878" i="4"/>
  <c r="F879" i="4"/>
  <c r="F880" i="4"/>
  <c r="F881" i="4"/>
  <c r="F882" i="4"/>
  <c r="F883" i="4"/>
  <c r="F884" i="4"/>
  <c r="F885" i="4"/>
  <c r="F886" i="4"/>
  <c r="F887" i="4"/>
  <c r="F888" i="4"/>
  <c r="F889" i="4"/>
  <c r="F890" i="4"/>
  <c r="F891" i="4"/>
  <c r="F892" i="4"/>
  <c r="F893" i="4"/>
  <c r="F894" i="4"/>
  <c r="F895" i="4"/>
  <c r="F896" i="4"/>
  <c r="F897" i="4"/>
  <c r="F898" i="4"/>
  <c r="F899" i="4"/>
  <c r="F900" i="4"/>
  <c r="F901" i="4"/>
  <c r="F902" i="4"/>
  <c r="F903" i="4"/>
  <c r="F904" i="4"/>
  <c r="F905" i="4"/>
  <c r="F906" i="4"/>
  <c r="F907" i="4"/>
  <c r="F908" i="4"/>
  <c r="F909" i="4"/>
  <c r="F910" i="4"/>
  <c r="F911" i="4"/>
  <c r="F912" i="4"/>
  <c r="F913" i="4"/>
  <c r="F914" i="4"/>
  <c r="F915" i="4"/>
  <c r="F916" i="4"/>
  <c r="F917" i="4"/>
  <c r="F918" i="4"/>
  <c r="F919" i="4"/>
  <c r="F920" i="4"/>
  <c r="F921" i="4"/>
  <c r="F922" i="4"/>
  <c r="F923" i="4"/>
  <c r="F924" i="4"/>
  <c r="F925" i="4"/>
  <c r="F926" i="4"/>
  <c r="F927" i="4"/>
  <c r="F928" i="4"/>
  <c r="F929" i="4"/>
  <c r="F930" i="4"/>
  <c r="F931" i="4"/>
  <c r="F932" i="4"/>
  <c r="F933" i="4"/>
  <c r="F934" i="4"/>
  <c r="F935" i="4"/>
  <c r="F936" i="4"/>
  <c r="F937" i="4"/>
  <c r="F938" i="4"/>
  <c r="F939" i="4"/>
  <c r="F940" i="4"/>
  <c r="F941" i="4"/>
  <c r="F942" i="4"/>
  <c r="F943" i="4"/>
  <c r="F944" i="4"/>
  <c r="F945" i="4"/>
  <c r="F946" i="4"/>
  <c r="F947" i="4"/>
  <c r="F948" i="4"/>
  <c r="F949" i="4"/>
  <c r="F950" i="4"/>
  <c r="F951" i="4"/>
  <c r="F952" i="4"/>
  <c r="F953" i="4"/>
  <c r="F954" i="4"/>
  <c r="F955" i="4"/>
  <c r="F956" i="4"/>
  <c r="F957" i="4"/>
  <c r="F958" i="4"/>
  <c r="F959" i="4"/>
  <c r="F960" i="4"/>
  <c r="F961" i="4"/>
  <c r="F962" i="4"/>
  <c r="F963" i="4"/>
  <c r="F964" i="4"/>
  <c r="F965" i="4"/>
  <c r="F966" i="4"/>
  <c r="F967" i="4"/>
  <c r="F968" i="4"/>
  <c r="F969" i="4"/>
  <c r="F970" i="4"/>
  <c r="F971" i="4"/>
  <c r="F972" i="4"/>
  <c r="F973" i="4"/>
  <c r="F974" i="4"/>
  <c r="F975" i="4"/>
  <c r="F976" i="4"/>
  <c r="F977" i="4"/>
  <c r="F978" i="4"/>
  <c r="F979" i="4"/>
  <c r="F980" i="4"/>
  <c r="F981" i="4"/>
  <c r="F982" i="4"/>
  <c r="F983" i="4"/>
  <c r="F984" i="4"/>
  <c r="F985" i="4"/>
  <c r="F986" i="4"/>
  <c r="F987" i="4"/>
  <c r="F988" i="4"/>
  <c r="F989" i="4"/>
  <c r="F990" i="4"/>
  <c r="F991" i="4"/>
  <c r="F992" i="4"/>
  <c r="F993" i="4"/>
  <c r="F994" i="4"/>
  <c r="F995" i="4"/>
  <c r="F996" i="4"/>
  <c r="F997" i="4"/>
  <c r="F998" i="4"/>
  <c r="F999" i="4"/>
  <c r="F1000" i="4"/>
  <c r="F1001" i="4"/>
  <c r="F1002" i="4"/>
  <c r="F1003" i="4"/>
  <c r="F1004" i="4"/>
  <c r="F1005" i="4"/>
  <c r="F1006" i="4"/>
  <c r="F1007" i="4"/>
  <c r="F1008" i="4"/>
  <c r="F1009" i="4"/>
  <c r="F1010" i="4"/>
  <c r="F1011" i="4"/>
  <c r="F1012" i="4"/>
  <c r="F1013" i="4"/>
  <c r="F1014" i="4"/>
  <c r="F1015" i="4"/>
  <c r="F1016" i="4"/>
  <c r="F1017" i="4"/>
  <c r="F1018" i="4"/>
  <c r="F1019" i="4"/>
  <c r="F1020" i="4"/>
  <c r="F1021" i="4"/>
  <c r="F1022" i="4"/>
  <c r="F1023" i="4"/>
  <c r="F1024" i="4"/>
  <c r="F1025" i="4"/>
  <c r="F1026" i="4"/>
  <c r="F1027" i="4"/>
  <c r="F1028" i="4"/>
  <c r="F1029" i="4"/>
  <c r="F1030" i="4"/>
  <c r="F1031" i="4"/>
  <c r="F1032" i="4"/>
  <c r="F1033" i="4"/>
  <c r="F1034" i="4"/>
  <c r="F1035" i="4"/>
  <c r="F1036" i="4"/>
  <c r="F1037" i="4"/>
  <c r="F1038" i="4"/>
  <c r="F1039" i="4"/>
  <c r="F1040" i="4"/>
  <c r="F1041" i="4"/>
  <c r="F1042" i="4"/>
  <c r="F1043" i="4"/>
  <c r="F1044" i="4"/>
  <c r="F1045" i="4"/>
  <c r="F1046" i="4"/>
  <c r="F1047" i="4"/>
  <c r="F1048" i="4"/>
  <c r="F1049" i="4"/>
  <c r="F1050" i="4"/>
  <c r="F1051" i="4"/>
  <c r="F1052" i="4"/>
  <c r="F1053" i="4"/>
  <c r="F1054" i="4"/>
  <c r="F1055" i="4"/>
  <c r="F1056" i="4"/>
  <c r="F1057" i="4"/>
  <c r="F1058" i="4"/>
  <c r="F1059" i="4"/>
  <c r="F1060" i="4"/>
  <c r="F1061" i="4"/>
  <c r="F1062" i="4"/>
  <c r="F1063" i="4"/>
  <c r="F1064" i="4"/>
  <c r="F1065" i="4"/>
  <c r="F1066" i="4"/>
  <c r="F1067" i="4"/>
  <c r="F1068" i="4"/>
  <c r="F1069" i="4"/>
  <c r="F1070" i="4"/>
  <c r="F1071" i="4"/>
  <c r="F1072" i="4"/>
  <c r="F1073" i="4"/>
  <c r="F1074" i="4"/>
  <c r="F1075" i="4"/>
  <c r="F1076" i="4"/>
  <c r="F1077" i="4"/>
  <c r="F1078" i="4"/>
  <c r="F1079" i="4"/>
  <c r="F1080" i="4"/>
  <c r="F1081" i="4"/>
  <c r="F1082" i="4"/>
  <c r="F1083" i="4"/>
  <c r="F1084" i="4"/>
  <c r="F1085" i="4"/>
  <c r="F1086" i="4"/>
  <c r="F1087" i="4"/>
  <c r="F1088" i="4"/>
  <c r="F1089" i="4"/>
  <c r="F1090" i="4"/>
  <c r="F1091" i="4"/>
  <c r="F1092" i="4"/>
  <c r="F1093" i="4"/>
  <c r="F1094" i="4"/>
  <c r="F1095" i="4"/>
  <c r="F1096" i="4"/>
  <c r="F1097" i="4"/>
  <c r="F1098" i="4"/>
  <c r="F1099" i="4"/>
  <c r="F1100" i="4"/>
  <c r="F1101" i="4"/>
  <c r="F1102" i="4"/>
  <c r="F1103" i="4"/>
  <c r="F1104" i="4"/>
  <c r="F1105" i="4"/>
  <c r="F1106" i="4"/>
  <c r="F1107" i="4"/>
  <c r="F1108" i="4"/>
  <c r="F1109" i="4"/>
  <c r="F1110" i="4"/>
  <c r="F1111" i="4"/>
  <c r="F1112" i="4"/>
  <c r="F1113" i="4"/>
  <c r="F1114" i="4"/>
  <c r="F1115" i="4"/>
  <c r="F1116" i="4"/>
  <c r="F1117" i="4"/>
  <c r="F1118" i="4"/>
  <c r="F1119" i="4"/>
  <c r="F1120" i="4"/>
  <c r="F1121" i="4"/>
  <c r="F1122" i="4"/>
  <c r="F1123" i="4"/>
  <c r="F1124" i="4"/>
  <c r="F1125" i="4"/>
  <c r="F1126" i="4"/>
  <c r="F1127" i="4"/>
  <c r="F1128" i="4"/>
  <c r="F1129" i="4"/>
  <c r="F1130" i="4"/>
  <c r="F1131" i="4"/>
  <c r="F1132" i="4"/>
  <c r="F1133" i="4"/>
  <c r="F1134" i="4"/>
  <c r="F1135" i="4"/>
  <c r="F1136" i="4"/>
  <c r="F1137" i="4"/>
  <c r="F1138" i="4"/>
  <c r="F1139" i="4"/>
  <c r="F1140" i="4"/>
  <c r="F1141" i="4"/>
  <c r="F1142" i="4"/>
  <c r="F1143" i="4"/>
  <c r="F1144" i="4"/>
  <c r="F1145" i="4"/>
  <c r="F1146" i="4"/>
  <c r="F1147" i="4"/>
  <c r="F1148" i="4"/>
  <c r="F1149" i="4"/>
  <c r="F1150" i="4"/>
  <c r="F1151" i="4"/>
  <c r="F1152" i="4"/>
  <c r="F1153" i="4"/>
  <c r="F1154" i="4"/>
  <c r="F1155" i="4"/>
  <c r="F1156" i="4"/>
  <c r="F1157" i="4"/>
  <c r="F1158" i="4"/>
  <c r="F1159" i="4"/>
  <c r="F1160" i="4"/>
  <c r="F1161" i="4"/>
  <c r="F1162" i="4"/>
  <c r="F1163" i="4"/>
  <c r="F1164" i="4"/>
  <c r="F1165" i="4"/>
  <c r="F1166" i="4"/>
  <c r="F1167" i="4"/>
  <c r="F1168" i="4"/>
  <c r="F1169" i="4"/>
  <c r="F1170" i="4"/>
  <c r="F1171" i="4"/>
  <c r="F1172" i="4"/>
  <c r="F1173" i="4"/>
  <c r="F1174" i="4"/>
  <c r="F1175" i="4"/>
  <c r="F1176" i="4"/>
  <c r="F1177" i="4"/>
  <c r="F1178" i="4"/>
  <c r="F1179" i="4"/>
  <c r="F1180" i="4"/>
  <c r="F1181" i="4"/>
  <c r="F1182" i="4"/>
  <c r="F1183" i="4"/>
  <c r="F1184" i="4"/>
  <c r="F1185" i="4"/>
  <c r="F1186" i="4"/>
  <c r="F1187" i="4"/>
  <c r="F1188" i="4"/>
  <c r="F1189" i="4"/>
  <c r="F1190" i="4"/>
  <c r="F1191" i="4"/>
  <c r="F1192" i="4"/>
  <c r="F1193" i="4"/>
  <c r="F1194" i="4"/>
  <c r="F1195" i="4"/>
  <c r="F1196" i="4"/>
  <c r="F1197" i="4"/>
  <c r="F1198" i="4"/>
  <c r="F1199" i="4"/>
  <c r="F1200" i="4"/>
  <c r="F1201" i="4"/>
  <c r="F1202" i="4"/>
  <c r="F1203" i="4"/>
  <c r="F1204" i="4"/>
  <c r="F1205" i="4"/>
  <c r="F1206" i="4"/>
  <c r="F1207" i="4"/>
  <c r="F1208" i="4"/>
  <c r="F1209" i="4"/>
  <c r="F1210" i="4"/>
  <c r="F1211" i="4"/>
  <c r="F1212" i="4"/>
  <c r="F1213" i="4"/>
  <c r="F1214" i="4"/>
  <c r="F1215" i="4"/>
  <c r="F1216" i="4"/>
  <c r="F1217" i="4"/>
  <c r="F1218" i="4"/>
  <c r="F1219" i="4"/>
  <c r="F1220" i="4"/>
  <c r="F1221" i="4"/>
  <c r="F1222" i="4"/>
  <c r="F1223" i="4"/>
  <c r="F1224" i="4"/>
  <c r="F1225" i="4"/>
  <c r="F1226" i="4"/>
  <c r="F1227" i="4"/>
  <c r="F1228" i="4"/>
  <c r="F1229" i="4"/>
  <c r="F1230" i="4"/>
  <c r="F1231" i="4"/>
  <c r="F1232" i="4"/>
  <c r="F1233" i="4"/>
  <c r="F1234" i="4"/>
  <c r="F1235" i="4"/>
  <c r="F1236" i="4"/>
  <c r="F1237" i="4"/>
  <c r="F1238" i="4"/>
  <c r="F1239" i="4"/>
  <c r="F1240" i="4"/>
  <c r="F1241" i="4"/>
  <c r="F1242" i="4"/>
  <c r="F1243" i="4"/>
  <c r="F1244" i="4"/>
  <c r="F1245" i="4"/>
  <c r="F1246" i="4"/>
  <c r="F1247" i="4"/>
  <c r="F1248" i="4"/>
  <c r="F1249" i="4"/>
  <c r="F1250" i="4"/>
  <c r="F1251" i="4"/>
  <c r="F1252" i="4"/>
  <c r="F1253" i="4"/>
  <c r="F1254" i="4"/>
  <c r="F1255" i="4"/>
  <c r="F1256" i="4"/>
  <c r="F1257" i="4"/>
  <c r="F1258" i="4"/>
  <c r="F1259" i="4"/>
  <c r="F1260" i="4"/>
  <c r="F1261" i="4"/>
  <c r="F1262" i="4"/>
  <c r="F1263" i="4"/>
  <c r="F1264" i="4"/>
  <c r="F1265" i="4"/>
  <c r="F1266" i="4"/>
  <c r="F1267" i="4"/>
  <c r="F1268" i="4"/>
  <c r="F1269" i="4"/>
  <c r="F1270" i="4"/>
  <c r="F1271" i="4"/>
  <c r="F1272" i="4"/>
  <c r="F1273" i="4"/>
  <c r="F1274" i="4"/>
  <c r="F1275" i="4"/>
  <c r="F1276" i="4"/>
  <c r="F1277" i="4"/>
  <c r="F1278" i="4"/>
  <c r="F1279" i="4"/>
  <c r="F1280" i="4"/>
  <c r="F1281" i="4"/>
  <c r="F1282" i="4"/>
  <c r="F1283" i="4"/>
  <c r="F1284" i="4"/>
  <c r="F1285" i="4"/>
  <c r="F1286" i="4"/>
  <c r="F1287" i="4"/>
  <c r="F1288" i="4"/>
  <c r="F1289" i="4"/>
  <c r="F1290" i="4"/>
  <c r="F1291" i="4"/>
  <c r="F1292" i="4"/>
  <c r="F1293" i="4"/>
  <c r="F1294" i="4"/>
  <c r="F1295" i="4"/>
  <c r="F1296" i="4"/>
  <c r="F1297" i="4"/>
  <c r="F1298" i="4"/>
  <c r="F1299" i="4"/>
  <c r="F1300" i="4"/>
  <c r="F1301" i="4"/>
  <c r="F1302" i="4"/>
  <c r="F1303" i="4"/>
  <c r="F1304" i="4"/>
  <c r="F1305" i="4"/>
  <c r="F1306" i="4"/>
  <c r="F1307" i="4"/>
  <c r="F1308" i="4"/>
  <c r="F1309" i="4"/>
  <c r="F1310" i="4"/>
  <c r="F1311" i="4"/>
  <c r="F1312" i="4"/>
  <c r="F1313" i="4"/>
  <c r="F1314" i="4"/>
  <c r="F1315" i="4"/>
  <c r="F1316" i="4"/>
  <c r="F1317" i="4"/>
  <c r="F1318" i="4"/>
  <c r="F1319" i="4"/>
  <c r="F1320" i="4"/>
  <c r="F1321" i="4"/>
  <c r="F1322" i="4"/>
  <c r="F1323" i="4"/>
  <c r="F1324" i="4"/>
  <c r="F1325" i="4"/>
  <c r="F1326" i="4"/>
  <c r="F1327" i="4"/>
  <c r="F1328" i="4"/>
  <c r="F1329" i="4"/>
  <c r="F1330" i="4"/>
  <c r="F1331" i="4"/>
  <c r="F1332" i="4"/>
  <c r="F1333" i="4"/>
  <c r="F1334" i="4"/>
  <c r="F1335" i="4"/>
  <c r="F1336" i="4"/>
  <c r="F1337" i="4"/>
  <c r="F1338" i="4"/>
  <c r="F1339" i="4"/>
  <c r="F1340" i="4"/>
  <c r="F1341" i="4"/>
  <c r="F1342" i="4"/>
  <c r="F1343" i="4"/>
  <c r="F1344" i="4"/>
  <c r="F1345" i="4"/>
  <c r="F1346" i="4"/>
  <c r="F1347" i="4"/>
  <c r="F1348" i="4"/>
  <c r="F1349" i="4"/>
  <c r="F1350" i="4"/>
  <c r="F1351" i="4"/>
  <c r="F1352" i="4"/>
  <c r="F1353" i="4"/>
  <c r="F1354" i="4"/>
  <c r="F1355" i="4"/>
  <c r="F1356" i="4"/>
  <c r="F1357" i="4"/>
  <c r="F1358" i="4"/>
  <c r="F1359" i="4"/>
  <c r="F1360" i="4"/>
  <c r="F1361" i="4"/>
  <c r="F1362" i="4"/>
  <c r="F1363" i="4"/>
  <c r="F1364" i="4"/>
  <c r="F1365" i="4"/>
  <c r="F1366" i="4"/>
  <c r="F1367" i="4"/>
  <c r="F1368" i="4"/>
  <c r="F1369" i="4"/>
  <c r="F1370" i="4"/>
  <c r="F1371" i="4"/>
  <c r="F1372" i="4"/>
  <c r="F1373" i="4"/>
  <c r="F1374" i="4"/>
  <c r="F1375" i="4"/>
  <c r="F1376" i="4"/>
  <c r="F1377" i="4"/>
  <c r="F1378" i="4"/>
  <c r="F1379" i="4"/>
  <c r="F1380" i="4"/>
  <c r="F1381" i="4"/>
  <c r="F1382" i="4"/>
  <c r="F1383" i="4"/>
  <c r="F1384" i="4"/>
  <c r="F1385" i="4"/>
  <c r="F1386" i="4"/>
  <c r="F1387" i="4"/>
  <c r="F1388" i="4"/>
  <c r="F1389" i="4"/>
  <c r="F1390" i="4"/>
  <c r="F1391" i="4"/>
  <c r="F1392" i="4"/>
  <c r="F1393" i="4"/>
  <c r="F1394" i="4"/>
  <c r="F1395" i="4"/>
  <c r="F1396" i="4"/>
  <c r="F1397" i="4"/>
  <c r="F1398" i="4"/>
  <c r="F1399" i="4"/>
  <c r="F1400" i="4"/>
  <c r="F1401" i="4"/>
  <c r="F1402" i="4"/>
  <c r="F1403" i="4"/>
  <c r="F1404" i="4"/>
  <c r="F1405" i="4"/>
  <c r="F1406" i="4"/>
  <c r="F1407" i="4"/>
  <c r="F1408" i="4"/>
  <c r="F1409" i="4"/>
  <c r="F1410" i="4"/>
  <c r="F1411" i="4"/>
  <c r="F1412" i="4"/>
  <c r="F1413" i="4"/>
  <c r="F1414" i="4"/>
  <c r="F1415" i="4"/>
  <c r="F1416" i="4"/>
  <c r="F1417" i="4"/>
  <c r="F1418" i="4"/>
  <c r="F1419" i="4"/>
  <c r="F1420" i="4"/>
  <c r="F1421" i="4"/>
  <c r="F1422" i="4"/>
  <c r="F1423" i="4"/>
  <c r="F1424" i="4"/>
  <c r="F1425" i="4"/>
  <c r="F1426" i="4"/>
  <c r="F1427" i="4"/>
  <c r="F1428" i="4"/>
  <c r="F1429" i="4"/>
  <c r="F1430" i="4"/>
  <c r="F1431" i="4"/>
  <c r="F1432" i="4"/>
  <c r="F1433" i="4"/>
  <c r="F1434" i="4"/>
  <c r="F1435" i="4"/>
  <c r="F1436" i="4"/>
  <c r="F1437" i="4"/>
  <c r="F1438" i="4"/>
  <c r="F1439" i="4"/>
  <c r="F1440" i="4"/>
  <c r="F1441" i="4"/>
  <c r="F1442" i="4"/>
  <c r="F1443" i="4"/>
  <c r="F1444" i="4"/>
  <c r="F1445" i="4"/>
  <c r="F1446" i="4"/>
  <c r="F1447" i="4"/>
  <c r="F1448" i="4"/>
  <c r="F1449" i="4"/>
  <c r="F1450" i="4"/>
  <c r="F1451" i="4"/>
  <c r="F1452" i="4"/>
  <c r="F1453" i="4"/>
  <c r="F1454" i="4"/>
  <c r="F1455" i="4"/>
  <c r="F1456" i="4"/>
  <c r="F1457" i="4"/>
  <c r="F1458" i="4"/>
  <c r="F1459" i="4"/>
  <c r="F1460" i="4"/>
  <c r="F1461" i="4"/>
  <c r="F1462" i="4"/>
  <c r="F1463" i="4"/>
  <c r="F1464" i="4"/>
  <c r="F1465" i="4"/>
  <c r="F1466" i="4"/>
  <c r="F1467" i="4"/>
  <c r="F1468" i="4"/>
  <c r="F1469" i="4"/>
  <c r="F1470" i="4"/>
  <c r="F1471" i="4"/>
  <c r="F1472" i="4"/>
  <c r="F1473" i="4"/>
  <c r="F1474" i="4"/>
  <c r="F1475" i="4"/>
  <c r="F1476" i="4"/>
  <c r="F1477" i="4"/>
  <c r="F1478" i="4"/>
  <c r="F1479" i="4"/>
  <c r="F1480" i="4"/>
  <c r="F1481" i="4"/>
  <c r="F1482" i="4"/>
  <c r="F1483" i="4"/>
  <c r="F1484" i="4"/>
  <c r="F1485" i="4"/>
  <c r="F1486" i="4"/>
  <c r="F1487" i="4"/>
  <c r="F1488" i="4"/>
  <c r="F1489" i="4"/>
  <c r="F1490" i="4"/>
  <c r="F1491" i="4"/>
  <c r="F1492" i="4"/>
  <c r="F1493" i="4"/>
  <c r="F1494" i="4"/>
  <c r="F1495" i="4"/>
  <c r="F1496" i="4"/>
  <c r="F1497" i="4"/>
  <c r="F1498" i="4"/>
  <c r="F1499" i="4"/>
  <c r="F1500" i="4"/>
  <c r="F1501" i="4"/>
  <c r="F1502" i="4"/>
  <c r="F1503" i="4"/>
  <c r="F1504" i="4"/>
  <c r="F1505" i="4"/>
  <c r="F1506" i="4"/>
  <c r="F1507" i="4"/>
  <c r="F1508" i="4"/>
  <c r="F1509" i="4"/>
  <c r="F1510" i="4"/>
  <c r="F1511" i="4"/>
  <c r="F1512" i="4"/>
  <c r="F1513" i="4"/>
  <c r="F1514" i="4"/>
  <c r="F1515" i="4"/>
  <c r="F1516" i="4"/>
  <c r="F1517" i="4"/>
  <c r="F1518" i="4"/>
  <c r="F1519" i="4"/>
  <c r="F1520" i="4"/>
  <c r="F1521" i="4"/>
  <c r="F1522" i="4"/>
  <c r="F1523" i="4"/>
  <c r="F1524" i="4"/>
  <c r="F1525" i="4"/>
  <c r="F1526" i="4"/>
  <c r="F1527" i="4"/>
  <c r="F1528" i="4"/>
  <c r="F1529" i="4"/>
  <c r="F1530" i="4"/>
  <c r="F1531" i="4"/>
  <c r="F1532" i="4"/>
  <c r="F1533" i="4"/>
  <c r="F1534" i="4"/>
  <c r="F1535" i="4"/>
  <c r="F1536" i="4"/>
  <c r="F1537" i="4"/>
  <c r="F1538" i="4"/>
  <c r="F1539" i="4"/>
  <c r="F1540" i="4"/>
  <c r="F1541" i="4"/>
  <c r="F1542" i="4"/>
  <c r="F1543" i="4"/>
  <c r="F1544" i="4"/>
  <c r="F1545" i="4"/>
  <c r="F1546" i="4"/>
  <c r="F1547" i="4"/>
  <c r="F1548" i="4"/>
  <c r="F1549" i="4"/>
  <c r="F1550" i="4"/>
  <c r="F1551" i="4"/>
  <c r="F1552" i="4"/>
  <c r="F1553" i="4"/>
  <c r="F1554" i="4"/>
  <c r="F1555" i="4"/>
  <c r="F1556" i="4"/>
  <c r="F1557" i="4"/>
  <c r="F1558" i="4"/>
  <c r="F1559" i="4"/>
  <c r="F1560" i="4"/>
  <c r="F1561" i="4"/>
  <c r="F1562" i="4"/>
  <c r="F1563" i="4"/>
  <c r="F1564" i="4"/>
  <c r="F1565" i="4"/>
  <c r="F1566" i="4"/>
  <c r="F1567" i="4"/>
  <c r="F1568" i="4"/>
  <c r="F1569" i="4"/>
  <c r="F1570" i="4"/>
  <c r="F1571" i="4"/>
  <c r="F1572" i="4"/>
  <c r="F1573" i="4"/>
  <c r="F1574" i="4"/>
  <c r="F1575" i="4"/>
  <c r="F1576" i="4"/>
  <c r="F1577" i="4"/>
  <c r="F1578" i="4"/>
  <c r="F1579" i="4"/>
  <c r="F1580" i="4"/>
  <c r="F1581" i="4"/>
  <c r="F1582" i="4"/>
  <c r="F1583" i="4"/>
  <c r="F1584" i="4"/>
  <c r="F1585" i="4"/>
  <c r="F1586" i="4"/>
  <c r="F1587" i="4"/>
  <c r="F1588" i="4"/>
  <c r="F1589" i="4"/>
  <c r="F1590" i="4"/>
  <c r="F1591" i="4"/>
  <c r="F1592" i="4"/>
  <c r="F1593" i="4"/>
  <c r="F1594" i="4"/>
  <c r="F1595" i="4"/>
  <c r="F1596" i="4"/>
  <c r="F1597" i="4"/>
  <c r="F1598" i="4"/>
  <c r="F1599" i="4"/>
  <c r="F1600" i="4"/>
  <c r="F1601" i="4"/>
  <c r="F1602" i="4"/>
  <c r="F1603" i="4"/>
  <c r="F1604" i="4"/>
  <c r="F1605" i="4"/>
  <c r="F1606" i="4"/>
  <c r="F1607" i="4"/>
  <c r="F1608" i="4"/>
  <c r="F1609" i="4"/>
  <c r="F1610" i="4"/>
  <c r="F1611" i="4"/>
  <c r="F1612" i="4"/>
  <c r="F1613" i="4"/>
  <c r="F1614" i="4"/>
  <c r="F1615" i="4"/>
  <c r="F1616" i="4"/>
  <c r="F1617" i="4"/>
  <c r="F1618" i="4"/>
  <c r="F1619" i="4"/>
  <c r="F1620" i="4"/>
  <c r="F1621" i="4"/>
  <c r="F1622" i="4"/>
  <c r="F1623" i="4"/>
  <c r="F1624" i="4"/>
  <c r="F1625" i="4"/>
  <c r="F1626" i="4"/>
  <c r="F1627" i="4"/>
  <c r="F1628" i="4"/>
  <c r="F1629" i="4"/>
  <c r="F1630" i="4"/>
  <c r="F1631" i="4"/>
  <c r="F1632" i="4"/>
  <c r="F1633" i="4"/>
  <c r="F1634" i="4"/>
  <c r="F1635" i="4"/>
  <c r="F1636" i="4"/>
  <c r="F1637" i="4"/>
  <c r="F1638" i="4"/>
  <c r="F1639" i="4"/>
  <c r="F1640" i="4"/>
  <c r="F1641" i="4"/>
  <c r="F1642" i="4"/>
  <c r="F1643" i="4"/>
  <c r="F1644" i="4"/>
  <c r="F1645" i="4"/>
  <c r="F1646" i="4"/>
  <c r="F1647" i="4"/>
  <c r="F1648" i="4"/>
  <c r="F1649" i="4"/>
  <c r="F1650" i="4"/>
  <c r="F1651" i="4"/>
  <c r="F1652" i="4"/>
  <c r="F1653" i="4"/>
  <c r="F1654" i="4"/>
  <c r="F1655" i="4"/>
  <c r="F1656" i="4"/>
  <c r="F1657" i="4"/>
  <c r="F1658" i="4"/>
  <c r="F1659" i="4"/>
  <c r="F1660" i="4"/>
  <c r="F1661" i="4"/>
  <c r="F1662" i="4"/>
  <c r="F1663" i="4"/>
  <c r="F1664" i="4"/>
  <c r="F1665" i="4"/>
  <c r="F1666" i="4"/>
  <c r="F1667" i="4"/>
  <c r="F1668" i="4"/>
  <c r="F1669" i="4"/>
  <c r="F1670" i="4"/>
  <c r="F1671" i="4"/>
  <c r="F1672" i="4"/>
  <c r="F1673" i="4"/>
  <c r="F1674" i="4"/>
  <c r="F1675" i="4"/>
  <c r="F1676" i="4"/>
  <c r="F1677" i="4"/>
  <c r="F1678" i="4"/>
  <c r="F1679" i="4"/>
  <c r="F1680" i="4"/>
  <c r="F1681" i="4"/>
  <c r="F1682" i="4"/>
  <c r="F1683" i="4"/>
  <c r="F1684" i="4"/>
  <c r="F1685" i="4"/>
  <c r="F1686" i="4"/>
  <c r="F1687" i="4"/>
  <c r="F1688" i="4"/>
  <c r="F1689" i="4"/>
  <c r="F1690" i="4"/>
  <c r="F1691" i="4"/>
  <c r="F1692" i="4"/>
  <c r="F1693" i="4"/>
  <c r="F1694" i="4"/>
  <c r="F1695" i="4"/>
  <c r="F1696" i="4"/>
  <c r="F1697" i="4"/>
  <c r="F1698" i="4"/>
  <c r="F1699" i="4"/>
  <c r="F1700" i="4"/>
  <c r="F1701" i="4"/>
  <c r="F1702" i="4"/>
  <c r="F1703" i="4"/>
  <c r="F1704" i="4"/>
  <c r="F1705" i="4"/>
  <c r="F1706" i="4"/>
  <c r="F1707" i="4"/>
  <c r="F1708" i="4"/>
  <c r="F1709" i="4"/>
  <c r="F1710" i="4"/>
  <c r="F1711" i="4"/>
  <c r="F1712" i="4"/>
  <c r="F1713" i="4"/>
  <c r="F1714" i="4"/>
  <c r="F1715" i="4"/>
  <c r="F1716" i="4"/>
  <c r="F1717" i="4"/>
  <c r="F1718" i="4"/>
  <c r="F1719" i="4"/>
  <c r="F1720" i="4"/>
  <c r="F1721" i="4"/>
  <c r="F1722" i="4"/>
  <c r="F1723" i="4"/>
  <c r="F1724" i="4"/>
  <c r="F1725" i="4"/>
  <c r="F1726" i="4"/>
  <c r="F1727" i="4"/>
  <c r="F1728" i="4"/>
  <c r="F1729" i="4"/>
  <c r="F1730" i="4"/>
  <c r="F1731" i="4"/>
  <c r="F1732" i="4"/>
  <c r="F1733" i="4"/>
  <c r="F1734" i="4"/>
  <c r="F1735" i="4"/>
  <c r="F1736" i="4"/>
  <c r="F1737" i="4"/>
  <c r="F1738" i="4"/>
  <c r="F1739" i="4"/>
  <c r="F1740" i="4"/>
  <c r="F1741" i="4"/>
  <c r="F1742" i="4"/>
  <c r="F1743" i="4"/>
  <c r="F1744" i="4"/>
  <c r="F1745" i="4"/>
  <c r="F1746" i="4"/>
  <c r="F1747" i="4"/>
  <c r="F1748" i="4"/>
  <c r="F1749" i="4"/>
  <c r="F1750" i="4"/>
  <c r="F1751" i="4"/>
  <c r="F1752" i="4"/>
  <c r="F1753" i="4"/>
  <c r="F1754" i="4"/>
  <c r="F1755" i="4"/>
  <c r="F1756" i="4"/>
  <c r="F1757" i="4"/>
  <c r="F1758" i="4"/>
  <c r="F1759" i="4"/>
  <c r="F1760" i="4"/>
  <c r="F1761" i="4"/>
  <c r="F1762" i="4"/>
  <c r="F1763" i="4"/>
  <c r="F1764" i="4"/>
  <c r="F1765" i="4"/>
  <c r="F1766" i="4"/>
  <c r="F1767" i="4"/>
  <c r="F1768" i="4"/>
  <c r="F1769" i="4"/>
  <c r="F1770" i="4"/>
  <c r="F1771" i="4"/>
  <c r="F1772" i="4"/>
  <c r="F1773" i="4"/>
  <c r="F1774" i="4"/>
  <c r="F1775" i="4"/>
  <c r="F1776" i="4"/>
  <c r="F1777" i="4"/>
  <c r="F1778" i="4"/>
  <c r="F1779" i="4"/>
  <c r="F1780" i="4"/>
  <c r="F1781" i="4"/>
  <c r="F1782" i="4"/>
  <c r="F1783" i="4"/>
  <c r="F1784" i="4"/>
  <c r="F1785" i="4"/>
  <c r="F1786" i="4"/>
  <c r="F1787" i="4"/>
  <c r="F1788" i="4"/>
  <c r="F1789" i="4"/>
  <c r="F1790" i="4"/>
  <c r="F1791" i="4"/>
  <c r="F1792" i="4"/>
  <c r="F1793" i="4"/>
  <c r="F1794" i="4"/>
  <c r="F1795" i="4"/>
  <c r="F1796" i="4"/>
  <c r="F1797" i="4"/>
  <c r="F1798" i="4"/>
  <c r="F1799" i="4"/>
  <c r="F1800" i="4"/>
  <c r="F1801" i="4"/>
  <c r="F1802" i="4"/>
  <c r="F1803" i="4"/>
  <c r="F1804" i="4"/>
  <c r="F1805" i="4"/>
  <c r="F1806" i="4"/>
  <c r="F1807" i="4"/>
  <c r="F1808" i="4"/>
  <c r="F1809" i="4"/>
  <c r="F1810" i="4"/>
  <c r="F1811" i="4"/>
  <c r="F1812" i="4"/>
  <c r="F1813" i="4"/>
  <c r="F1814" i="4"/>
  <c r="F1815" i="4"/>
  <c r="F1816" i="4"/>
  <c r="F1817" i="4"/>
  <c r="F1818" i="4"/>
  <c r="F1819" i="4"/>
  <c r="F1820" i="4"/>
  <c r="F1821" i="4"/>
  <c r="F1822" i="4"/>
  <c r="F1823" i="4"/>
  <c r="F1824" i="4"/>
  <c r="F1825" i="4"/>
  <c r="F1826" i="4"/>
  <c r="F1827" i="4"/>
  <c r="F1828" i="4"/>
  <c r="F1829" i="4"/>
  <c r="F1830" i="4"/>
  <c r="F1831" i="4"/>
  <c r="F1832" i="4"/>
  <c r="F1833" i="4"/>
  <c r="F1834" i="4"/>
  <c r="F1835" i="4"/>
  <c r="F1836" i="4"/>
  <c r="F1837" i="4"/>
  <c r="F1838" i="4"/>
  <c r="F1839" i="4"/>
  <c r="F1840" i="4"/>
  <c r="F1841" i="4"/>
  <c r="F1842" i="4"/>
  <c r="F1843" i="4"/>
  <c r="F1844" i="4"/>
  <c r="F1845" i="4"/>
  <c r="F1846" i="4"/>
  <c r="F1847" i="4"/>
  <c r="F1848" i="4"/>
  <c r="F1849" i="4"/>
  <c r="F1850" i="4"/>
  <c r="F1851" i="4"/>
  <c r="F1852" i="4"/>
  <c r="F1853" i="4"/>
  <c r="F1854" i="4"/>
  <c r="F1855" i="4"/>
  <c r="F1856" i="4"/>
  <c r="F1857" i="4"/>
  <c r="F1858" i="4"/>
  <c r="F1859" i="4"/>
  <c r="F1860" i="4"/>
  <c r="F1861" i="4"/>
  <c r="F1862" i="4"/>
  <c r="F1863" i="4"/>
  <c r="F1864" i="4"/>
  <c r="F1865" i="4"/>
  <c r="F1866" i="4"/>
  <c r="F1867" i="4"/>
  <c r="F1868" i="4"/>
  <c r="F1869" i="4"/>
  <c r="F1870" i="4"/>
  <c r="F1871" i="4"/>
  <c r="F1872" i="4"/>
  <c r="F1873" i="4"/>
  <c r="F1874" i="4"/>
  <c r="F1875" i="4"/>
  <c r="F1876" i="4"/>
  <c r="F1877" i="4"/>
  <c r="F1878" i="4"/>
  <c r="F1879" i="4"/>
  <c r="F1880" i="4"/>
  <c r="F1881" i="4"/>
  <c r="F1882" i="4"/>
  <c r="F1883" i="4"/>
  <c r="F1884" i="4"/>
  <c r="F1885" i="4"/>
  <c r="F1886" i="4"/>
  <c r="F1887" i="4"/>
  <c r="F1888" i="4"/>
  <c r="F1889" i="4"/>
  <c r="F1890" i="4"/>
  <c r="F1891" i="4"/>
  <c r="F1892" i="4"/>
  <c r="F1893" i="4"/>
  <c r="F1894" i="4"/>
  <c r="F1895" i="4"/>
  <c r="F1896" i="4"/>
  <c r="F1897" i="4"/>
  <c r="F1898" i="4"/>
  <c r="F1899" i="4"/>
  <c r="F1900" i="4"/>
  <c r="F1901" i="4"/>
  <c r="F1902" i="4"/>
  <c r="F1903" i="4"/>
  <c r="F1904" i="4"/>
  <c r="F1905" i="4"/>
  <c r="F1906" i="4"/>
  <c r="F1907" i="4"/>
  <c r="F1908" i="4"/>
  <c r="F1909" i="4"/>
  <c r="F1910" i="4"/>
  <c r="F1911" i="4"/>
  <c r="F1912" i="4"/>
  <c r="F1913" i="4"/>
  <c r="F1914" i="4"/>
  <c r="F1915" i="4"/>
  <c r="F1916" i="4"/>
  <c r="F1917" i="4"/>
  <c r="F1918" i="4"/>
  <c r="F1919" i="4"/>
  <c r="F1920" i="4"/>
  <c r="F1921" i="4"/>
  <c r="F1922" i="4"/>
  <c r="F1923" i="4"/>
  <c r="F1924" i="4"/>
  <c r="F1925" i="4"/>
  <c r="F1926" i="4"/>
  <c r="F1927" i="4"/>
  <c r="F1928" i="4"/>
  <c r="F1929" i="4"/>
  <c r="F1930" i="4"/>
  <c r="F1931" i="4"/>
  <c r="F1932" i="4"/>
  <c r="F1933" i="4"/>
  <c r="F1934" i="4"/>
  <c r="F1935" i="4"/>
  <c r="F1936" i="4"/>
  <c r="F1937" i="4"/>
  <c r="F1938" i="4"/>
  <c r="F1939" i="4"/>
  <c r="F1940" i="4"/>
  <c r="F1941" i="4"/>
  <c r="F1942" i="4"/>
  <c r="F1943" i="4"/>
  <c r="F1944" i="4"/>
  <c r="F1945" i="4"/>
  <c r="F1946" i="4"/>
  <c r="F1947" i="4"/>
  <c r="F1948" i="4"/>
  <c r="F1949" i="4"/>
  <c r="F1950" i="4"/>
  <c r="F1951" i="4"/>
  <c r="F1952" i="4"/>
  <c r="F1953" i="4"/>
  <c r="F1954" i="4"/>
  <c r="F1955" i="4"/>
  <c r="F1956" i="4"/>
  <c r="F1957" i="4"/>
  <c r="F1958" i="4"/>
  <c r="F1959" i="4"/>
  <c r="F1960" i="4"/>
  <c r="F1961" i="4"/>
  <c r="F1962" i="4"/>
  <c r="F1963" i="4"/>
  <c r="F1964" i="4"/>
  <c r="F1965" i="4"/>
  <c r="F1966" i="4"/>
  <c r="F1967" i="4"/>
  <c r="F1968" i="4"/>
  <c r="F1969" i="4"/>
  <c r="F1970" i="4"/>
  <c r="F1971" i="4"/>
  <c r="F1972" i="4"/>
  <c r="F1973" i="4"/>
  <c r="F1974" i="4"/>
  <c r="F1975" i="4"/>
  <c r="F1976" i="4"/>
  <c r="F1977" i="4"/>
  <c r="F1978" i="4"/>
  <c r="F1979" i="4"/>
  <c r="F1980" i="4"/>
  <c r="F1981" i="4"/>
  <c r="F1982" i="4"/>
  <c r="F1983" i="4"/>
  <c r="F1984" i="4"/>
  <c r="F1985" i="4"/>
  <c r="F1986" i="4"/>
  <c r="F1987" i="4"/>
  <c r="F1988" i="4"/>
  <c r="F1989" i="4"/>
  <c r="F1990" i="4"/>
  <c r="F1991" i="4"/>
  <c r="F1992" i="4"/>
  <c r="F1993" i="4"/>
  <c r="F1994" i="4"/>
  <c r="F1995" i="4"/>
  <c r="F1996" i="4"/>
  <c r="F1997" i="4"/>
  <c r="F1998" i="4"/>
  <c r="F3" i="4"/>
  <c r="F4" i="4"/>
  <c r="F5" i="4"/>
  <c r="F6" i="4"/>
  <c r="F7" i="4"/>
  <c r="F8" i="4"/>
  <c r="F9" i="4"/>
  <c r="F10" i="4"/>
  <c r="F11" i="4"/>
  <c r="F12" i="4"/>
  <c r="F13" i="4"/>
  <c r="F14" i="4"/>
  <c r="F15" i="4"/>
  <c r="F16" i="4"/>
  <c r="F17" i="4"/>
  <c r="F18" i="4"/>
  <c r="F19" i="4"/>
  <c r="F20" i="4"/>
  <c r="F21" i="4"/>
  <c r="F22" i="4"/>
  <c r="F23" i="4"/>
  <c r="F24" i="4"/>
  <c r="F25" i="4"/>
  <c r="F26" i="4"/>
  <c r="F27" i="4"/>
  <c r="F2" i="4"/>
  <c r="B1999" i="2"/>
  <c r="B1997" i="2"/>
  <c r="B1995" i="2"/>
  <c r="B1991" i="2"/>
  <c r="B1989" i="2"/>
  <c r="B1988" i="2"/>
  <c r="B1986" i="2"/>
  <c r="B1974" i="2"/>
  <c r="B1971" i="2"/>
  <c r="B1970" i="2"/>
  <c r="B1968" i="2"/>
  <c r="B1967" i="2"/>
  <c r="B1964" i="2"/>
  <c r="B1963" i="2"/>
  <c r="B1959" i="2"/>
  <c r="B1958" i="2"/>
  <c r="B1957" i="2"/>
  <c r="B1946" i="2"/>
  <c r="B1945" i="2"/>
  <c r="B1944" i="2"/>
  <c r="B1939" i="2"/>
  <c r="B1938" i="2"/>
  <c r="B1930" i="2"/>
  <c r="B1924" i="2"/>
  <c r="B1923" i="2"/>
  <c r="B1922" i="2"/>
  <c r="B1919" i="2"/>
  <c r="B1915" i="2"/>
  <c r="B1905" i="2"/>
  <c r="B1883" i="2"/>
  <c r="B1879" i="2"/>
  <c r="B1869" i="2"/>
  <c r="B1850" i="2"/>
  <c r="B1840" i="2"/>
  <c r="B1832" i="2"/>
  <c r="B1829" i="2"/>
  <c r="B1824" i="2"/>
  <c r="B1812" i="2"/>
  <c r="B1803" i="2"/>
  <c r="B1802" i="2"/>
  <c r="B1766" i="2"/>
  <c r="B1761" i="2"/>
  <c r="B1757" i="2"/>
  <c r="B1751" i="2"/>
  <c r="B1742" i="2"/>
  <c r="B1740" i="2"/>
  <c r="B1728" i="2"/>
  <c r="B1722" i="2"/>
  <c r="B1717" i="2"/>
  <c r="B1712" i="2"/>
  <c r="B1705" i="2"/>
  <c r="B1683" i="2"/>
  <c r="B1670" i="2"/>
  <c r="B1660" i="2"/>
  <c r="B1658" i="2"/>
  <c r="B1655" i="2"/>
  <c r="B1654" i="2"/>
  <c r="B1649" i="2"/>
  <c r="B1647" i="2"/>
  <c r="B1626" i="2"/>
  <c r="B1623" i="2"/>
  <c r="B1618" i="2"/>
  <c r="B1609" i="2"/>
  <c r="B1600" i="2"/>
  <c r="B1597" i="2"/>
  <c r="B1595" i="2"/>
  <c r="B1593" i="2"/>
  <c r="B1591" i="2"/>
  <c r="B1587" i="2"/>
  <c r="B1586" i="2"/>
  <c r="B1585" i="2"/>
  <c r="B1581" i="2"/>
  <c r="B1538" i="2"/>
  <c r="B1531" i="2"/>
  <c r="B1520" i="2"/>
  <c r="B1518" i="2"/>
  <c r="B1506" i="2"/>
  <c r="B1505" i="2"/>
  <c r="B1497" i="2"/>
  <c r="B1473" i="2"/>
  <c r="B1454" i="2"/>
  <c r="B1453" i="2"/>
  <c r="B1450" i="2"/>
  <c r="B1445" i="2"/>
  <c r="B1444" i="2"/>
  <c r="B1443" i="2"/>
  <c r="B1442" i="2"/>
  <c r="B1441" i="2"/>
  <c r="B1440" i="2"/>
  <c r="B1439" i="2"/>
  <c r="B1438" i="2"/>
  <c r="B1434" i="2"/>
  <c r="B1424" i="2"/>
  <c r="B1421" i="2"/>
  <c r="B1419" i="2"/>
  <c r="B1418" i="2"/>
  <c r="B1416" i="2"/>
  <c r="B1415" i="2"/>
  <c r="B1414" i="2"/>
  <c r="B1413" i="2"/>
  <c r="B1412" i="2"/>
  <c r="B1411" i="2"/>
  <c r="B1408" i="2"/>
  <c r="B1404" i="2"/>
  <c r="B1403" i="2"/>
  <c r="B1402" i="2"/>
  <c r="B1401" i="2"/>
  <c r="B1400" i="2"/>
  <c r="B1399" i="2"/>
  <c r="B1396" i="2"/>
  <c r="B1386" i="2"/>
  <c r="B1384" i="2"/>
  <c r="B1383" i="2"/>
  <c r="B1378" i="2"/>
  <c r="B1376" i="2"/>
  <c r="B1375" i="2"/>
  <c r="B1369" i="2"/>
  <c r="B1367" i="2"/>
  <c r="B1364" i="2"/>
  <c r="B1361" i="2"/>
  <c r="B1360" i="2"/>
  <c r="B1359" i="2"/>
  <c r="B1358" i="2"/>
  <c r="B1355" i="2"/>
  <c r="B1348" i="2"/>
  <c r="B1342" i="2"/>
  <c r="B1333" i="2"/>
  <c r="B1328" i="2"/>
  <c r="B1321" i="2"/>
  <c r="B1319" i="2"/>
  <c r="B1315" i="2"/>
  <c r="B1314" i="2"/>
  <c r="B1312" i="2"/>
  <c r="B1309" i="2"/>
  <c r="B1307" i="2"/>
  <c r="B1301" i="2"/>
  <c r="B1297" i="2"/>
  <c r="B1296" i="2"/>
  <c r="B1295" i="2"/>
  <c r="B1289" i="2"/>
  <c r="B1288" i="2"/>
  <c r="B1282" i="2"/>
  <c r="B1281" i="2"/>
  <c r="B1280" i="2"/>
  <c r="B1276" i="2"/>
  <c r="B1275" i="2"/>
  <c r="B1273" i="2"/>
  <c r="B1272" i="2"/>
  <c r="B1265" i="2"/>
  <c r="B1264" i="2"/>
  <c r="B1263" i="2"/>
  <c r="B1260" i="2"/>
  <c r="B1256" i="2"/>
  <c r="B1246" i="2"/>
  <c r="B1233" i="2"/>
  <c r="B1230" i="2"/>
  <c r="B1229" i="2"/>
  <c r="B1228" i="2"/>
  <c r="B1227" i="2"/>
  <c r="B1225" i="2"/>
  <c r="B1224" i="2"/>
  <c r="B1223" i="2"/>
  <c r="B1222" i="2"/>
  <c r="B1217" i="2"/>
  <c r="B1215" i="2"/>
  <c r="B1213" i="2"/>
  <c r="B1212" i="2"/>
  <c r="B1210" i="2"/>
  <c r="B1202" i="2"/>
  <c r="B1201" i="2"/>
  <c r="B1194" i="2"/>
  <c r="B1192" i="2"/>
  <c r="B1191" i="2"/>
  <c r="B1190" i="2"/>
  <c r="B1189" i="2"/>
  <c r="B1188" i="2"/>
  <c r="B1185" i="2"/>
  <c r="B1183" i="2"/>
  <c r="B1182" i="2"/>
  <c r="B1174" i="2"/>
  <c r="B1172" i="2"/>
  <c r="B1170" i="2"/>
  <c r="B1168" i="2"/>
  <c r="B1167" i="2"/>
  <c r="B1166" i="2"/>
  <c r="B1164" i="2"/>
  <c r="B1163" i="2"/>
  <c r="B1162" i="2"/>
  <c r="B1161" i="2"/>
  <c r="B1160" i="2"/>
  <c r="B1159" i="2"/>
  <c r="B1158" i="2"/>
  <c r="B1157" i="2"/>
  <c r="B1156" i="2"/>
  <c r="B1154" i="2"/>
  <c r="B1153" i="2"/>
  <c r="B1152" i="2"/>
  <c r="B1144" i="2"/>
  <c r="B1134" i="2"/>
  <c r="B1130" i="2"/>
  <c r="B1129" i="2"/>
  <c r="B1128" i="2"/>
  <c r="B1121" i="2"/>
  <c r="B1119" i="2"/>
  <c r="B1105" i="2"/>
  <c r="B1100" i="2"/>
  <c r="B1093" i="2"/>
  <c r="B1091" i="2"/>
  <c r="B1089" i="2"/>
  <c r="B1088" i="2"/>
  <c r="B1086" i="2"/>
  <c r="B1084" i="2"/>
  <c r="B1083" i="2"/>
  <c r="B1071" i="2"/>
  <c r="B1069" i="2"/>
  <c r="B1068" i="2"/>
  <c r="B1067" i="2"/>
  <c r="B1065" i="2"/>
  <c r="B1062" i="2"/>
  <c r="B1059" i="2"/>
  <c r="B1058" i="2"/>
  <c r="B1055" i="2"/>
  <c r="B1054" i="2"/>
  <c r="B1052" i="2"/>
  <c r="B1050" i="2"/>
  <c r="B1045" i="2"/>
  <c r="B1033" i="2"/>
  <c r="B1024" i="2"/>
  <c r="B1020" i="2"/>
  <c r="B1019" i="2"/>
  <c r="B1016" i="2"/>
  <c r="B1014" i="2"/>
  <c r="B1012" i="2"/>
  <c r="B1010" i="2"/>
  <c r="B1006" i="2"/>
  <c r="B997" i="2"/>
  <c r="B995" i="2"/>
  <c r="B987" i="2"/>
  <c r="B985" i="2"/>
  <c r="B977" i="2"/>
  <c r="B972" i="2"/>
  <c r="B962" i="2"/>
  <c r="B959" i="2"/>
  <c r="B958" i="2"/>
  <c r="B957" i="2"/>
  <c r="B956" i="2"/>
  <c r="B948" i="2"/>
  <c r="B945" i="2"/>
  <c r="B942" i="2"/>
  <c r="B941" i="2"/>
  <c r="B940" i="2"/>
  <c r="B939" i="2"/>
  <c r="B938" i="2"/>
  <c r="B937" i="2"/>
  <c r="B934" i="2"/>
  <c r="B932" i="2"/>
  <c r="B931" i="2"/>
  <c r="B930" i="2"/>
  <c r="B929" i="2"/>
  <c r="B928" i="2"/>
  <c r="B926" i="2"/>
  <c r="B924" i="2"/>
  <c r="B922" i="2"/>
  <c r="B921" i="2"/>
  <c r="B920" i="2"/>
  <c r="B919" i="2"/>
  <c r="B918" i="2"/>
  <c r="B917" i="2"/>
  <c r="B916" i="2"/>
  <c r="B915" i="2"/>
  <c r="B914" i="2"/>
  <c r="B913" i="2"/>
  <c r="B911" i="2"/>
  <c r="B910" i="2"/>
  <c r="B909" i="2"/>
  <c r="B908" i="2"/>
  <c r="B907" i="2"/>
  <c r="B906" i="2"/>
  <c r="B905" i="2"/>
  <c r="B904" i="2"/>
  <c r="B902" i="2"/>
  <c r="B901" i="2"/>
  <c r="B899" i="2"/>
  <c r="B897" i="2"/>
  <c r="B895" i="2"/>
  <c r="B893" i="2"/>
  <c r="B892" i="2"/>
  <c r="B891" i="2"/>
  <c r="B888" i="2"/>
  <c r="B887" i="2"/>
  <c r="B886" i="2"/>
  <c r="B885" i="2"/>
  <c r="B883" i="2"/>
  <c r="B881" i="2"/>
  <c r="B877" i="2"/>
  <c r="B876" i="2"/>
  <c r="B875" i="2"/>
  <c r="B868" i="2"/>
  <c r="B866" i="2"/>
  <c r="B865" i="2"/>
  <c r="B864" i="2"/>
  <c r="B858" i="2"/>
  <c r="B857" i="2"/>
  <c r="B856" i="2"/>
  <c r="B855" i="2"/>
  <c r="C852" i="2"/>
  <c r="B852" i="2"/>
  <c r="B850" i="2"/>
  <c r="B844" i="2"/>
  <c r="B843" i="2"/>
  <c r="B842" i="2"/>
  <c r="B841" i="2"/>
  <c r="B840" i="2"/>
  <c r="B837" i="2"/>
  <c r="B835" i="2"/>
  <c r="B834" i="2"/>
  <c r="B833" i="2"/>
  <c r="B829" i="2"/>
  <c r="B825" i="2"/>
  <c r="B820" i="2"/>
  <c r="B817" i="2"/>
  <c r="B812" i="2"/>
  <c r="B811" i="2"/>
  <c r="B807" i="2"/>
  <c r="B805" i="2"/>
  <c r="B804" i="2"/>
  <c r="B796" i="2"/>
  <c r="B793" i="2"/>
  <c r="B789" i="2"/>
  <c r="B788" i="2"/>
  <c r="B786" i="2"/>
  <c r="B784" i="2"/>
  <c r="B782" i="2"/>
  <c r="B781" i="2"/>
  <c r="B775" i="2"/>
  <c r="B774" i="2"/>
  <c r="B771" i="2"/>
  <c r="B769" i="2"/>
  <c r="B766" i="2"/>
  <c r="B764" i="2"/>
  <c r="B761" i="2"/>
  <c r="B760" i="2"/>
  <c r="B755" i="2"/>
  <c r="B752" i="2"/>
  <c r="B750" i="2"/>
  <c r="B749" i="2"/>
  <c r="B746" i="2"/>
  <c r="B745" i="2"/>
  <c r="B741" i="2"/>
  <c r="B738" i="2"/>
  <c r="B737" i="2"/>
  <c r="B734" i="2"/>
  <c r="B731" i="2"/>
  <c r="B728" i="2"/>
  <c r="B724" i="2"/>
  <c r="B723" i="2"/>
  <c r="B721" i="2"/>
  <c r="B716" i="2"/>
  <c r="B712" i="2"/>
  <c r="B707" i="2"/>
  <c r="B706" i="2"/>
  <c r="B705" i="2"/>
  <c r="B704" i="2"/>
  <c r="B702" i="2"/>
  <c r="B701" i="2"/>
  <c r="B698" i="2"/>
  <c r="B695" i="2"/>
  <c r="B689" i="2"/>
  <c r="B682" i="2"/>
  <c r="B677" i="2"/>
  <c r="B673" i="2"/>
  <c r="B670" i="2"/>
  <c r="B668" i="2"/>
  <c r="B666" i="2"/>
  <c r="B653" i="2"/>
  <c r="B647" i="2"/>
  <c r="B644" i="2"/>
  <c r="B643" i="2"/>
  <c r="B642" i="2"/>
  <c r="B633" i="2"/>
  <c r="B632" i="2"/>
  <c r="B630" i="2"/>
  <c r="B629" i="2"/>
  <c r="B628" i="2"/>
  <c r="B627" i="2"/>
  <c r="B625" i="2"/>
  <c r="B620" i="2"/>
  <c r="B618" i="2"/>
  <c r="B615" i="2"/>
  <c r="B614" i="2"/>
  <c r="B612" i="2"/>
  <c r="B604" i="2"/>
  <c r="B603" i="2"/>
  <c r="B598" i="2"/>
  <c r="B592" i="2"/>
  <c r="B591" i="2"/>
  <c r="B589" i="2"/>
  <c r="B588" i="2"/>
  <c r="B587" i="2"/>
  <c r="B586" i="2"/>
  <c r="B585" i="2"/>
  <c r="B579" i="2"/>
  <c r="B577" i="2"/>
  <c r="B574" i="2"/>
  <c r="B569" i="2"/>
  <c r="B564" i="2"/>
  <c r="B563" i="2"/>
  <c r="B561" i="2"/>
  <c r="B560" i="2"/>
  <c r="B559" i="2"/>
  <c r="B556" i="2"/>
  <c r="B555" i="2"/>
  <c r="B552" i="2"/>
  <c r="B548" i="2"/>
  <c r="B547" i="2"/>
  <c r="B545" i="2"/>
  <c r="B540" i="2"/>
  <c r="B538" i="2"/>
  <c r="B536" i="2"/>
  <c r="B535" i="2"/>
  <c r="B534" i="2"/>
  <c r="B531" i="2"/>
  <c r="B526" i="2"/>
  <c r="B521" i="2"/>
  <c r="B520" i="2"/>
  <c r="B516" i="2"/>
  <c r="B512" i="2"/>
  <c r="B510" i="2"/>
  <c r="B504" i="2"/>
  <c r="B501" i="2"/>
  <c r="B499" i="2"/>
  <c r="B494" i="2"/>
  <c r="B493" i="2"/>
  <c r="B491" i="2"/>
  <c r="B490" i="2"/>
  <c r="B489" i="2"/>
  <c r="B488" i="2"/>
  <c r="B482" i="2"/>
  <c r="B477" i="2"/>
  <c r="B469" i="2"/>
  <c r="B467" i="2"/>
  <c r="B462" i="2"/>
  <c r="B459" i="2"/>
  <c r="B453" i="2"/>
  <c r="B452" i="2"/>
  <c r="B448" i="2"/>
  <c r="B442" i="2"/>
  <c r="B441" i="2"/>
  <c r="B440" i="2"/>
  <c r="B437" i="2"/>
  <c r="B433" i="2"/>
  <c r="B432" i="2"/>
  <c r="B426" i="2"/>
  <c r="B425" i="2"/>
  <c r="B422" i="2"/>
  <c r="B421" i="2"/>
  <c r="B420" i="2"/>
  <c r="B419" i="2"/>
  <c r="B404" i="2"/>
  <c r="B395" i="2"/>
  <c r="B392" i="2"/>
  <c r="B391" i="2"/>
  <c r="B387" i="2"/>
  <c r="B379" i="2"/>
  <c r="B378" i="2"/>
  <c r="B377" i="2"/>
  <c r="B372" i="2"/>
  <c r="B371" i="2"/>
  <c r="B367" i="2"/>
  <c r="B364" i="2"/>
  <c r="B357" i="2"/>
  <c r="B353" i="2"/>
  <c r="B349" i="2"/>
  <c r="B348" i="2"/>
  <c r="B346" i="2"/>
  <c r="B344" i="2"/>
  <c r="B342" i="2"/>
  <c r="B341" i="2"/>
  <c r="B340" i="2"/>
  <c r="B335" i="2"/>
  <c r="B334" i="2"/>
  <c r="B333" i="2"/>
  <c r="B329" i="2"/>
  <c r="B327" i="2"/>
  <c r="B321" i="2"/>
  <c r="B319" i="2"/>
  <c r="B317" i="2"/>
  <c r="B316" i="2"/>
  <c r="B313" i="2"/>
  <c r="B312" i="2"/>
  <c r="B305" i="2"/>
  <c r="B304" i="2"/>
  <c r="B301" i="2"/>
  <c r="B296" i="2"/>
  <c r="B275" i="2"/>
  <c r="B273" i="2"/>
  <c r="B269" i="2"/>
  <c r="B236" i="2"/>
  <c r="B233" i="2"/>
  <c r="B200" i="2"/>
  <c r="B188" i="2"/>
  <c r="B177" i="2"/>
  <c r="B173" i="2"/>
  <c r="B170" i="2"/>
  <c r="B169" i="2"/>
  <c r="B168" i="2"/>
  <c r="B157" i="2"/>
  <c r="B156" i="2"/>
  <c r="B155" i="2"/>
  <c r="B154" i="2"/>
  <c r="B153" i="2"/>
  <c r="B140" i="2"/>
  <c r="B137" i="2"/>
  <c r="B135" i="2"/>
  <c r="B133" i="2"/>
  <c r="B131" i="2"/>
  <c r="B128" i="2"/>
  <c r="B127" i="2"/>
  <c r="B124" i="2"/>
  <c r="B119" i="2"/>
  <c r="B112" i="2"/>
  <c r="B108" i="2"/>
  <c r="B106" i="2"/>
  <c r="B103" i="2"/>
  <c r="B102" i="2"/>
  <c r="B100" i="2"/>
  <c r="B97" i="2"/>
  <c r="B96" i="2"/>
  <c r="B94" i="2"/>
  <c r="B91" i="2"/>
  <c r="B90" i="2"/>
  <c r="B89" i="2"/>
  <c r="B85" i="2"/>
  <c r="B78" i="2"/>
  <c r="B77" i="2"/>
  <c r="B76" i="2"/>
  <c r="B75" i="2"/>
  <c r="B73" i="2"/>
  <c r="B72" i="2"/>
  <c r="B70" i="2"/>
  <c r="B67" i="2"/>
  <c r="B64" i="2"/>
  <c r="B56" i="2"/>
  <c r="B53" i="2"/>
  <c r="B50" i="2"/>
  <c r="B49" i="2"/>
  <c r="B46" i="2"/>
  <c r="B44" i="2"/>
  <c r="B43" i="2"/>
  <c r="B37" i="2"/>
  <c r="B34" i="2"/>
  <c r="B32" i="2"/>
  <c r="B26" i="2"/>
  <c r="B25" i="2"/>
  <c r="B23" i="2"/>
  <c r="B20" i="2"/>
  <c r="B19" i="2"/>
  <c r="B11" i="2"/>
  <c r="B10" i="2"/>
  <c r="B9" i="2"/>
  <c r="B8" i="2"/>
  <c r="B7" i="2"/>
  <c r="B6" i="2"/>
  <c r="B5" i="2"/>
  <c r="B4" i="2"/>
  <c r="B3" i="2"/>
</calcChain>
</file>

<file path=xl/sharedStrings.xml><?xml version="1.0" encoding="utf-8"?>
<sst xmlns="http://schemas.openxmlformats.org/spreadsheetml/2006/main" count="25267" uniqueCount="7153">
  <si>
    <t>ticketNbr</t>
  </si>
  <si>
    <t>company_name</t>
  </si>
  <si>
    <t>contact_name</t>
  </si>
  <si>
    <t>Summary</t>
  </si>
  <si>
    <t>Initial_Description</t>
  </si>
  <si>
    <t>Source</t>
  </si>
  <si>
    <t>date_entered</t>
  </si>
  <si>
    <t>Igloo Building Supplies Group</t>
  </si>
  <si>
    <t>Steven Gravel</t>
  </si>
  <si>
    <t xml:space="preserve"> - Set up authenticator</t>
  </si>
  <si>
    <t>Hello,
I have a new Iphone and I cannot figure out how to set up the Authenticator.
Thank you
[image]
Steven Gravel
Vice PresidentÂ 
Phone: 613-703-6208
16255 Country #2Â |Â Long Sault, ONÂ |Â K0C 1P0
[image]Â Â [image]Â Â [image]Â  Â  Â  Â  Â  Â  Â [image]Â [image]</t>
  </si>
  <si>
    <t>Email Connector</t>
  </si>
  <si>
    <t>Group2 Architecture Interior Design Ltd.</t>
  </si>
  <si>
    <t>Ron Murdoch</t>
  </si>
  <si>
    <t>Ron Murdoch - bluebeam update failed</t>
  </si>
  <si>
    <t>Can you tell me what your computer name is and I'll push out the upgrade. Your computer needs to be on.
Thanks,
Justin
Get Outlook for Android
Justin Wiebe
Project Specialist
PH.Â +1 7804246398
14505 114th Avenue NW
Edmonton,       AB
T5M2Y8
Justin.Wiebe@mnp.ca
mnp.ca [image]
[image]
From: Ron Murdoch &lt;ron.murdoch@group2.ca&gt;
Sent: Saturday, February 20, 2021 11:03:17 AM
To: Support - MNP IT Managed Services &lt;support@mnptechnology.ca&gt;
Cc: Justin Wiebe &lt;Justin.Wiebe@mnp.ca&gt;
Subject: Bluebeam Upgrade is not working
CAUTION: This email originated from outside of the MNP network. Be cautious of any embedded links and/or attachments.
MISE EN GARDE: Ce courriel ne provient pas du rÃ©seau de MNP. MÃ©fiez-vous des liens ou piÃ¨ces jointes quâ€™il pourrait contenir.
Hi MNP Team;
The Bluebeam upgrade from 2018 to 2019 did not complete.
2018 has uninstalled. My computer shut down sometime around 5:30 with any warning.
After restarting it I could not find Bluebeam 2019.
I do have work to complete before Monday morning that requires Blubeam.
Please call me on my cell at 403-872-6426.
Thanks,
RJ
Ron (RJ) Murdoch,Associate
Group2Architecture Interior Design Ltd.
200, 4706 48th Avenue | Red Deer, AB | T4N 6J4
T. 403.340.2200 ext: 426 | C. 403.872.6426 |Â Â group2.ca
Group2 is committed to being both responsive and responsible in navigating these extraordinary times with everyoneâ€™s safety in mind. Since the outset of the COVID-19 situation, we have enabled our employees to work remotely, allowing us to continue business operations and maintain our client commitments.
This email and any files transmitted with it are confidential and intended solely for the use of the individual or entity to whom they are addressed. If you have received this email in error please notify the system manager. This message contains confidential information and is intended only for the individual named. If you are not the named addressee you should not disseminate, distribute or copy this e-mail.</t>
  </si>
  <si>
    <t>Calmont Group</t>
  </si>
  <si>
    <t>Brad Wearmouth</t>
  </si>
  <si>
    <t>Brad Wearmouth - Email hacked</t>
  </si>
  <si>
    <t>Hi,
I believe my email has been compromised. I have been booted out of my company email and a personal account. The passwords are not working. 
Bradley.Wearmouth@calmont.ca 
Brad Wearmouth</t>
  </si>
  <si>
    <t>E4C</t>
  </si>
  <si>
    <t>CÃ©line Scott</t>
  </si>
  <si>
    <t>CÃ©line Scott - Adobe still not fully functioning</t>
  </si>
  <si>
    <t>### Summary of Issue_x000D_
Adobe still not fully functioning_x000D_
  _x000D_
### Details of Issue_x000D_
Hi, 
I'm still having trouble with adobe. I can open it, and was signing things without difficulty for hours but all of a sudden it won't open for me anymore. Can I please have this set as my default? I'm finding it very frustrating to get my work done with all of the trouble this program is giving me. I have a deadline that I am now going to miss.
Looking forward to your reply._x000D_
  _x000D_
### If your callback number is different than what's on record, please provide it below._x000D_
905-783-7863_x000D_
  _x000D_
### Have you opened a ticket about this issue before?  _x000D_
 No  _x000D_
  _x000D_
### How many users are impacted by this issue?  _x000D_
 One  _x000D_
  _x000D_
### How would you classify this issue?  _x000D_
 Work Impacting</t>
  </si>
  <si>
    <t>DeskDirector</t>
  </si>
  <si>
    <t>Durocher Simpson Koehli Erler LLP</t>
  </si>
  <si>
    <t>Linette Rasmussen</t>
  </si>
  <si>
    <t>Robert Simpson - Cannot log into cloud</t>
  </si>
  <si>
    <t>Good afternoon,
I am starting a ticket for Mr. Robert Simpson for his computer in the office.Â  When he tries to log onto the remote desktop link he gets the message:
Remote Desktop cannot find the computer â€œdske.nextcloud.caâ€ does not belong to the specified network.Â  Verify the computer name and domain that you are trying to connect to.
He can log onto the Cloud at home from his laptop.Â  If Mr. Simpson is not in the office when a Rep calls I would be happy to assist.
Thank you.
Linette Rasmussen
Assistant to Robert Simpson
LRasmussen@dursim.com
Durocher Simpson Koehli &amp; Erler LLP
7904 Gateway Blvd.
Edmonton, AB T6E 6C3
Ph:Â  780-420-6850
Fax:Â 780-425-9185</t>
  </si>
  <si>
    <t>Chris McCabe</t>
  </si>
  <si>
    <t>Chris McCabe - Jennifer Rose Email transferred to Chantal Ali</t>
  </si>
  <si>
    <t>Good afternoon,
Jennifer Rose is going for surgery and is estimated to be off for the next 6 weeks. Can we get allow Chantal Ali access to her email in Jenâ€™s absence?
Thanks,
Chris McCabe
Rental Manager
[cid:image001.jpg@01D69AED.73FB1610]
14610 Yellowhead Trail NW Edmonton, AB, T5L 3C5
Branch: 780-454-0491Â Â Â Â  Toll Free: 1-800-363-7819Â Â Â Â  Direct: 780-409-3368 Â Â Â Â Cell: 587-926-7463
Email:chris.mccabe@calmont.ca
Website:www.calmont.ca</t>
  </si>
  <si>
    <t>Alberta Construction Safety Association</t>
  </si>
  <si>
    <t>Meleena Doroshenko</t>
  </si>
  <si>
    <t>RE: Ticket#1346366/AlbertaConstruction/Auditor Access -- has been updated</t>
  </si>
  <si>
    <t xml:space="preserve">Good Afternoon,
Please note that our external auditor no longer requires access.
Thank you,
MELEENA DOROSHENKO,CPA, CGA | Manager Finance &amp; Accounting
Alberta Construction Safety Association
225 Parsons Road SW |Â Edmonton ABÂ |Â T6X 0W6
TÂ 780.453.3311 ext. 7702 |Â FÂ 780.455.1120 |Â TFÂ 1.800.661.ACSA (2272)
mdoroshenko@youracsa.ca
www.youracsa.ca
[image]
CONFIDENTIAL â€“ This e-mail transmission and any documents attached to it may contain information that is confidential or legally privileged. If you are not the intended recipient, or a person responsible for delivering this information to the intended recipient, you are hereby notified that any discourse, copying, distribution or use of this transmission is strictly prohibited.Â  If you have received this transmission in error, please immediately notify the sender and destroy the original transmission, attachments and destroy any hard copies.
Please consider the environment before printing this e-mailâ˜º
</t>
  </si>
  <si>
    <t>Next Digital Inc.</t>
  </si>
  <si>
    <t>Carly Dinan</t>
  </si>
  <si>
    <t>Carly Dinan -Needs access to Admin printer</t>
  </si>
  <si>
    <t>Help!!! I canâ€™t access the admin printer on my local machine and RDS.
Carly Dinan
Manager, Finance
PH.Â +1 7804246398       Ext 307
14505 114th Avenue NW
Edmonton,       AB
T5M2Y8
Carly.Dinan@mnp.ca
mnp.ca [image]
[image]</t>
  </si>
  <si>
    <t>Jason Branton</t>
  </si>
  <si>
    <t>Jason Branton - employee termination, Sara Petraschuk</t>
  </si>
  <si>
    <t>### Summary of Issue_x000D_
employee termination_x000D_
  _x000D_
### Details of Issue_x000D_
Sara Petraschuk no longer works at Igloo. Please ensure her email account reflects that_x000D_
  _x000D_
### Have you opened a ticket about this issue before?  _x000D_
 No  _x000D_
  _x000D_
### How many users are impacted by this issue?  _x000D_
 One  _x000D_
  _x000D_
### How would you classify this issue?  _x000D_
 Minor Inconvenience</t>
  </si>
  <si>
    <t>Jason Branton - Excel License for Jennifer Bare</t>
  </si>
  <si>
    <t>### Summary of Issue_x000D_
Excel License for Jennifer Bare_x000D_
  _x000D_
### Details of Issue_x000D_
It seems like Jennifer has the wrong excel license. She cannot manipulate certain spreadsheets, the Mitek plate order one in particular, and when she tries to log on to excel it says someone else is using her license._x000D_
  _x000D_
### Have you opened a ticket about this issue before?  _x000D_
 No  _x000D_
  _x000D_
### How many users are impacted by this issue?  _x000D_
 One  _x000D_
  _x000D_
### How would you classify this issue?  _x000D_
 Work Impacting</t>
  </si>
  <si>
    <t>Lexus of Edmonton</t>
  </si>
  <si>
    <t>Faith Cogswell</t>
  </si>
  <si>
    <t>Email Inquiry</t>
  </si>
  <si>
    <t>Hi there,
Iâ€™m looking to get an email set up â€“ parts@lexusofedmonton.ca and have it forward to the parts_group@lexusofedmonton.ca email.
We have some people assuming itâ€™s a valid email and itâ€™s not.
Thanks,
Faith Cogswell | Parts ManagerÂ  | Lexus of Edmonton 
Tel: 780-466-8300 Ext 341 | fcogswell@lexusofedmonton.ca|parts_group@lexusofedmonton.caÂ |www.lexusofedmonton.ca
[image]â€</t>
  </si>
  <si>
    <t>Schizophrenia Society of Alberta</t>
  </si>
  <si>
    <t>Fern Doll</t>
  </si>
  <si>
    <t>Fern Doll - Laptop Setup and Accessibility/Low-Vision Modifications</t>
  </si>
  <si>
    <t>Hello Again,
We also need to order a new laptop, monitor and mouse for our new employee, Fern Doll.
Can you please provide us with a quote for a Lenovo Thinkpad T490, BenQ 21.5â€ Full LED Monitor, and 1 mouse?
Fern will be started on February 26, 2021, and we hope to have her fully set up in time.
I have included Rubyann for her approval on this quote/and request.
Thank you very much!
Ciara Williams
Schizophrenia Society of Alberta
Administrative/Fund Development Assistant
4809 48 Avenue
Red Deer, AB, T4N 3T2
phone: (403) 986-9440
cell: (403) 896-7556
fax: (403) 986-9442
www.schizophrenia.ab.ca
[Online Family Support Ebanner 2021]</t>
  </si>
  <si>
    <t>SITE Resource Group</t>
  </si>
  <si>
    <t>Riccardo Francese</t>
  </si>
  <si>
    <t>Riccardo Francese - URGENT: forward Leland McPhailâ€™s e-mail to:lmcphail@centuriongroup.co.uk</t>
  </si>
  <si>
    <t>Can you please forward Leland McPhailâ€™s e-mail to:lmcphail@centuriongroup.co.uk
Do not keep a copy at siterg.com just forward all e-mail
[image]Â Riccardo Francese
Business Process Manager
T:       +1 (780) 400-7487
C:       +1 (587) 990-0176
F:       +1 (780) 417-6496
E:       RFrancese@siterg.com
W:       WWW.SITERG.COM
#170, 120 Pembina Rd., Sherwood Park, AB, T8H 0M2
The information contained in this e-mail may       contain confidential or privileged material and is intended only for the       stated addressee(s). If you are not the valid addressee, the use,       disclosure, copying or distribution of this information is prohibited and       may be unlawful. If you have received this email message in error, please       notify the sender immediately and delete all copies of the message from       your computer. All information within or opinions expressed in this       message and/or any attachments are those of the author and are not       necessarily those of the Centurion Group.</t>
  </si>
  <si>
    <t>Annie Brandt</t>
  </si>
  <si>
    <t>Annie Brandt - access to the CARF accreditation standards</t>
  </si>
  <si>
    <t>Hi Luiza,
I am wondering if you can get me access to the CARF accreditation standards.Â  I have access to this folder below but not the actual CARF Standards folder in the file.
Thanks.
Annie Brandt e4c
Manager of Women's Emergency Accommodation Centre (WEAC)
ABrandt@e4calberta.org
T 780.424.7543 ext 309
9611 101a Avenue, Edmonton AB T5H 0C8
e4calberta.org
[image]
This       message is intended for the use of the individual or entity to which it is       addressed and may contain information that is privileged and confidential.       If you are not the intended recipient or the employee responsible for       delivery of the message to the intended recipient, please be advised that       any dissemination, distribution or copying of this message is strictly       prohibited. If you have received this message in error, please notify us       immediately by telephone and return the original email to us or destroy       this message.
[image]e4c supports environmental conservation - please print wisely.
From: M.Luiza Coelho
Sent: Tuesday, September 29, 2020 1:18 PM
To: Support - MNP IT Managed Services &lt;support@mnptechnology.ca&gt;
Cc: Annie Brandt &lt;ABrandt@e4calberta.org&gt;
Subject: FW: FW: CARF
Hi there,
Annieâ€™s has been granted access to the following folder :
N:\Special Projects\Carf Accreditation
Any questions please reach out the Annie directly.
M.LuizaCoelho e4c
Senior Manager
mlcoelho@e4calberta.org
T
780.424.7543 ext 132
9321 Jasper Avenue, Edmonton AB T5H 3T7
e4calberta.org
[image]
This message is intended for the use of the individual or entity to which it is addressed and may contain information that is privileged and confidential. If you are not the intended recipient or the employee responsible for delivery of the message to the intended recipient, please be advised that any dissemination, distribution or copying of this message is strictly prohibited. If you have received this message in error, please notify us immediately by telephone and return the original email to us or destroy this message.
[image]e4c supports environmental conservation - please print wisely.
From: Annie Brandt 
Sent: Tuesday, September 29, 2020 1:14 PM
To: M.Luiza Coelho &lt;mlcoelho@e4calberta.org&gt;
Subject: FW: FW: CARF
Hey Luiza,
Is there a way I can get access to this?Â  I still donâ€™t have it.
Thanks
AnnieBrandt e4c
Program Manager 
Housing Services
abrandt@e4calberta.org
10956 92 Street, Edmonton AB T5H 1W3
e4calberta.org
[image]
This message is intended for the use of the individual or entity to which it is addressed and may contain information that is privileged and confidential. If you are not the intended recipient or the employee responsible for delivery of the message to the intended recipient, please be advised that any dissemination, distribution or copying of this message is strictly prohibited. If you have received this message in error, please notify us immediately by telephone and return the original email to us or destroy this message.
[image]e4c supports environmental conservation - please print wisely.
From: Marisa Redmond 
Sent: Wednesday, August 19, 2020 8:23 AM
To: Annie Brandt &lt;ABrandt@e4calberta.org&gt;
Subject: FW: FW: CARF
FYI
MarisaRedmond e4c
Senior Director of Housing
MRedmond@e4calberta.org
T
780-424-7543
9321 Jasper Avenue, Edmonton AB T5H 3T7
e4calberta.org
[image]
This message is intended for the use of the individual or entity to which it is addressed and may contain information that is privileged and confidential. If you are not the intended recipient or the employee responsible for delivery of the message to the intended recipient, please be advised that any dissemination, distribution or copying of this message is strictly prohibited. If you have received this message in error, please notify us immediately by telephone and return the original email to us or destroy this message.
[image]e4c supports environmental conservation - please print wisely.
From: M.Luiza Coelho 
Sent: Tuesday, August 18, ...</t>
  </si>
  <si>
    <t>Brandi Sutherland</t>
  </si>
  <si>
    <t>Brandi Sutherland - Access and permissions to folder in Corporate AP</t>
  </si>
  <si>
    <t>Good afternoon
Confirm permissions of this folder \site.local\site\Site Energy\FA&amp;A\Business Operations\Corporate AP\2021 DSPto allow AP Staff, â€œBrandi, Lori Ann, Melissa Rehbein, Nicole Maddenâ€, corporate and Admins only. â€“ If you show me where to look for this I can check for myself on my other folders to see who has permission
Please set permissions to this folder \site.local\site\Site Energy\FA&amp;A\Business Operations\Corporate AP\7.2 DSP reports for HRto the same permissions as \site.local\site\Site Energy\FA&amp;A\Business Operations\Corporate AP\2021 DSP noted above with the addition of Lisa Walsh
Please lock down this folder and subfolders ; \site.local\site\Site Energy\FA&amp;A\Business Operations\Corporate AP\2019 Archive All Inv cks batches and olderTo Read only access so no one can modify or delete a document but can open save as or copy and paste.
Please lock down this folder and subfolders \site.local\site\Site Energy\FA&amp;A\Business Operations\Corporate AP\2020 Archive All Inv cks batchesso documents can not be deleted same as above â€œIFâ€ additional documents can still be added if needed. Not sure if this is possible please advise.
Please set permissions to this folder \site.local\site\Site Energy\FA&amp;A\Business Operations\Corporate AP\7.1 AP Bankingto the same permissions as \site.local\site\Site Energy\FA&amp;A\Business Operations\Corporate AP\2021 DSP Â with the addition of Connie Strang, Bonnie Hinger, Brenda Hokiro
Also is this something I can do myself or does it have to go through IT?
Thank you J
[image]Â Brandi Sutherland
Accounts Payable Manager
T:       +1 (780) 639-1335
F:       +1 (780) 639-4813
E:       BSutherland@siterg.com
W:       WWW.SITERG.COM
PO Box 210 / Hwy 55, 1 mile West &amp; 1 mile South, Cold Lake, AB, T9M 1P1
The information contained in this e-mail may       contain confidential or privileged material and is intended only for the       stated addressee(s). If you are not the valid addressee, the use,       disclosure, copying or distribution of this information is prohibited and       may be unlawful. If you have received this email message in error, please       notify the sender immediately and delete all copies of the message from       your computer. All information within or opinions expressed in this       message and/or any attachments are those of the author and are not       necessarily those of the Centurion Group.</t>
  </si>
  <si>
    <t>Edmonton Catholic Teachers</t>
  </si>
  <si>
    <t>Sandra Haltiner</t>
  </si>
  <si>
    <t>Sandra Haltiner - Audio issues</t>
  </si>
  <si>
    <t>Hello, 
I am having issues with my audio on my lap top. It is cutting in and out and is transferring my voice through online applications in a very slowed manner. 
In addition, Zoom is not able to link to my audio. I unfortunately found this out while trying to host a meeting with 200 teachers. 
Is there someone available to assist with this this afternoon? 
Kindly,
Sandra Haltiner
Edmonton Catholic Teachers Local 54
Cell: 780-237-5971
Sandra Haltiner</t>
  </si>
  <si>
    <t>James Anderson</t>
  </si>
  <si>
    <t>James Anderson - Expand P: on NC-PMKR-BE02</t>
  </si>
  <si>
    <t>### Summary of Issue_x000D_
Expand Drive_x000D_
  _x000D_
### Details of Issue_x000D_
Expand P: on NC-PMKR-BE02 for Poundmaker.
Opal approval in 1365745_x000D_
  _x000D_
### Have you opened a ticket about this issue before?  _x000D_
 No  _x000D_
  _x000D_
### How many users are impacted by this issue?  _x000D_
 Everyone  _x000D_
  _x000D_
### How would you classify this issue?  _x000D_
 Work Impacting</t>
  </si>
  <si>
    <t>MHK Insurance</t>
  </si>
  <si>
    <t>Alanna Rast</t>
  </si>
  <si>
    <t>Alanna Rast - Remove Leasure from All Team CL Marketing in Outlook</t>
  </si>
  <si>
    <t>Hello,
Please remove Leasure Forbes from the â€œAll Team CL Marketing (Edmonton)â€ team in Outlook as he was added in error.
Thank you
Alanna
Alanna Rast       CAIB, CIP
Manager, Commercial Lines/Executives
EÂ Â Â Â Â  arast@mhkinsurance.com
DÂ Â Â Â  587.525.6001Â 
CÂ Â Â Â  780.940.2131
12316-107 Avenue, Edmonton, AB  T5M 1Z1
www.mhkinsurance.com
[image]
[image]
We're here to help with your insurance needs. Emails       and phone calls are still encouraged. Appointments are required for       in-office broker meetings. Please wear a mask when       visiting.
MHK welcomes       e-Transfer payments to banking@mhkinsurance.â€‰com.
If you       receive this email in error, please notify us by reply email and destroy       this message. MHK complies with Canada's Anti-Spam and Alberta's PIPA       Legislations. If you no longer wish to receive emails from MHK, please       reply with 'Unsubscribe' in the subject   line.</t>
  </si>
  <si>
    <t>Pulse Veterinary Specialists and Emergency Ltd.</t>
  </si>
  <si>
    <t>Lukas Kawalilak</t>
  </si>
  <si>
    <t>Lukas Kawalilak - Pulse Vet - Set service to Automatic Start</t>
  </si>
  <si>
    <t>Hello,
While rebooting the servers on-site (RAM install on the server) I had to go into the services of each server and start both Nextvision services manually. This will need to get looked at.
Additionally, the following services need to be manually started after every reboot and Lukas has asked for these to be set to automatically restart.
\PVC-APP02
â€¢Asteris Keystone Clinic Server
â€¢Asteris Monitoring
â€¢DICOM TLS Router
â€¢DICOM TLS Router Watchdog
\PVC-CSApp
â€¢DataPoint Integration Agent
â€¢Trupanion Express Agent
â€¢Trupanion Express Agent HelperService
Lukas would like to be keep updated on this situation.
Please talk to me before proceeding with this so I can give you additional context.
Thanks
Richard Ignacz
Project Specialist
PH.Â +1 7804246398
14505 114th Avenue NW
Edmonton,       AB
T5M2Y8
Richard.Ignacz@mnp.ca
mnp.ca [image]
[image]</t>
  </si>
  <si>
    <t>Catherine Parent</t>
  </si>
  <si>
    <t>Catherine Parent - Adobe not working</t>
  </si>
  <si>
    <t>### Summary of Issue_x000D_
Adobe not working_x000D_
  _x000D_
### Details of Issue_x000D_
WHen you open a PDF document, adobe closes.
I need adobe to process employee files and payroll which I was planning on doing this evening. We'll need to resolve the issue quickly._x000D_
  _x000D_
### If your callback number is different than what's on record, please provide it below._x000D_
780-554-3676_x000D_
  _x000D_
### Have you opened a ticket about this issue before?  _x000D_
 No  _x000D_
  _x000D_
### How many users are impacted by this issue?  _x000D_
 One  _x000D_
  _x000D_
### How would you classify this issue?  _x000D_
 Unable to Work</t>
  </si>
  <si>
    <t>Bethany Sauve</t>
  </si>
  <si>
    <t>Bethany Sauve - Missing email</t>
  </si>
  <si>
    <t>### Summary of Issue_x000D_
Missing email_x000D_
  _x000D_
### Details of Issue_x000D_
Missing an email that was quite important, I am wanting any emails sent to info@e4calberta.org that appear to be unread be flagged as it seems that I haven't be receiving all emails sent._x000D_
  _x000D_
### If your callback number is different than what's on record, please provide it below._x000D_
780-916-0451_x000D_
  _x000D_
### Have you opened a ticket about this issue before?  _x000D_
 Yes  _x000D_
  _x000D_
### How many users are impacted by this issue?  _x000D_
 Everyone  _x000D_
  _x000D_
### How would you classify this issue?  _x000D_
 Work Impacting</t>
  </si>
  <si>
    <t>Barb Spencer</t>
  </si>
  <si>
    <t>Barb Spencer - Adobe Pro missing off rds</t>
  </si>
  <si>
    <t>Once again Adobe Pro has disappeared off my remote access desktop.Â  I require this app to modify and sign contract documents on behalf of the organization.Â  This is the second time in 5 work days this has occurred.
BarbSpencer e4c
Chief Executive Officer
BSpencer@e4calberta.org
T780.424.7543 ext 165
9321 Jasper Avenue, Edmonton AB T5H 3T7
e4calberta.org
[image]
This message is intended for the use of the individual or entity to which it is addressed and may contain information that is privileged and confidential. If you are not the intended recipient or the employee responsible for delivery of the message to the intended recipient, please be advised that any dissemination, distribution or copying of this message is strictly prohibited. If you have received this message in error, please notify us immediately by telephone and return the original email to us or destroy this message.
[image]e4c supports environmental conservation - please print wisely.</t>
  </si>
  <si>
    <t>Maclab Development Group</t>
  </si>
  <si>
    <t>Michelle Wispinski</t>
  </si>
  <si>
    <t>Michelle Wispinski - Meeting Panel</t>
  </si>
  <si>
    <t>Hi AJ,
Just an update on the meeting room panel. Cole from Sapphire has installed it and itâ€™s â€œworkingâ€ but itâ€™s not connected to our system per se.
I understand there is something you guys will need to do on your end to get it functional.
I wonâ€™t be in the office this week but can arrange to be in the office next week and be available if you need to do any testing.Â  Just let me know what works best.
[image][image][image][image][image]
Michelle Wispinski |Â  Executive Assistant to President &amp; CEO
Suite 1005 | 10104 103 AvenueÂ |Â Edmonton, AB | T5J 0H8
Tel: 780.420.4005 | Cell: 780.217.2576
mwispinski@maclabdevelopment.com | www.maclabdevelopment.com
We have moved. Please note our new address.</t>
  </si>
  <si>
    <t>Capital Paper Recycling (Calgary) LTD</t>
  </si>
  <si>
    <t>Barbara Morgan</t>
  </si>
  <si>
    <t>Barbara Morgan - emails not coming through</t>
  </si>
  <si>
    <t>### Summary of Issue_x000D_
emails not coming through_x000D_
  _x000D_
### Details of Issue_x000D_
There have been 3 emails that I know of today that were sent to me but I didn't receive.  I have a screenshot of one that was forwarded as an attachment in another email that shows they sent it at 2:31pm and if you look at my email list there is no email received at that time from him.  PS account in under Barbara Morgan but I am Christine_x000D_
  _x000D_
### If your callback number is different than what's on record, please provide it below._x000D_
4035433322_x000D_
  _x000D_
### Have you opened a ticket about this issue before?  _x000D_
 Yes  _x000D_
  _x000D_
### How many users are impacted by this issue?  _x000D_
 One  _x000D_
  _x000D_
### How would you classify this issue?  _x000D_
 Work Impacting</t>
  </si>
  <si>
    <t>NRCB</t>
  </si>
  <si>
    <t>Amanda Cundliffe</t>
  </si>
  <si>
    <t>Amanda Cundliffe - Set-up of Laptop - ED2551for Kari Lisowski</t>
  </si>
  <si>
    <t>### Summary of Issue_x000D_
Set-up of Laptop - ED2551for Kari Lisowski_x000D_
  _x000D_
### Details of Issue_x000D_
Hello,
We need to set-up the new laptop in the Edmonton office (asset tag ED251) for use by Kari Lisowski. She is currently on leave, but is expected to return shortly. The laptop should have everyhintg an Inspector position requires, and functional RDS. 
The laptop will be shipped directly to Kari's home - but not until she returns to work. I will provide confimration for when the laptop can be shipped. 
Please let me know if you require further information. 
Thank you, Amanda_x000D_
  _x000D_
### Have you opened a ticket about this issue before?  _x000D_
 No  _x000D_
  _x000D_
### How many users are impacted by this issue?  _x000D_
 Some  _x000D_
  _x000D_
### How would you classify this issue?  _x000D_
 Work Impacting</t>
  </si>
  <si>
    <t>Catherine Parent - Access to HR Mailbox for Elisha Chung</t>
  </si>
  <si>
    <t>### Summary of Issue_x000D_
Access to HR Mailbox for Elisha Chung_x000D_
  _x000D_
### Details of Issue_x000D_
Elisha needs to access the HR Mailbox - please give access._x000D_
  _x000D_
### If your callback number is different than what's on record, please provide it below._x000D_
780-913-5662_x000D_
  _x000D_
### Have you opened a ticket about this issue before?  _x000D_
 Yes  _x000D_
  _x000D_
### How many users are impacted by this issue?  _x000D_
 One  _x000D_
  _x000D_
### How would you classify this issue?  _x000D_
 Work Impacting</t>
  </si>
  <si>
    <t>Mwayi Kanjadza</t>
  </si>
  <si>
    <t>Mwayi Kanjadza - MS Teams issue</t>
  </si>
  <si>
    <t>### Summary of Issue_x000D_
MS Teams issue_x000D_
  _x000D_
### Details of Issue_x000D_
MS Teams not showing in calendar for shceduling a meeting_x000D_
  _x000D_
### If your callback number is different than what's on record, please provide it below._x000D_
780-903-2152_x000D_
  _x000D_
### Have you opened a ticket about this issue before?  _x000D_
 Yes  _x000D_
  _x000D_
### How many users are impacted by this issue?  _x000D_
 Some  _x000D_
  _x000D_
### How would you classify this issue?  _x000D_
 Work Impacting</t>
  </si>
  <si>
    <t>Robyn Pregitzer</t>
  </si>
  <si>
    <t>Robyn Pregitzer - SEL Equipment Inbox access</t>
  </si>
  <si>
    <t>Hello, I noticed today that my acess to the the SEL equipment mailbox has been taken away. Can I please get access again to that account?  _x000D_
  _x000D_
Thank you,  _x000D_
Robyn  _x000D_
  _x000D_
_      _x000D_
 Attached files:  _x000D_
- image.png</t>
  </si>
  <si>
    <t>Amin Hirji</t>
  </si>
  <si>
    <t>FW: Igloo - Fortinet</t>
  </si>
  <si>
    <t>@Support - MNP IT Managed Services This is for Igloo Building Supplies.
FortiGates in use on site have active contacts, but FortiCloud is showing as expired.
Please investigate.
Ryley Boyd
Project Specialist
PH.Â +1 7804246398
14505 114th Avenue NW
Edmonton,       AB
T5M2Y8
Ryley.Boyd@mnp.ca
mnp.ca [image]
[image]
From: Amin Hirji &lt;Amin.Hirji@igloo.ca&gt;
Sent: February 18, 2021 10:22 AM
To: Ryley Boyd &lt;Ryley.Boyd@mnp.ca&gt;
Subject: RE: Igloo - Fortinet
CAUTION:This email originated from outside of the MNP network. Be cautious of any embedded links and/or attachments.
MISE EN GARDE:Ce courriel ne provient pas du rÃ©seau de MNP. MÃ©fiez-vous des liens ou piÃ¨ces jointes quâ€™il pourrait contenir.
Hello Ryle,
Did you get the chance to update the expiration date on forticloud? Now you have full access to forticloud asset
Or I need to create a ticket on MNP Portal for this?
[image]
Amin Hirji
From: Amin Hirji
Sent: Thursday, January 14, 2021 2:28 PM
To: Ryley Boyd &lt;Ryley.Boyd@mnp.ca&gt;
Subject: RE: Igloo - Fortinet
Can you give me call @ 780-885-4164
Amin Hirji
From: Ryley Boyd &lt;Ryley.Boyd@mnp.ca&gt;
Sent: Thursday, January 14, 2021 2:25 PM
To: Amin Hirji &lt;Amin.Hirji@igloo.ca&gt;
Cc: Jerry Wilkinson &lt;jerry.wilkinson@mnp.ca&gt;
Subject: RE: Igloo - Fortinet
Hi Amin,
Unless I am missing something, it looks like I donâ€™t have permissions to see the Asset management section with thedom.admin@igloo.ca account, but when I log directly into the Edmonton FortiGate I can see itâ€™s license does not expire until 2021/11/12.
Are you using a different account to log into FortiCloud?
Regards,
Ryley
Ryley Boyd
Project Specialist
PH.Â +1 7804246398
14505 114th Avenue NW
Edmonton, AB
T5M2Y8
Ryley.Boyd@mnp.ca
mnp.ca
[image]
[image]
From: Amin Hirji &lt;Amin.Hirji@igloo.ca&gt;
Sent: Thursday, January 14, 2021 10:14 AM
To: Ryley Boyd &lt;Ryley.Boyd@mnp.ca&gt;
Cc: Jerry Wilkinson &lt;Jerry.Wilkinson@mnp.ca&gt;
Subject: Igloo - Fortinet
CAUTION:This email originated from outside of the MNP network. Be cautious of any embedded links and/or attachments.
MISE EN GARDE:Ce courriel ne provient pas du rÃ©seau de MNP. MÃ©fiez-vous des liens ou piÃ¨ces jointes quâ€™il pourrait contenir.
Ticket# 1346557
Hello Ryle,
When I logged to forticloud, the product is showing expired. I have attached the warranty document, which says we have a warranty active.
Do you see the same? Or something need to be fix
[image]
Amin Hirji</t>
  </si>
  <si>
    <t>Barb Spencer - Printer Issue</t>
  </si>
  <si>
    <t>All the e4c printers and my home printer set up (and useable this morning) have disappeared Â off of my profile.Â  Please give me a call Â at 780.915.000 to resolve.
I am getting a message that no printers have been set up.
BarbSpencer e4c
Chief Executive Officer
BSpencer@e4calberta.org
T780.424.7543 ext 165
9321 Jasper Avenue, Edmonton AB T5H 3T7
e4calberta.org
[image]
This message is intended for the use of the individual or entity to which it is addressed and may contain information that is privileged and confidential. If you are not the intended recipient or the employee responsible for delivery of the message to the intended recipient, please be advised that any dissemination, distribution or copying of this message is strictly prohibited. If you have received this message in error, please notify us immediately by telephone and return the original email to us or destroy this message.
[image]e4c supports environmental conservation - please print wisely.</t>
  </si>
  <si>
    <t>Kevin Wong</t>
  </si>
  <si>
    <t>Tina Fagan - Kevin Wong Extension 321</t>
  </si>
  <si>
    <t>Hello!
It looks like there is something wrong with Kevin Wongâ€™s extension, 321.
Its registering on his Shoretel app, however when I go to log him in on the phone it says the extension isnâ€™t valid.
Please help!
[image]
Tina Fagan | Assistant to Executives | Lexus of Edmonton 
Tel: 780-466-8300 | tfagan@lexusofedmonton.caÂ  |www.lexusofedmonton.ca
[image]
Lexus of Edmonton family member since 2014</t>
  </si>
  <si>
    <t>Chris Gusnowsky</t>
  </si>
  <si>
    <t>Chris Gusnowsky - Potential routing issue</t>
  </si>
  <si>
    <t>Good morning,
Since the SQL upgrade earlier this week we have an internal application that we are experiencing issues with. The Application is connecting to the new database and is working fine when accessed from directly within the server where it is hosted, but it is not connecting outside of that server at all. As we have made no changes to the application other than updating the SQL connections with the new credentials we have to assume that the issue is related to network traffic routing and would need someone from MNP to look into that for us. The application was in use and was working right up until the 11th when we began the changeover, and we can see no reasons within the code that would cause this problem.
The server where the application is hosted is ACSA-WEB-001 and the page that we are working with is http://int.acsa-safety.org/notifications/assocqueue. Outside of the server itself this page is throwing an error as shown here:
[image]
When accessed through the server via RDP the page loads correctly:
[image]
CHRIS GUSNOWSKYÂ |Â Business Analyst
Alberta Construction Safety Association
225 Parsons Road SW |Â Edmonton ABÂ |Â T6X 0W6
TÂ 780.453.3311 ext. 7718 |Â FÂ 780.455.1120 |Â TFÂ 1.800.661.ACSA (2272)
www.youracsa.ca
[image][image][image][image]
[image]</t>
  </si>
  <si>
    <t>Metis Local 1935</t>
  </si>
  <si>
    <t>Bryan Fayant</t>
  </si>
  <si>
    <t>Bryan Fayant - Cannot connect to vpn</t>
  </si>
  <si>
    <t>Hey guys
Here I go again,
Today, Iâ€™m at metis Crossing- hook up, on a hard line- not Wi-Fi
I wonâ€™t be able to talk - so if we can connect with this email,
I have the ND support - just send me the code # - Iâ€™ll enter it and you can go from there
Thanks
[MM-logo-3 - Copy]
Bryan Fayant, Disaster Recovery Strategist
McMurray MÃ©tis (MNA Local 1935)
441 Sakitawaw Trail
Fort McMurray, AB T9H 4P3
Mobile: 780-646-3374
Office:780-743-2659
Email:bryan.fayant@McMurrayMetis.org
Facebook:www.facebook.com/McMurrayMetis
Twitter:www.twitter.com/McMurrayMetis
Website:www.McMurrayMetis.org
PPlease consider the environment before printing this email.
This message contains confidential information and is intended only for the named addressees.
If you believe that you received this email in error please notify the original sender and delete all copies.</t>
  </si>
  <si>
    <t>Catherine Parent - Amanda Tam accounts to be disabled</t>
  </si>
  <si>
    <t>### Summary of Issue_x000D_
Amanda Tam accounts to be disabled_x000D_
  _x000D_
### Details of Issue_x000D_
Amanda Tam has left the organization and her accounts need to be disabled however I need access to her email account._x000D_
  _x000D_
### If your callback number is different than what's on record, please provide it below._x000D_
780-554-3676._x000D_
  _x000D_
### Have you opened a ticket about this issue before?  _x000D_
 No  _x000D_
  _x000D_
### How many users are impacted by this issue?  _x000D_
 One  _x000D_
  _x000D_
### How would you classify this issue?  _x000D_
 Work Impacting</t>
  </si>
  <si>
    <t>David Stevens</t>
  </si>
  <si>
    <t>RDS03 issues!</t>
  </si>
  <si>
    <t>Hey Team,
I am logged into RDS03 again today and a bunch of shortcuts/pins on my taskbar are inaccessible..
I cannot open windows explorer! â˜¹
This is obviously a major productivity killer.
[image]
Can you please help?
Thanks,
David
David Stevens
Team Lead, Field Services Technician
PH.Â +1 4036864357
310 - 4000 4 St SE
Calgary,       AB
T2G2W3
David.Stevens@mnp.ca
mnp.ca [image]
[image]</t>
  </si>
  <si>
    <t>Catherine Parent - Disabled Connie Olson</t>
  </si>
  <si>
    <t>### Summary of Issue_x000D_
Disabled Connie Olson_x000D_
  _x000D_
### Details of Issue_x000D_
Connie Olso has left the organization however I need access to her Emails and DocuSign templates.
Please call me at 780-554-3676._x000D_
  _x000D_
### If your callback number is different than what's on record, please provide it below._x000D_
780-554-3676_x000D_
  _x000D_
### Have you opened a ticket about this issue before?  _x000D_
 No  _x000D_
  _x000D_
### How many users are impacted by this issue?  _x000D_
 One  _x000D_
  _x000D_
### How would you classify this issue?  _x000D_
 Work Impacting</t>
  </si>
  <si>
    <t>Nora Decosemo</t>
  </si>
  <si>
    <t>Nora Decosemo - RUSH URGENT: Permission Change - SR1 Screen Sharing Folder on S Drive</t>
  </si>
  <si>
    <t>### Summary of Issue_x000D_
SR1 screen sharing folder_x000D_
  _x000D_
### Details of Issue_x000D_
Hi there, a folder has been created on S drive called SR1 screen sharing. Would you be able to give myself, Laura Friend, Nora Decosemo, Suzanne Leshchyshyn, Carolyn Taylor, Sharon Gagnon and Amanda Cundliffe access to it please. Thank you._x000D_
  _x000D_
### If your callback number is different than what's on record, please provide it below._x000D_
403-308-0739_x000D_
  _x000D_
### Have you opened a ticket about this issue before?  _x000D_
 No  _x000D_
  _x000D_
### How many users are impacted by this issue?  _x000D_
 Some  _x000D_
  _x000D_
### How would you classify this issue?  _x000D_
 Work Impacting</t>
  </si>
  <si>
    <t>LoSeCa Foundation</t>
  </si>
  <si>
    <t>Raymond Cheung</t>
  </si>
  <si>
    <t>Raymond Cheung - Can't log onto the cloud</t>
  </si>
  <si>
    <t>### Summary of Issue_x000D_
Can't log onto the cloud_x000D_
  _x000D_
### Details of Issue_x000D_
I used my password as usual to log into the cloud but it didn't work. I think I locked myself out._x000D_
  _x000D_
### If your callback number is different than what's on record, please provide it below._x000D_
My phone number is 587-501-0249_x000D_
  _x000D_
### Have you opened a ticket about this issue before?  _x000D_
 Yes  _x000D_
  _x000D_
### How many users are impacted by this issue?  _x000D_
 One  _x000D_
  _x000D_
### How would you classify this issue?  _x000D_
 Work Impacting</t>
  </si>
  <si>
    <t>Luiza Coelho</t>
  </si>
  <si>
    <t>Luiza Coelho - Email account information needed</t>
  </si>
  <si>
    <t>Hi there, 
Does MNP have any record to where the emails below have been forwarded to? Or if they have been disable completely. ?Â  
Manisha Patel 
Samantha Maess
Jasmine Monaghan 
If you have any questions in regards to the request please call me 780-886-8787
Thanks 
M.Luiza Coelho e4c
Senior Manager 
mlcoelho@e4calberta.org
T 780.424.7543 ext 132Â  
9321 Jasper Avenue, Edmonton AB T5H 3T7 
e4calberta.org
--------------------------------------------------------------------------------------------
This message is intended for the use of the individual or entity to which
it is addressed and may contain information that is privileged and 
confidential. If you are not the intended recipient or the employee 
responsible for delivery of the message to the intended recipient, please 
be advised that any dissemination, distribution or copying of this message 
is strictly prohibited. If you have received this message in error, please 
notify us immediately by telephone and return the original email to us or 
destroy this message.
--------------------------------------------------------------------------------------------
e4c supports environmental conservation - please print wisely.</t>
  </si>
  <si>
    <t>Machine O Matic</t>
  </si>
  <si>
    <t>Shannon Stilet</t>
  </si>
  <si>
    <t>Shannon Stilet - Verification Email</t>
  </si>
  <si>
    <t>### Summary of Issue_x000D_
Verification Email_x000D_
  _x000D_
### Details of Issue_x000D_
I am waiting for a vertification email from Energy Savings for Business Program to open an account.  I requested it several times and they have advised it seems to be blocked by my system.  Can you please release this email, so I can proceed?  Thanks._x000D_
  _x000D_
### If your callback number is different than what's on record, please provide it below._x000D_
7804406555_x000D_
  _x000D_
### Have you opened a ticket about this issue before?  _x000D_
 No  _x000D_
  _x000D_
### How many users are impacted by this issue?  _x000D_
 One  _x000D_
  _x000D_
### How would you classify this issue?  _x000D_
 Work Impacting</t>
  </si>
  <si>
    <t>Darlene Chhina</t>
  </si>
  <si>
    <t>Darlene Chhina - Cannot view Edocs in Sig</t>
  </si>
  <si>
    <t>### Summary of Issue_x000D_
Cannot view Edocs in Sig_x000D_
  _x000D_
### Details of Issue_x000D_
cannot view edocs in Sig.  after clicking on view i cannot view and( if I  hover your mouse over the SIG icon on your taskbar and youâ€™ll see the DOK/DokXP software. Right click on the â€˜DokXP Documentâ€™ side and select â€˜Maximizeâ€™).  This does not show up when i hover over the SIG icon._x000D_
  _x000D_
### Have you opened a ticket about this issue before?  _x000D_
 No  _x000D_
  _x000D_
### How many users are impacted by this issue?  _x000D_
 One  _x000D_
  _x000D_
### How would you classify this issue?  _x000D_
 Work Impacting</t>
  </si>
  <si>
    <t>Richmond Equity Management Ltd</t>
  </si>
  <si>
    <t>Scott Yester</t>
  </si>
  <si>
    <t>Scott Yester - New IP Addresses for Email Allowance</t>
  </si>
  <si>
    <t>Hi there,
We have been advised by one of our brokers that we need to allow some new IP addresses to our authorized sender list (see below).Â  Can you please assist with this request?
Thanks,
Scott Yester, CFA | w: 587.393.6620 | c: 403.970.9746
Suite 3230, First Canadian Centre
350 â€“ 7th Avenue SW
Calgary, AB, T2P 3N9
[image]
From: Nav Cheema &lt;nav.cheema@raymondjames.ca&gt; 
Sent: February 17, 2021 10:56 AM
Subject: RJ Email Notice of Allocations
Hello,
We have been made aware that some of our Notice of Allocations are not reaching your inboxes.Â  Our servers were upgraded and IP addresses from which those emails are sent have also been updated.Â  Please see details below.Â  Please let your IT provider know to let emails from the following IP addresses in to your inboxes. Â Thanks for your help.
â€¢Â Â Â Â Â Â Â Â Â Â Â Â Â Â  â€¢ us1hosting.us.fidessa.com / 199.7.230.182 and us1hostingb.us.fidessa.com / 199.7.230.185
â€¢Â Â Â Â Â Â Â Â Â Â Â Â Â Â  â€¢ us2hosting.us.fidessa.com / 199.7.231.182 and us2hostingb.us.fidessa.com / 199.7.231.185
Thank you.
Nav Cheema | Raymond James LTD.
Vice President - Institutional Equity Trading
Suite 2100 â€“ 925 W. Georgia Street | Vancouver BC | V6C 3L2
604.659.8224 | toll free: 800.667.2899 | Fax: 604.659.8295
nav.cheema@raymondjames.ca
Please let me know if you would like to switch to paperless confirms.
____________________________________________________________________________________
This message and any attachments are intended only for the use of the addressee or their authorized representative. It may contain information that is privileged and/or confidential. Any unauthorized dissemination, distribution or copying of this communication or any part thereof, in any form whatsoever is strictly prohibited. If you have received this communication in error, please delete permanently the original e-mail and attachments, destroy all hard copies that may exist, and notify the sender immediately. Raymond James may monitor and review the content of all email communications. Trade instructions by email or voicemail will not be accepted or acted upon. Please contact us directly by telephone to place trades. Unless otherwise stated, opinions expressed in this email are those of the author and are not endorsed by Raymond James. Raymond James accepts no liability for any errors, omissions, loss or damage arising from the content, transmission or receipt of this email. The designation Raymond James, mentioned in this notice and disclaimer, refers to and include the following divisions and entities: Raymond James Ltd., a member of the Investment Industry Regulatory Organization of Canada (IIROC) and of the Canadian Investor Protection Fund (CIPF); its divisions 3Macs, MacDougall, MacDougall &amp; MacTier and Raymond James Correspondent Services; and its subsidiaries: Raymond James Financial Planning Ltd. registered as a life insurance agency in all provinces except the province of QuÃ©bec where it is registered as Financial Services Firm with the AutoritÃ© des marchÃ©s financiers (AMF); Raymond James Investment Counsel Ltd., a firm primarily regulated and governed by the British Columbia Securities Commission but registered and regulated by securities commissions in other Canadian provinces, and also regulated by the U.S. Securities and Exchange Commission; Raymond James Trust (Canada), a trust company regulated by the Office of the Superintendent of Financial Institutions (OSFI); and, Raymond James Trust (QuÃ©bec) Ltd., a trust company regulated by the AMF.
____________________________________________________________________________________
____________________________________________________________________________________
Ce message ainsi que le ou les fichiers qui y sont joints sont Ã  lâ€™usage exclusif du destinataire ci-dessus ou de son mandataire autorisÃ©. Cette communication pourrait contenir de lâ€™information privilÃ©giÃ©e et confidentielle. Toute diffusion, distribution ou reproduction non autorisÃ©e de cette communication Ã©lectron...</t>
  </si>
  <si>
    <t>CFP Industries</t>
  </si>
  <si>
    <t>Kevin Lofto</t>
  </si>
  <si>
    <t>Becky Hume - Adobe 2020 Installation</t>
  </si>
  <si>
    <t>### Summary of Issue_x000D_
Adobe 2020 Installation_x000D_
  _x000D_
### Details of Issue_x000D_
Hi I have purcahsed a download copy of Acrobat Adobe 2020 to be installed on Kevin Lofto's machine.  I have attached the email with the download link.  Could you please give Kevin a call at 780-416-2620 after lunch today to complete the install._x000D_
  _x000D_
### If your callback number is different than what's on record, please provide it below._x000D_
Becky 780-235-2515, Kevin 780-416-2620_x000D_
  _x000D_
### Have you opened a ticket about this issue before?  _x000D_
 No  _x000D_
  _x000D_
### How many users are impacted by this issue?  _x000D_
 One  _x000D_
  _x000D_
### How would you classify this issue?  _x000D_
 Minor Inconvenience</t>
  </si>
  <si>
    <t>Jeff King</t>
  </si>
  <si>
    <t>Jeff King - Maclab VPN Access</t>
  </si>
  <si>
    <t>Hello,
Iâ€™m having trouble connecting to the Maclab VPN.
The message coming up is â€˜unable to establish the VPN connection.Â  The VPN server may be unreachable.â€™
I was having the same issue yesterday, but I understood someone else in our office was having the same issue and was hoping my issue would be resolved when their issue was resolved. Â But Iâ€™m still canâ€™t connect.
-Jeff
[image][image][image][image][image]
Jeff King |Â  Project Manager
Suite 1005 | 10104 103 Avenue NWÂ |Â Edmonton, AB | T5J 0H8
Tel: 780.420.4064 | Cell: 780.292.6857
jking@maclabdevelopment.com | www.maclabdevelopment.com</t>
  </si>
  <si>
    <t>Carya Calgary</t>
  </si>
  <si>
    <t>Maintenance</t>
  </si>
  <si>
    <t>Jorge Bustamante - Expand P drive on NC-CARYA-BE02</t>
  </si>
  <si>
    <t>### Summary of Issue_x000D_
Expand P drive on NC-CARYA-BE02_x000D_
  _x000D_
### Details of Issue_x000D_
Client Name: Carya Calgary
Server name: NC-CARYA-BE02
Drive letter name: P
Amount to expand by: 30 GBs
Original ticket: #1364622 (this is your ticket number, do not remove the # sign)
Impact/urgency: Medium/High_x000D_
  _x000D_
### Have you opened a ticket about this issue before?  _x000D_
 No  _x000D_
  _x000D_
### How many users are impacted by this issue?  _x000D_
 Everyone  _x000D_
  _x000D_
### How would you classify this issue?  _x000D_
 Work Impacting</t>
  </si>
  <si>
    <t>Troy Smith</t>
  </si>
  <si>
    <t>Troy Smith - Compromised account</t>
  </si>
  <si>
    <t>This email below was in my sent items today and I received notification from a consultant we work that he received an email from me that appeared to be junk as well.  I may have been hacked.
Troy Smith, Principal
ARCHITECT SAA AAA MAA OAA AIBC MRAIC LEED AP
Group2 
Architecture Interior Design 
630c 10th Street E Saskatoon SK S7H 0G9
D +1 306 716 2633
T +1Â 306 979 2935 
group2.ca
Group2 is committed to being both responsive and responsible in navigating these extraordinary times with everyoneâ€™s safety in mind. Since the outset of the COVID-19 situation, we have enabled our employees to work remotely, allowing us to continue business operations and maintain our client commitments. 
This email and any files transmitted with it are confidential and intended solely for the use of the individual or entity to whom they are addressed. If you have received this email in error please notify the system manager. This message contains confidential information and is intended only for the individual named. If you are not the named addressee you should not disseminate, distribute or copy this e-mail. 
-----Original Message-----
From: Troy Smith &lt;troy.smith@group2.ca&gt; 
Sent: February 17, 2021 2:22 AM
To: ifreeiluck@gmail.com
Subject: lnevesa0fhyrnob6w0he
troy.smith@group2.ca,troy.smith@group2.ca,Tjs119911,smtp-mail.outlook.com:587
https://urldefense.com/v3/http://ya.ru;!!CBowfw0!pOdPZeo-k9coNMmfE6po_JZnyqhpElnqZIG1LyYp5byHjndGSbnFFy3ocN3k9g_J0g$</t>
  </si>
  <si>
    <t>Faizel Janmohamed</t>
  </si>
  <si>
    <t>Faizel Janmohamed - C drive on NC-E4C-RDS02 needs to be expanded by 30 GB</t>
  </si>
  <si>
    <t>### Summary of Issue_x000D_
C drive on NC-E4C-RDS02 needs to be expanded by 30 GB_x000D_
  _x000D_
### Details of Issue_x000D_
C drive on NC-E4C-RDS02 needs to be expanded by 30 GB
OPAL approval given on 1364621_x000D_
  _x000D_
### Have you opened a ticket about this issue before?  _x000D_
 No  _x000D_
  _x000D_
### How many users are impacted by this issue?  _x000D_
 Some  _x000D_
  _x000D_
### How would you classify this issue?  _x000D_
 Work Impacting</t>
  </si>
  <si>
    <t>David Stevens - ND/MNP RDS is SLOOOOOOW today</t>
  </si>
  <si>
    <t>### Summary of Issue_x000D_
ND/MNP RDS is SLOOOOOOW today_x000D_
  _x000D_
### Details of Issue_x000D_
Things are crawling today. really hampering my productivity._x000D_
  _x000D_
### Have you opened a ticket about this issue before?  _x000D_
 Yes  _x000D_
  _x000D_
### How many users are impacted by this issue?  _x000D_
 One  _x000D_
  _x000D_
### How would you classify this issue?  _x000D_
 Work Impacting</t>
  </si>
  <si>
    <t>Brandi Sutherland - Email issues No APNorth access or listed as an email address</t>
  </si>
  <si>
    <t>Good morning,
My AP team, including myself do not have access our APNorth@siterg.com email
Please fix this ASAP.
[image]
[image]Â Brandi Sutherland
Accounts Payable Manager
T:       +1 (780) 639-1335
F:       +1 (780) 639-4813
E:       BSutherland@siterg.com
W:       WWW.SITERG.COM
PO Box 210 / Hwy 55, 1 mile West &amp; 1 mile South, Cold Lake, AB, T9M 1P1
The information contained in this e-mail may       contain confidential or privileged material and is intended only for the       stated addressee(s). If you are not the valid addressee, the use,       disclosure, copying or distribution of this information is prohibited and       may be unlawful. If you have received this email message in error, please       notify the sender immediately and delete all copies of the message from       your computer. All information within or opinions expressed in this       message and/or any attachments are those of the author and are not       necessarily those of the Centurion Group.</t>
  </si>
  <si>
    <t>Natasha Thathiah</t>
  </si>
  <si>
    <t>Natasha Thathiah - Files Deleted/Missing</t>
  </si>
  <si>
    <t>Good morning,
On the ACSAâ€™s marketing drive, thereâ€™s been files that are missing/deleted.
This is the specific folder: M:\1_Communications &amp; Marketing NEW\Internal &amp; Staff Engagement\Staff Communications (Email &amp; ADP)\Staff Birthday Messages
Are you able to retrieve the missing files?
Thank you!
NATASHA THATHIAH,BA|Â She/Her |Â Communications Coordinator
Alberta Construction Safety Association
225 Parsons Road SW |Â Edmonton ABÂ |Â T6X 0W6
TÂ 780.453.3311 ext. 1885 |Â FÂ 780.455.1120 |Â TFÂ 1.800.661.ACSA (2272)
www.youracsa.ca
[image][image][image][image]
[image]</t>
  </si>
  <si>
    <t>Jessica Mihaly-Lassonde</t>
  </si>
  <si>
    <t>Jessica Mihaly-Lassonde - Outlook is not working</t>
  </si>
  <si>
    <t>MachineName: ACSA-D-5791
 IP Address: 192.168.1.87_x000D_
_x000D_
_    _x000D_
 Attached files:_x000D_
- screenshot_1613574158.jpeg</t>
  </si>
  <si>
    <t>Pilgrims Hospice</t>
  </si>
  <si>
    <t>Cheryl Waldo</t>
  </si>
  <si>
    <t>Cheryl Waldo - RE:  Access to Sharepoint</t>
  </si>
  <si>
    <t>Hi,
Please review the permissions associated with my Sharepoint account.Â  Once again my access, although should be full control, has been denied, allowing me to ineffectively perform the job duties I need to on a daily basis.Â  Please put some resolve to this issue as I find it quite frustrating that after 2 years, we repeatedly have to ask you to fix this same reoccurring situation.Â  It gets fixed, the problem occurs again etc. Kindly contact me when we have a solution for this.Â  Thank youi
[image]
Cheryl Waldo
Senior Executive Assistant
Pilgrims Hospice Society
9808 â€“ 148 Street
Edmonton ABÂ  T5N 3E8
T. 780.413.9801 ext. 240 / T. 587.414.5043 (direct)
*Home of the new Roozen Family Hospice Centre
[image]</t>
  </si>
  <si>
    <t>Courtney Holick</t>
  </si>
  <si>
    <t>Quote Request - Calmont Group - Requesting a new monitor for Calmont group</t>
  </si>
  <si>
    <t>### End User Hardware  _x000D_
  _x000D_
### What company is this quote for?_x000D_
Calmont Group_x000D_
  _x000D_
### Who made this request and why?_x000D_
Gabriela Lockwood second monitor died, ##1364570_x000D_
  _x000D_
### Give this request a name_x000D_
Requesting a new monitor for Calmont group_x000D_
  _x000D_
### Who should the quote be addressed to?  _x000D_
 Someone else  _x000D_
  _x000D_
### Who should it be addressed to?_x000D_
Gabriela Lockwood_x000D_
  _x000D_
### Which location is the product for?_x000D_
14504 Yellow Head Trail_x000D_
  _x000D_
### Is there an existing ticket on another Connectwise board? If so what is the ticket number?_x000D_
1364570_x000D_
  _x000D_
### Which ND location is it needed at?  _x000D_
 Next Digital Edmonton  _x000D_
  _x000D_
### When is it needed by OR when is the next site visit for the client's location?  _x000D_
Wed 17 Feb, 2021  _x000D_
  _x000D_
### Do you need labour quoted?  _x000D_
 No  _x000D_
  _x000D_
### What products do you need on this quote?  _x000D_
 Monitor  _x000D_
  _x000D_
### Monitor  _x000D_
  _x000D_
### Size  _x000D_
 22"  _x000D_
  _x000D_
### Does this monitor need to match an existing monitor?  _x000D_
 No  _x000D_
  _x000D_
### Quantity to quote_x000D_
1_x000D_
  _x000D_
### What video cables are required (if any)?_x000D_
She already has a DVI cable that she can use._x000D_
  _x000D_
### Video Adapter(s)  _x000D_
  _x000D_
### Do you need video adapter(s)?  _x000D_
 No  _x000D_
  _x000D_
### Comment_x000D_
She should be able to use the existing monitors cable for her current desktop_x000D_
  _x000D_
### What products do you need quoted?_x000D_
Just a monitor</t>
  </si>
  <si>
    <t>Field Law LLP</t>
  </si>
  <si>
    <t>Kyle Myck</t>
  </si>
  <si>
    <t>Field Law - PRI is constantly dropping connection</t>
  </si>
  <si>
    <t>Switch 2b-EDM-ST100DA-T1-1: T1/E1 - keeps losing D-Channel connection</t>
  </si>
  <si>
    <t>Email</t>
  </si>
  <si>
    <t>SES-P4100-02 failed RAID battery</t>
  </si>
  <si>
    <t>### Summary of Issue_x000D_
Site Resource Group - SES-P4100-02 failed RAID battery_x000D_
  _x000D_
### Details of Issue_x000D_
While working on another ticket we noticed this battery has reported a failure. We should look at replacing ASAP as a power failure will most likely mean data corruption. See attached screenshot._x000D_
  _x000D_
### Have you opened a ticket about this issue before?  _x000D_
 No  _x000D_
  _x000D_
### How many users are impacted by this issue?  _x000D_
 Everyone  _x000D_
  _x000D_
### How would you classify this issue?  _x000D_
 Work Impacting</t>
  </si>
  <si>
    <t>Arlington Street Investments</t>
  </si>
  <si>
    <t>Carla O'Neil</t>
  </si>
  <si>
    <t>Carla O'Neil  - FW: My Computer domain name</t>
  </si>
  <si>
    <t>Hi,
Ron Poon was a former employee at ASI. He used his own laptop. He is trying to update his computer software but it wonâ€™t allow him as it says it is still assigned to the ASI Domain.
I have copied him above if you need to contact him directly to get this fixed.
Thank you,
CARLA O'NEIL
```
D I R E C T O R  O F  C O R P O R A T E  S E R V I C E S
```
t.Â 403-266-5000 Ext. 213 |Â Â c.Â 403-463-9076
Suite 400, 1550 5 St SWÂ  
Calgary, Alberta T2R 1K3
```
arlingtonstreet.caFacebookÂ Â |Â Â TwitterÂ  |Â Â LinkedInÂ  |Â Â YouTube
```
From: Ronald Poon &lt;poon2604@telus.net&gt; 
Sent: Tuesday, February 16, 2021 12:29 PM
To: Carla O'Neil &lt;Carla.ONeil@arlingtonstreet.ca&gt;
Subject:Fwd: My Computer domain name
One too many "L"
---------- Forwarded message ---------
From: Ronald Poon &lt;poon2604@telus.net&gt;
Date: Tue, Feb 16, 2021 at 12:27 PM
Subject: My Computer domain name
To: &lt;frank.lonardelli@arlingtonstreet.ca&gt;, &lt;carla.oneill@arlingtonstreet.ca&gt;
Frank,
Hope you are well.
I attempted to update my computer software recently but was unable to do so as the computer is still assigned to the ASI Domain. Any update requires administratorÂ to sign in.
Can you authorize my contact with Next to reset my computer please.
Important COVID-19 Notice: Please note that we remain OPEN FOR BUSINESS but, as a result of COVID-19, our office is closed to the general public and open to clients by appointment only until further notice. With most of our staff now working remotely, please continue to contact us by email (preferably), or by phone, but note that there may be delays in checking voice messages remotely. We appreciate your continued business and patience during this unprecedented time.
The information in this email and any attachments is sent by ARLINGTON STREET INVESTMENTS and is intended to be confidential and for the use of only the individual or entity named above. The information may be protected by solicitor-client privilege, work product immunity or other legal principles. If the reader of this message is not the intended recipient, you are notified that unauthorized review, retention, dissemination, distribution, copying or other use of or taking any action in reliance upon this information is strictly prohibited. If you received this email in error, please notify us immediately by email reply and delete or destroy this message and any copies</t>
  </si>
  <si>
    <t>Bethany Sauve - unable to log in with credentials on new laptop</t>
  </si>
  <si>
    <t>### Summary of Issue_x000D_
unable to log in with credentials on new laptop_x000D_
  _x000D_
### Details of Issue_x000D_
new laptop and can't log in to RDP_x000D_
  _x000D_
### If your callback number is different than what's on record, please provide it below._x000D_
7809160451_x000D_
  _x000D_
### Have you opened a ticket about this issue before?  _x000D_
 No  _x000D_
  _x000D_
### How many users are impacted by this issue?  _x000D_
 One  _x000D_
  _x000D_
### How would you classify this issue?  _x000D_
 Work Impacting</t>
  </si>
  <si>
    <t>Book Keeping</t>
  </si>
  <si>
    <t>Securing McMurray Metis -- IMC folder on shared drive</t>
  </si>
  <si>
    <t>Can we have only one person to change, detele any folders.  Can you please give me that access and the other members only have view save options.</t>
  </si>
  <si>
    <t>Corey Hobbs</t>
  </si>
  <si>
    <t>Sierra Collins' Account</t>
  </si>
  <si>
    <t>Hello,
We need an email account and all access to our computers and systems shut down for an employee.
Itâ€™s for Sierra Collins.
At 4:30 PM on Thursday Feb 18, 2021, please make sure sheâ€™s shut down at that time on everything.
If an email is sent to her account it should bounce back as no recipient.
We do NOT want the email account still set up and emails going to and from that account.
Her access to our computer systems and servers should also be terminated.
We also donâ€™t want her to have access to the IMC email on a platform.
Thanks Corey
[MM-logo-3 - Copy]
Corey Hobbs
Director, Communications and Government Relations
McMurray MÃ©tis (MNA Local 1935)
441 Sakitawaw Trail
Fort McMurray, Alberta
T9H 4P3
Phone:Â Â Â Â Â  780.743.2659
Email:Â Â Â Â Â Â corey.hobbs@mcmurraymetis.org
Facebook:www.facebook.com/McMurrayMetis
Twitter:Â Â Â Â www.twitter.com/McMurrayMetis
Website:Â Â www.McMurrayMetis.org
PPlease consider the environment before printing this email.
This message contains confidential information and is intended only for the named addressees.
If you believe that you received this email in error please notify the original sender and delete all copies.</t>
  </si>
  <si>
    <t>M.Luiza Coelho - acrobat access</t>
  </si>
  <si>
    <t>Hi there, 
Please note that Julie and Marc are having issues to open PDF, they do need to have access to Acrobat.
Thanks 
M.Luiza Coelho e4c
Senior Manager 
mlcoelho@e4calberta.org
T 780.424.7543 ext 132Â  
9321 Jasper Avenue, Edmonton AB T5H 3T7 
e4calberta.org
--------------------------------------------------------------------------------------------
This message is intended for the use of the individual or entity to which
it is addressed and may contain information that is privileged and 
confidential. If you are not the intended recipient or the employee 
responsible for delivery of the message to the intended recipient, please 
be advised that any dissemination, distribution or copying of this message 
is strictly prohibited. If you have received this message in error, please 
notify us immediately by telephone and return the original email to us or 
destroy this message.
--------------------------------------------------------------------------------------------
e4c supports environmental conservation - please print wisely.
_____________________________________________
From: Julie Brown 
Sent: Tuesday, February 16, 2021 9:50 AM
To: Marc Mikawoz &lt;MMikawoz@e4calberta.org&gt;; M.Luiza Coelho &lt;mlcoelho@e4calberta.org&gt;
Subject: RE: WCB Claim Jillisa Bruno 
Hello 
I am not sure why I still cannot view this document!
If there is another way to send so I can see what is in this document that would be greatly appreciated!
Thank you
Julie
Julie Brown e4c
Site Manager 
Inner Way â€“ Buffalo Home (Womenâ€™s Housing)
JBrown@e4calberta.org
T 780.784.3488Â Â  
F 780.784.3489
, Edmonton AB T5H 0G8 
e4calberta.org
--------------------------------------------------------------------------------------------
This message is intended for the use of the individual or entity to which
it is addressed and may contain information that is privileged and 
confidential. If you are not the intended recipient or the employee 
responsible for delivery of the message to the intended recipient, please 
be advised that any dissemination, distribution or copying of this message 
is strictly prohibited. If you have received this message in error, please 
notify us immediately by telephone and return the original email to us or 
destroy this message.
--------------------------------------------------------------------------------------------
e4c supports environmental conservation - please print wisely.
_____________________________________________
From: Marc Mikawoz 
Sent: Sunday, February 14, 2021 11:54 AM
To: M.Luiza Coelho &lt;mlcoelho@e4calberta.org&gt;; Julie Brown &lt;JBrown@e4calberta.org&gt;
Subject: RE: WCB Claim Jillisa Bruno 
Hi Luiza,
Thank you for this information. 
Marc M 
Marc Mikawoz e4c
Program Manager 
Transitional Housing Program
MMikawoz@e4calberta.orgÂ 
, Edmonton AB T5H 3T7 
e4calberta.org
--------------------------------------------------------------------------------------------
This message is intended for the use of the individual or entity to which
it is addressed and may contain information that is privileged and 
confidential. If you are not the intended recipient or the employee 
responsible for delivery of the message to the intended recipient, please 
be advised that any dissemination, distribution or copying of this message 
is strictly prohibited. If you have received this message in error, please 
notify us immediately by telephone and return the original email to us or 
destroy this message.
--------------------------------------------------------------------------------------------
e4c supports environmental conservation - please print wisely.
_____________________________________________
From: M.Luiza Coelho 
Sent: Friday, February 12, 2021 9:52 AM
To: Julie Brown &lt;JBrown@e4calberta.org&gt;
Cc: Marc Mikawoz &lt;MMikawoz@e4calberta.org&gt;
Subject: RE: WCB Claim Jillisa Bruno 
&lt;&lt; File: WCB_ Letter 20210212.pdf &gt;&gt; 
M.Luiza Coelho e4c
Senior Manager 
mlcoelho@e4calberta.org
T 780.424.7543 ext 132Â  
9321 Jasper Avenue, Edmonton AB T5H...</t>
  </si>
  <si>
    <t>Johanna Jentsch</t>
  </si>
  <si>
    <t>Lost access to ShoreTel Queue Monitor</t>
  </si>
  <si>
    <t>Hello my co-worker Kristin Bell and I both lost access to the ShoreTel Queue monitor page. Can you help us?
[image]
JOHANNA JENTSCHÂ |Â  Reception Administrator
Alberta Construction Safety Association
225 Parsons Road SW |Â Edmonton ABÂ |Â T6X 0W6
TÂ 780.453.3311|Â FÂ 780.455.1120 |Â TFÂ 1.800.661.ACSA (2272)
www.youracsa.ca
[image][image][image][image]
[image]</t>
  </si>
  <si>
    <t>Breanne Stephen</t>
  </si>
  <si>
    <t>Breanne Stephen - Cannot Connect to RDS</t>
  </si>
  <si>
    <t>### Summary of Issue_x000D_
Cannot Connect to RDS_x000D_
  _x000D_
### Details of Issue_x000D_
Computer will not connect to RDS, says there that access is not approve_x000D_
  _x000D_
### If your callback number is different than what's on record, please provide it below._x000D_
587-982-5098_x000D_
  _x000D_
### Have you opened a ticket about this issue before?  _x000D_
 No  _x000D_
  _x000D_
### How many users are impacted by this issue?  _x000D_
 Everyone  _x000D_
  _x000D_
### How would you classify this issue?  _x000D_
 Work Impacting</t>
  </si>
  <si>
    <t>Kimberlee Owchar</t>
  </si>
  <si>
    <t>My network drives need to be remapped. I am unable to access them.</t>
  </si>
  <si>
    <t>Hello,
My network drives need to be remapped. I am unable to access them.
Please and thank you.
KIMBERLEE OWCHARÂ  NCSO OHSÂ  CTAJâ„¢Â |Â Senior Audit ReviewÂ  Analyst COR Quality Assurance
Alberta Construction Safety Association
225 Parsons Road SW |Â Edmonton ABÂ |Â T6X 0W6
TÂ 780.453.3311 ext. 1780 |Â FÂ 780.455.1120 |Â TFÂ 1.800.661.ACSA (2272)
www.youracsa.ca
[cid:image001.png@01D44AA7.6A999170][cid:image002.png@01D44AA7.6A999170][cid:image003.png@01D44AA7.6A999170][cid:image004.png@01D44AA7.6A999170]
[2021 ACSA Conference email signature_FINAL]
http://www.youracsa.ca/asca-conference/</t>
  </si>
  <si>
    <t>Landrex</t>
  </si>
  <si>
    <t>Carie Campbell</t>
  </si>
  <si>
    <t>Carie Campbell - Coral Collins Termination</t>
  </si>
  <si>
    <t>Good Morning,
Coral Collins no longer works for Landrex so I will need to have all the things decommissioned.
I will also need to set up a time to have her Surface wiped and set up for Marilyn to use.
Maybe around 415PM?</t>
  </si>
  <si>
    <t>Crerar Badejo Hagen Family Law Group</t>
  </si>
  <si>
    <t>Nicole  McWha</t>
  </si>
  <si>
    <t>Nicole  McWha - Cannot connect to vpn</t>
  </si>
  <si>
    <t>Good Morning. Iâ€™m working from home today and am not able to connect remotely for some reason.
I can connect using Forticlient but then when I try to use Remote Desktop Connection it wonâ€™t work.
Can someone look into this ASAP? Staff has confirmed that the computer is turned on.
Nicole McWha
Assistant to Erika L. Hagen
My Username is EH-Asst</t>
  </si>
  <si>
    <t>Carry Steel Division of C.W. Carry Ltd.</t>
  </si>
  <si>
    <t>Cedric DeGrace</t>
  </si>
  <si>
    <t>Cedric DeGrace - Back Up File Required</t>
  </si>
  <si>
    <t>### Summary of Issue_x000D_
Back Up File Required_x000D_
  _x000D_
### Details of Issue_x000D_
Can I get the Tekla Model C-21-263 back up files. While working in the main model this morning some data were accidently deleted and saved. The file is located O:\TEKLA MODELS\TeklaStructuresModels\~C CONTRACTS\C-21-CONTRACTS\C-21-263 EPDCOR DISTRIBUTION &amp; TRANSMISSION_x000D_
  _x000D_
### Have you opened a ticket about this issue before?  _x000D_
 No  _x000D_
  _x000D_
### How many users are impacted by this issue?  _x000D_
 One  _x000D_
  _x000D_
### How would you classify this issue?  _x000D_
 Unable to Work</t>
  </si>
  <si>
    <t>Wholesale Bakery Specialities Ltd.</t>
  </si>
  <si>
    <t>Leeanne Tucker</t>
  </si>
  <si>
    <t>Leeanne Tucker - Emails from Albertahealthservices.ca not received</t>
  </si>
  <si>
    <t>We are once again having issues with our email folders, for me to see emails I move into folders I have to constantly go into settings, filters, clear filter and then my emails pop up, this needs to be fixed. Also we are not receiving AH email remittance emails again, this issue was on our end last time, it was blocking them so concerned this is happening again. I also need this fixed asap. The email is: ap-remittance-advice@albertahealthservices.ca
Leeanne Tucker
President I Operations
WBS â€“ Wholesale Bakery Specialties
10633-172 Street, Edmonton, AB T5S 1P1
Tel: 780-481-8155
MobileÂ : 780-720-6594
[image]</t>
  </si>
  <si>
    <t>Calgary Arts Development</t>
  </si>
  <si>
    <t>Joni Carroll</t>
  </si>
  <si>
    <t>Support request</t>
  </si>
  <si>
    <t>Hi folks --
I haven't logged onto VPN for a while and when I try, I get a message saying that my password has expired. Help! I have work to do that requires access to the server.
Thank you.
Joni
403 836-6765
-- 
Joni Carroll, BA, BArch
Arts Spaces Consultant
My pronouns are she/her/hers
Calgary Arts Development
pÂ Â 403.264.5330 ext. 108
501, 237 8th Ave. SE Â |Â Â Calgary, AlbertaÂ  T2G 5C3
joni.carroll@calgaryartsdevelopment.com
Existing Arts and Culture Spaces Map
Building on Our Momentum:Â Arts and Culture Infrastructure Report
[image]</t>
  </si>
  <si>
    <t>My VPN is not working - help</t>
  </si>
  <si>
    <t>My VPN is not working â€“ help, please.
KIMBERLEE OWCHARÂ  NCSO OHSÂ  CTAJâ„¢Â |Â Senior Audit ReviewÂ  Analyst COR Quality Assurance
Alberta Construction Safety Association
225 Parsons Road SW |Â Edmonton ABÂ |Â T6X 0W6
TÂ 780.453.3311 ext. 1780 |Â FÂ 780.455.1120 |Â TFÂ 1.800.661.ACSA (2272)
www.youracsa.ca
[cid:image001.png@01D44AA7.6A999170][cid:image002.png@01D44AA7.6A999170][cid:image003.png@01D44AA7.6A999170][cid:image004.png@01D44AA7.6A999170]
[2021 ACSA Conference email signature_FINAL]
http://www.youracsa.ca/asca-conference/</t>
  </si>
  <si>
    <t>Marita Ahonen</t>
  </si>
  <si>
    <t>cannot log into mitel connect  has an error</t>
  </si>
  <si>
    <t>Hello,Â  I am working a bit today and I need to log into mitel but it says I have an error.Â Â  Says â€œ Either your username , password or server didnâ€™t match, please try againâ€Â  but nothing is workingÂ  ,Â  can you help ??
Thanks,Â  Marita
Marita Ahonen       CAIB
Senior Account Manager, Personal Lines
EÂ Â Â Â Â  MAhonen@mhkinsurance.com
DÂ Â Â Â  587.525.6044Â 
12316-107 Avenue, Edmonton, AB  T5M 1Z1
www.mhkinsurance.commailto:MAhonen@mhkinsurance.com)
[image]
[image]
We're here to help with your insurance needs. Emails       and phone calls are still encouraged. Appointments are required for       in-office broker meetings. Please wear a mask when       visiting.
MHK welcomes       e-Transfer payments to banking@mhkinsurance.â€‰com.
If you       receive this email in error, please notify us by reply email and destroy       this message. MHK complies with Canada's Anti-Spam and Alberta's PIPA       Legislations. If you no longer wish to receive emails from MHK, please       reply with 'Unsubscribe' in the subject   line.</t>
  </si>
  <si>
    <t>WIFI -- has been updated</t>
  </si>
  <si>
    <t xml:space="preserve">Hi there,
Please note, the WIFI signal on the senior director office at Alex Taylor is not working.
Let me know if IT needs to be on site to get that fixed.
Thanks
M.Luiza Coelho e4c
Senior Manager
mlcoelho@e4calberta.org
T 780.424.7543 ext 132
9321 Jasper Avenue, Edmonton AB T5H 3T7
e4calberta.org
[image]
This message is intended for the use of the individual or entity to which it is addressed and may contain information that is privileged and confidential. If you are not the intended recipient or the employee responsible for delivery of the message to the intended recipient, please be advised that any dissemination, distribution or copying of this message is strictly prohibited. If you have received this message in error, please notify us immediately by telephone and return the original email to us or destroy this message.
[image]e4c supports environmental conservation - please print wisely.
</t>
  </si>
  <si>
    <t>CÃ©line Scott - No Adobe all of a sudden</t>
  </si>
  <si>
    <t>### Summary of Issue_x000D_
No Adobe all of a sudden_x000D_
  _x000D_
### Details of Issue_x000D_
I'm trying to make some pdfs, but all that will open for me is foxit. I have been using Adobe for 2 years now and all of a sudden it seems to be gone. I need this to be able to complete my work, as I need to sign documents._x000D_
  _x000D_
### Have you opened a ticket about this issue before?  _x000D_
 No  _x000D_
  _x000D_
### How many users are impacted by this issue?  _x000D_
 One  _x000D_
  _x000D_
### How would you classify this issue?  _x000D_
 Work Impacting</t>
  </si>
  <si>
    <t>Carie Campbell - Corals email access change</t>
  </si>
  <si>
    <t>HI there!
I will need to have Corals inbox available for Alex to have.Â  Coralâ€™s last day is today and instead of just getting her emails forwarded Alex would like to keep the old inbox and any new emails separate from her inbox if that makes sense lol.
This needs to be done ASAP.
Thanks,
Carie</t>
  </si>
  <si>
    <t>Cheryl Waldo - RE:  URGENT - ESCALATION REQUIRED!  Nursing Station Printer Issues</t>
  </si>
  <si>
    <t>Good afternoon,
It appears we are having significant printer issues in our nursing station, that of which MNP has troubleshooted numerous times in the past couple weeks.Â  At this time it keeps coming up offline and there is no access to do even a basic print job let alone scanning.Â  Please reach out immediately to our nursing station at 825.467.8594 and speaking to one of the staff members (preferably Joscelyne Rivard or Kelly Marlow) or by calling the main line at 780.413.9801, ext. 104.
It is imperative that we get this issue resolved ASAP as we do have residents on site and we require this for important documentation / pharmacy related items.Â  I believe that Shae is most familiar with this printing unit.
Please advise when we will have action.Â  Thank you,
Cheryl Waldo
Senior Executive Assistant
Pilgrims Hospice Society
9808 â€“ 148 Street
Edmonton ABÂ  T5N 3E8
T. 780.413.9801 ext. 240 / T. 587.414.5043 (direct)
*Home of the new Roozen Family Hospice Centre
[image]</t>
  </si>
  <si>
    <t>Joscelyne Rivard</t>
  </si>
  <si>
    <t>Joscelyne Rivard - printer offline</t>
  </si>
  <si>
    <t>### Summary of Issue_x000D_
printer offline_x000D_
  _x000D_
### Details of Issue_x000D_
printer will not print, message on pc says it is offline. Other pc's connected to same printer are not having problems printing._x000D_
  _x000D_
### Have you opened a ticket about this issue before?  _x000D_
 Yes  _x000D_
  _x000D_
### How many users are impacted by this issue?  _x000D_
 Some  _x000D_
  _x000D_
### How would you classify this issue?  _x000D_
 Work Impacting</t>
  </si>
  <si>
    <t>Patricia Gibson</t>
  </si>
  <si>
    <t>Patricia Gibson - Unable to save or combine PDF</t>
  </si>
  <si>
    <t>### Summary of Issue_x000D_
Unable to save or combine PDF_x000D_
  _x000D_
### Details of Issue_x000D_
unable to save or combine pdf files_x000D_
  _x000D_
### If your callback number is different than what's on record, please provide it below._x000D_
780-718-5830_x000D_
  _x000D_
### Have you opened a ticket about this issue before?  _x000D_
 No  _x000D_
  _x000D_
### How many users are impacted by this issue?  _x000D_
 One  _x000D_
  _x000D_
### How would you classify this issue?  _x000D_
 Work Impacting</t>
  </si>
  <si>
    <t>Courtney Cox</t>
  </si>
  <si>
    <t>Courtney Cox - Adobe Acrobat not working on RDS servers</t>
  </si>
  <si>
    <t>Hi there, I cannot open any pdf files in adobe. For some reason my adobe acrobat isn't working.</t>
  </si>
  <si>
    <t>Shannon Donogh</t>
  </si>
  <si>
    <t>Shannon Donogh - Adobe Acrobat Pro no longer works</t>
  </si>
  <si>
    <t>### Summary of Issue_x000D_
Adobe Acrobat Pro no longer works_x000D_
  _x000D_
### Details of Issue_x000D_
Hi there,
Adobe Acrobat Pro no longer works on my computer - it indicates that I no longer have permissions for access. I need this to perform functions of my job and this is impeding my workflow. Adobe Pro worked until this morning.
Thank you!_x000D_
  _x000D_
### If your callback number is different than what's on record, please provide it below._x000D_
780-616-1816_x000D_
  _x000D_
### Have you opened a ticket about this issue before?  _x000D_
 No  _x000D_
  _x000D_
### How many users are impacted by this issue?  _x000D_
 One  _x000D_
  _x000D_
### How would you classify this issue?  _x000D_
 Unable to Work</t>
  </si>
  <si>
    <t>Crystal Glass Canada Ltd.</t>
  </si>
  <si>
    <t>Darcy McBride</t>
  </si>
  <si>
    <t>FW: Crystal Glass Sherwood park Panasonic Phone not working</t>
  </si>
  <si>
    <t>Please see email below from Crystal Glass concerning a Panasonic phone that is not working.
Please schedule Terry to look after this for the client.
Shawn Parks
Business Development
PH.Â +1 7804246398       Ext 321
14505 114th Avenue NW
Edmonton,       AB
T5M2Y8
Shawn.Parks@mnp.ca
mnp.ca [image]
[image]
From: Darcy McBride &lt;dmcbride@crystalglass.ca&gt;
Sent: February-12-21 10:30 AM
To: Shawn Parks &lt;Shawn.Parks@mnp.ca&gt;
Subject: sherwood park
CAUTION:This email originated from outside of the MNP network. Be cautious of any embedded links and/or attachments.
MISE EN GARDE:Ce courriel ne provient pas du rÃ©seau de MNP. MÃ©fiez-vous des liens ou piÃ¨ces jointes quâ€™il pourrait contenir.
Hey Shawn,
I just spoke to the manager at the branch again and clarified that they already have the phone but it is not working. Could we just set up a service call to track down the issue?
Thanks,
Darcy McBride
System Administrator
Crystal Glass Canada Ltd./Can-am
6424 Gateway Blvd.
Edmonton, AB T6H 2H9
Phone: 587-786-6797
email: darcy.mcbride@crystalglass.ca
[https://crystalglass.sharepoint.com/IT/IT%20Technical%20Documentation/CrystalGlassCANAM.jpg]</t>
  </si>
  <si>
    <t>Matt Patrick</t>
  </si>
  <si>
    <t>Matt Patrick - Customer Thermometer - ConnectWise Integration</t>
  </si>
  <si>
    <t>### Summary of Issue_x000D_
Customer Thermometer - ConnectWise Integration_x000D_
  _x000D_
### Details of Issue_x000D_
The customer thermometer product for CSAT responses should be creating Tickets on the Customer Service board so PM's can review and then assign to a CXM for follow-up.  These are currently not generating in CW.  Red negative responses are not being tracked in ConnectWise for follow up. Please investigate and assist in resolving this problem._x000D_
  _x000D_
### Have you opened a ticket about this issue before?  _x000D_
 No  _x000D_
  _x000D_
### How many users are impacted by this issue?  _x000D_
 Some  _x000D_
  _x000D_
### How would you classify this issue?  _x000D_
 Work Impacting</t>
  </si>
  <si>
    <t>Sabrina Sheaves</t>
  </si>
  <si>
    <t>Sabrina Sheaves - Unable to edit or merge files with Adobe Acrobat on the RDS</t>
  </si>
  <si>
    <t>### Summary of Issue_x000D_
Adobe Acrobat_x000D_
  _x000D_
### Details of Issue_x000D_
Hello 
My Adobe Acrobat is not working. The option to edit files or combine in Adobe is not coming up._x000D_
  _x000D_
### If your callback number is different than what's on record, please provide it below._x000D_
780 668 0181_x000D_
  _x000D_
### Have you opened a ticket about this issue before?  _x000D_
 No  _x000D_
  _x000D_
### How many users are impacted by this issue?  _x000D_
 One  _x000D_
  _x000D_
### How would you classify this issue?  _x000D_
 Work Impacting</t>
  </si>
  <si>
    <t>Alicia Lewis</t>
  </si>
  <si>
    <t>Alicia Lewis - cannot open any PDFs in RDS</t>
  </si>
  <si>
    <t>### Summary of Issue_x000D_
cannot open any PDFs in RDS_x000D_
  _x000D_
### Details of Issue_x000D_
RDS is trying to open PDFs as a word document?_x000D_
  _x000D_
### If your callback number is different than what's on record, please provide it below._x000D_
7809834076_x000D_
  _x000D_
### Have you opened a ticket about this issue before?  _x000D_
 No  _x000D_
  _x000D_
### How many users are impacted by this issue?  _x000D_
 Some  _x000D_
  _x000D_
### How would you classify this issue?  _x000D_
 Unable to Work</t>
  </si>
  <si>
    <t>Shamir Shaikh</t>
  </si>
  <si>
    <t>Windpws and ms exchangre activation issue</t>
  </si>
  <si>
    <t>Good moirning
Since I got this laptop I keep on getting this message please advise how to activate exchange and window
[image]
[image]
Thanks
Shamir
780-297-8213</t>
  </si>
  <si>
    <t>Unable to Access Files on Share 2</t>
  </si>
  <si>
    <t>Hi,
I am connected to FortiClient but I keep getting this message when I try to open any files. Iâ€™ve tried to open recent ones as well as starting from the main Share 2 folder.
Please look into it and let me know.
Thank you,
[image]
CARLA O'NEIL
```
D I R E C T O R  O F  C O R P O R A T E  S E R V I C E S
```
t.Â 403-266-5000 Ext. 213 |Â Â c.Â 403-463-9076
Suite 400, 1550 5 St SWÂ  
Calgary, Alberta T2R 1K3
```
arlingtonstreet.caFacebookÂ Â |Â Â TwitterÂ  |Â Â LinkedInÂ  |Â Â YouTube
```
Important COVID-19 Notice: Please note that we remain OPEN FOR BUSINESS but, as a result of COVID-19, our office is closed to the general public and open to clients by appointment only until further notice. With most of our staff now working remotely, please continue to contact us by email (preferably), or by phone, but note that there may be delays in checking voice messages remotely. We appreciate your continued business and patience during this unprecedented time.
The information in this email and any attachments is sent by ARLINGTON STREET INVESTMENTS and is intended to be confidential and for the use of only the individual or entity named above. The information may be protected by solicitor-client privilege, work product immunity or other legal principles. If the reader of this message is not the intended recipient, you are notified that unauthorized review, retention, dissemination, distribution, copying or other use of or taking any action in reliance upon this information is strictly prohibited. If you received this email in error, please notify us immediately by email reply and delete or destroy this message and any copies</t>
  </si>
  <si>
    <t>Canada ICI Capital Corporation</t>
  </si>
  <si>
    <t>Marvin Ngambage</t>
  </si>
  <si>
    <t>Wifi issues in Ottawa office</t>
  </si>
  <si>
    <t>Our Ottawa office is reporting that they are having terrible speeds with their Wi-Fi, while their Ethernet connection is very fast.
Can someone please contact Marvin there and see if it can be solved?
mngambage@canadaicicapital.ca
613-903-7203
Thank you,
Mike SK
[Logo]
Mike Smith-Knutsen
Support Analyst
P[Spacer]780-702-8005Â CÂ 250-995-1286
#3540 Manulife Place, 10180-101 Street,
Edmonton, AB T5J 3S4
canadaici.com
Toronto â€¢ Calgary â€¢ Edmonton â€¢ Ottawa â€¢ Winnipeg
[Spacer]
This message and any attachments are confidential. If the reader is not the intended recipient, you are hereby notified that any dissemination, distribution or copying of this email is strictly prohibited. If you have received this email in error, please notify the sender immediately by return email. Internet communications cannot be guaranteed to be secure or error-free as information could be intercepted, corrupted, lost arrive late or contain viruses. The sender does not accept liability for any errors or omissions in the context of this message.</t>
  </si>
  <si>
    <t>KeyMay Industries</t>
  </si>
  <si>
    <t>Mark Simpson</t>
  </si>
  <si>
    <t>Mark Simpson - Terminate User Kennedy Becks</t>
  </si>
  <si>
    <t>Please ensure effective today that all access to the server/email etc. is terminated for Kennedy Becks. Â Â Thanks.
Thank you and Best Regards,
W. Mark Simpson
Chief Financial &amp; Operating Officer
(CFO &amp; COO)
O 780-417-1955C 587-341-4016
[cid:ii_iq2kwc921_155a254f2c0782f5]
Mark.Simpson@keymay.com
www.keymay.com
53169 Range Road 225
Sherwood Park, AB T8H 4T7
IMPORTANT NOTICE: This message is intended for the individual or entity to which it is addressed and may contain information that is privileged, confidential, and/or exempt from disclosure under applicable law. If you are not the intended recipient, you are hereby notified that copying, forwarding or other dissemination or distribution of this message is prohibited and that taking any action in reliance on the content of this message is to be avoided. Should you receive this e-mail in error, please notify the sender immediately via e-mail or call (780) 417-1955 and delete this message from your system. Thank you.
************************************************************</t>
  </si>
  <si>
    <t>URGENT: 192.168.30.163</t>
  </si>
  <si>
    <t>Hi there,
Can you please change the SMTP settings for the above to the same as our other copiers in the system like 192.168.21.200?
We canâ€™t use an external one anymore
[image]Â Riccardo Francese
Business Process Manager
T:       +1 (780) 400-7487
C:       +1 (587) 990-0176
F:       +1 (780) 417-6496
E:       RFrancese@siterg.com
W:       WWW.SITERG.COM
#170, 120 Pembina Rd., Sherwood Park, AB, T8H 0M2
The information contained in this e-mail may       contain confidential or privileged material and is intended only for the       stated addressee(s). If you are not the valid addressee, the use,       disclosure, copying or distribution of this information is prohibited and       may be unlawful. If you have received this email message in error, please       notify the sender immediately and delete all copies of the message from       your computer. All information within or opinions expressed in this       message and/or any attachments are those of the author and are not       necessarily those of the Centurion Group.</t>
  </si>
  <si>
    <t>Rob Sharp</t>
  </si>
  <si>
    <t>Rob Sharp - NDDC-DC02 VSS service is frozen and it needs a restart.</t>
  </si>
  <si>
    <t>### Summary of Issue_x000D_
NDDC-DC02 VSS service is frozen and it needs a restart._x000D_
  _x000D_
### Details of Issue_x000D_
NDDC-DC02 is failing backups because the VSS copy service is stuckin starting state_x000D_
  _x000D_
### Have you opened a ticket about this issue before?  _x000D_
 No  _x000D_
  _x000D_
### How many users are impacted by this issue?  _x000D_
 Everyone  _x000D_
  _x000D_
### How would you classify this issue?  _x000D_
 Minor Inconvenience</t>
  </si>
  <si>
    <t>Alberta Pulse Growers Commission</t>
  </si>
  <si>
    <t>Carmen Meyn</t>
  </si>
  <si>
    <t>Carmen Meyn - Microsoft word crashing on RDS</t>
  </si>
  <si>
    <t>### Summary of Issue_x000D_
Microsoft word crashing on RDS_x000D_
  _x000D_
### Details of Issue_x000D_
Originally thought this was affecting just one document, however I was working in another word document and the program crashed. I had to move out of the RDS to work on the document and this did not happen again. Please investigate why Microsoft word is crashing in the RDS._x000D_
  _x000D_
### Have you opened a ticket about this issue before?  _x000D_
 Yes  _x000D_
  _x000D_
### How many users are impacted by this issue?  _x000D_
 Some  _x000D_
  _x000D_
### How would you classify this issue?  _x000D_
 Work Impacting</t>
  </si>
  <si>
    <t>Mallory St. Laurent</t>
  </si>
  <si>
    <t>Mallory St. Laurent - Debit Machine Internet Connection</t>
  </si>
  <si>
    <t>### Summary of Issue_x000D_
Debit Machine Internet Connection_x000D_
  _x000D_
### Details of Issue_x000D_
Our stationary debit machine is not connecting to the internet. We have contacted TD directly twice and they informed us that this is an internet connection issue and we are to contact you._x000D_
  _x000D_
### If your callback number is different than what's on record, please provide it below._x000D_
780-570-9999_x000D_
  _x000D_
### Have you opened a ticket about this issue before?  _x000D_
 No  _x000D_
  _x000D_
### How many users are impacted by this issue?  _x000D_
 Some  _x000D_
  _x000D_
### How would you classify this issue?  _x000D_
 Work Impacting</t>
  </si>
  <si>
    <t>Auto Canada</t>
  </si>
  <si>
    <t>Ben Trueman</t>
  </si>
  <si>
    <t>Calling out issuers at XTN</t>
  </si>
  <si>
    <t>Good morning Dave,
This morning the dealership is receiving calls but is unable to call out â€“
I was just on the phone with Telus re the N1N2 change it has not been activated but it will be in 10 minutes
Since they can rec calls PRI must be fine
Can you check the aspire system and see if there is anything going on?
Ben
BenÂ Trueman
Information Technology Operations Manager
[Auto Canada]
B:Â 780-509-2814Â |Â C:
#200 - 15511 123 Avenue NW | Edmonton | AB | T5V 0C3Â 
btrueman@autocan.caÂ |Â www.autocan.ca</t>
  </si>
  <si>
    <t>Multotec Canada Ltd.</t>
  </si>
  <si>
    <t>Rejean Foisy (Inactive)</t>
  </si>
  <si>
    <t>No Cloud Access</t>
  </si>
  <si>
    <t>Good day,
Since Monday, I do not have any Cloud accessâ€¦ I am guessing that it is a password reset issue againâ€¦ can you reset my account with a password andÂ  make that connection live again?
Kind regards,
[Canada Logo]Rejean Foisy Eng., Ph.D.
General Manager
Multotec Canada Ltd
2066, de la province,
Longueuil, QC,J4G 1R7
Office: +1 450 651-5858 ext.:203
Cell: +1 514 260-4342
Email:rejean@multotec.ca
Website:www.multotec.ca
[February 2020 |Mutlotec WebSite Banner 1]
â€œWarning/Disclaimer: This email, including any attachments, is subject to important warnings and disclaimers which are hereby incorporated into this email. The full text of the warnings and disclaimers together with the company particulars are available by clicking on: http://www.multotec.com/content/email-disclaimer"</t>
  </si>
  <si>
    <t>Barb Corsini</t>
  </si>
  <si>
    <t>Barb Corsini - Cannot print reports</t>
  </si>
  <si>
    <t>Hello
For some reason I am unable to print from my payroll program
Can someone please call me in the morning, our office opens at 7:30, as I really need to print
Your help is appreicated
[image]
Thanks in advance
Barb Corsini
Office Manager
PH:Â Â  403 543-3322
Fax:Â  403 543-3325
bcorsini@capital-paper.com
http://www.capital-paper.com/
Capital Paper Recycling Ltd
10595 50th St S.E
Calgary AB
T2C 3E3
"Leaders in paper recoveryâ€
Effective immediately, due to the unsecured nature, we cannot accept Interac E-Transfers. *Unless Authorized by Kim Burns.
The information in this email and any attachments is sent by Capital Paper Recycling LTD. and is intended to be confidential and for the use of only the individual or entity named above. The information may be protected by solicitor-client privilege, work product immunity or other legal principles. If the reader of this message is not the intended recipient, you are notified that unauthorized review, retention, dissemination, distribution, copying or other use of or taking any action in reliance upon this information is strictly prohibited. 
If you received this email in error, please notify us immediately by email reply and delete or destroy this message and any copies.</t>
  </si>
  <si>
    <t>Rhonda Lafreniere</t>
  </si>
  <si>
    <t>Rhonda Lafreniere - Sage has a product update</t>
  </si>
  <si>
    <t>### Summary of Issue_x000D_
Sage has a product update_x000D_
  _x000D_
### Details of Issue_x000D_
Update Sage on RDS 
Users are out of Sage by 3pm everyday - The server can be restarted anytime after 4:00 on daily basis.  If you need to call me you can on my cell number below.   I would like this complete within the next few days if possible_x000D_
  _x000D_
### If your callback number is different than what's on record, please provide it below._x000D_
780-621-1292_x000D_
  _x000D_
### Have you opened a ticket about this issue before?  _x000D_
 No  _x000D_
  _x000D_
### How many users are impacted by this issue?  _x000D_
 Some  _x000D_
  _x000D_
### How would you classify this issue?  _x000D_
 Work Impacting</t>
  </si>
  <si>
    <t>Bonnyville Welding Ltd</t>
  </si>
  <si>
    <t>Lorrie-Anne Adams</t>
  </si>
  <si>
    <t>Shae Livingston - Bonnyville Welding - Lorrie-Anne Adams - Sharepoint Sync Slowness</t>
  </si>
  <si>
    <t>### Summary of Issue_x000D_
Bonnyville Welding - Lorrie-Anne Adams - Sharepoint Sync Slowness_x000D_
  _x000D_
### Details of Issue_x000D_
Lorrie-Anne reports that they have been experiencing slowness when it comes to the syncing of documents within Sharepoint.  When people add new documents, the documents take awhile before they show up for others._x000D_
  _x000D_
### Have you opened a ticket about this issue before?  _x000D_
 No  _x000D_
  _x000D_
### How many users are impacted by this issue?  _x000D_
 Everyone  _x000D_
  _x000D_
### How would you classify this issue?  _x000D_
 Work Impacting</t>
  </si>
  <si>
    <t>Vicki Quintero</t>
  </si>
  <si>
    <t>Vicki Quintero - Remote Acces problems</t>
  </si>
  <si>
    <t>### Summary of Issue_x000D_
Remote Acces problems_x000D_
  _x000D_
### Details of Issue_x000D_
I got a new error when trying to log into The SSA Coud, I am currently not at my usual house/location and  I get this error pictured below, I am connected to the internet, so i am not sure what the issue is this time is._x000D_
  _x000D_
### Have you opened a ticket about this issue before?  _x000D_
 Yes  _x000D_
  _x000D_
### How many users are impacted by this issue?  _x000D_
 One  _x000D_
  _x000D_
### How would you classify this issue?  _x000D_
 Work Impacting</t>
  </si>
  <si>
    <t>Edmonton Public Teachers Local 37</t>
  </si>
  <si>
    <t>Tracy Kuehnemuth</t>
  </si>
  <si>
    <t>Internet Issues in Cloud Environment RDS01</t>
  </si>
  <si>
    <t>We've noticed over the past couple of weeks that we are not able to load secure websites while working in the cloud. Has something changed from the last update? Sites such as banking sites are not loading. They spin and never load.  _x000D_
I'm in the office today until 3:30 pm (780-455-2164) or can be reached by cell tomorrow or Friday (780-915-4848). Thanks. Tracy</t>
  </si>
  <si>
    <t>Clarification: Access and Approval for Myles</t>
  </si>
  <si>
    <t>High priority ticket. Waiting on reply from Matt Patrick as to whether or not we need a release of liability form. Please assign to Lance.
Jeff Meadows
Field Services Technician
PH.Â 587.273.5062
4922 - 53 St.
Red Deer,       AB
T4N2E9
Jeff.Meadows@mnp.ca
mnp.ca [image]
[image]
From: Myles Chalmers &lt;myles@cacorp.ca&gt; 
Sent: Wednesday, February 10, 2021 9:51 AM
To: Corey Hobbs &lt;corey.hobbs@mcmurraymetis.org&gt;
Cc: Jeff Meadows &lt;Jeff.Meadows@mnp.ca&gt;; Lance Molnar &lt;Lance.Molnar@mnp.ca&gt;; Bev Milne &lt;bev.milne@mcmurraymetis.org&gt;
Subject: RE: Clarification: Access and Approval for Myles
CAUTION:This email originated from outside of the MNP network. Be cautious of any embedded links and/or attachments.
MISE EN GARDE:Ce courriel ne provient pas du rÃ©seau de MNP. MÃ©fiez-vous des liens ou piÃ¨ces jointes quâ€™il pourrait contenir.
Good morning everyone.
I request administrator access to the McMurray Metis 365 tenant.Â  I have to assess this situation.
On Feb. 9, 2021 6:18 p.m., Corey Hobbs &lt;corey.hobbs@mcmurraymetis.org&gt; wrote:
Hey
Infinity Metis Corp is our business arm.
We are joint and trying to merge all IT matters.
Thanks Corey
[MM-logo-3 - Copy]
Corey Hobbs
Director, Communications and Government Relations
McMurray MÃ©tis (MNA Local 1935)
441 Sakitawaw Trail
Fort McMurray, Alberta
T9H 4P3
Phone:Â Â Â Â Â  780.743.2659
Email:Â Â Â Â Â Â corey.hobbs@mcmurraymetis.org
Facebook:www.facebook.com/McMurrayMetis
Website:Â Â www.McMurrayMetis.org
Twitter:Â Â Â Â www.twitter.com/McMurrayMetis
PPlease consider the environment before printing this email.
This message contains confidential information and is intended only for the named addressees.
If you believe that you received this email in error please notify the original sender and delete all copies.
From: Jeff Meadows &lt;Jeff.Meadows@mnp.ca&gt; 
Sent: February 9, 2021 3:19 PM
To: Corey Hobbs &lt;corey.hobbs@mcmurraymetis.org&gt;; Bev Milne &lt;bev.milne@mcmurraymetis.org&gt;
Cc: Lance Molnar &lt;Lance.Molnar@mnp.ca&gt;
Subject: Clarification: Access and Approval for Myles
Hi Corey and Bev,
In the last few days weâ€™ve been receiving a number of requests from Myles@cacorp.ca: I just wanted to clarify what permissions/authorization he should have for requests to smooth the process going forward.
 My understanding is that he is working with Infinity Metis Corporationâ€™s website and an Office365 email migration, is that correct?
 Is Infinity Metis Corporation part of McMurray Metis, or is it a separate organization? Is there any overlap with staff/equipment?
 Should Myles be authorized to request security and/or environment changes for your organization, or should they be approved by you first?
Thanks,
Jeff Meadows
Field Services Technician
PH.Â 587.273.5062
4922 - 53 St.
Red Deer, AB
T4N2E9
Jeff.Meadows@mnp.ca
mnp.ca
[image]
[image]
This email and any accompanying attachments contain confidential information intended only for the individual or entity named above. Any dissemination or action taken in reliance on this email or attachments by anyone other than the intended recipient is strictly prohibited. If you believe you have received this message in error, please delete it and contact the sender by return email. In compliance with Canada's Anti-spam legislation (CASL), if you do not wish to receive further electronic communications from MNP, please reply to this email with "REMOVE ME" in the subject line.
This email and any accompanying attachments contain confidential information intended only for the individual or entity named above. Any dissemination or action taken in reliance on this email or attachments by anyone other than the intended recipient is strictly prohibited. If you believe you have received this message in error, please delete it and contact the sender by return email. In compliance with Canada's Anti-spam legislation (CASL), if you do not wish to receive further electronic communications from MNP, please reply to this email with "REMOVE ME" in the subject line.</t>
  </si>
  <si>
    <t>Korden Huberdeau</t>
  </si>
  <si>
    <t>Korden Huberdeau - #1361326 - Orthopaedic Associates - NC-OA-RDS01 Add 20 GB to C</t>
  </si>
  <si>
    <t>### Summary of Issue_x000D_
#1361326 - Orthopaedic Associates - NC-OA-RDS01 Add 20 GB to C_x000D_
  _x000D_
### Details of Issue_x000D_
Requesting to Add 20 GB to NC-OA-RDS01
Client Name: Orthopaedic Associates
Server name: NC-OA-RDS01
Drive letter name: C
Amount to expand by: 20 GBs
Original ticket: #1361326_x000D_
  _x000D_
### If your callback number is different than what's on record, please provide it below._x000D_
330_x000D_
  _x000D_
### Have you opened a ticket about this issue before?  _x000D_
 No  _x000D_
  _x000D_
### How many users are impacted by this issue?  _x000D_
 Some  _x000D_
  _x000D_
### How would you classify this issue?  _x000D_
 Minor Inconvenience</t>
  </si>
  <si>
    <t>Annie Brandt - Need phone fixed</t>
  </si>
  <si>
    <t>### Summary of Issue_x000D_
Need phone fixed_x000D_
  _x000D_
### Details of Issue_x000D_
Need a few phones switched out with other phones at WEAC as the main office phone is not working._x000D_
  _x000D_
### If your callback number is different than what's on record, please provide it below._x000D_
780-777-12149_x000D_
  _x000D_
### Have you opened a ticket about this issue before?  _x000D_
 Yes  _x000D_
  _x000D_
### How many users are impacted by this issue?  _x000D_
 Everyone  _x000D_
  _x000D_
### How would you classify this issue?  _x000D_
 Unable to Work</t>
  </si>
  <si>
    <t>Alicia Lewis - Unable to open documents in Wellness Network folder in N drive</t>
  </si>
  <si>
    <t>### Summary of Issue_x000D_
Unable to open documents in Wellness Network folder in N drive_x000D_
  _x000D_
### Details of Issue_x000D_
There is an entire folder of documents that will not open in the N drive.
I get the message that the file name is too long. I think this means the folders are too deep. They were opening yesterday but none are opening today._x000D_
  _x000D_
### If your callback number is different than what's on record, please provide it below._x000D_
780 699 3253_x000D_
  _x000D_
### Have you opened a ticket about this issue before?  _x000D_
 No  _x000D_
  _x000D_
### How many users are impacted by this issue?  _x000D_
 Some  _x000D_
  _x000D_
### How would you classify this issue?  _x000D_
 Work Impacting</t>
  </si>
  <si>
    <t>Caskey &amp; Company LLP</t>
  </si>
  <si>
    <t>Fernando Lau</t>
  </si>
  <si>
    <t>Fernando Lau - Quickbooks</t>
  </si>
  <si>
    <t>Hi,
The same problem comes back again. The message â€œThis action requires Windows administrator permissionsâ€ pops up after I try to open a file.
Fernando Lau, CPA, CGA
Caskey &amp; Company LLP |www.ccllp.ca
T 780 487 7135 |F 780 487 7197
EÂ flau@ccllp.ca
#205 10441 178 Street, Edmonton AB, T5S 1R5</t>
  </si>
  <si>
    <t>Orthopaedic Associates</t>
  </si>
  <si>
    <t>NC-OA-RDS01 - NextCloud - C Drive low on space</t>
  </si>
  <si>
    <t>### Summary of Issue_x000D_
NC-OA-RDS01 - NextCloud - C Drive low on space_x000D_
  _x000D_
### Details of Issue_x000D_
Add 20 GB space to C on NC-OA-RDS01_x000D_
  _x000D_
### Have you opened a ticket about this issue before?  _x000D_
 No  _x000D_
  _x000D_
### How many users are impacted by this issue?  _x000D_
 Everyone  _x000D_
  _x000D_
### How would you classify this issue?  _x000D_
 Work Impacting</t>
  </si>
  <si>
    <t>JON GULAYETS</t>
  </si>
  <si>
    <t>JON GULAYETS - IP-IT Shaw Modem Replacement Red Deer</t>
  </si>
  <si>
    <t>I received a call from Shaw this afternoon that they would like to replace our modem for internet services in Red Deer.Â  They will be on site Tuesday Feb 18 between 8am and 10am.Â  I would like a representative from MNP on site when this replacement occurs to ensure there are no issues with replacement.Â  I would suggest (if possible) to reschedule Wednesdayâ€™s virtual site visit with an in peron visit Tuesday instead.
The Modem is being replaced under Shaw workorder:
W/O 20283935
Modem (replacement) â€“ Hitron Model CODA 4582
Thanks!
-jg
Jon Gulayets, Associate
Group2
Architecture Interior Design Ltd.
200, 4706 Â 48th Â Avenue Red Deer AB T4N 6J4
T +1Â 403 340 2200 x 422
C +1 403 872 7422
group2.ca</t>
  </si>
  <si>
    <t>Courtney Holick - Warranty Check on Monitor</t>
  </si>
  <si>
    <t>Hi,
Can you please tell me when the screen warranty expires on X-5494?
Courtney Holick, CPA, CMA
Chief Financial Officer
[cid:image001.jpg@01D69AED.73FB1610]
14610 Yellowhead Trail NW Edmonton, AB, T5L 3C5
Branch: 780-454-0491Â Â Â Â  Toll Free: 1-800-363-7819Â Â Â Â  Direct: 780-409-3359Â Â Â Â  Cell: 780-916-7296
Email:courtney.holick@calmont.ca
Website:www.calmont.ca
This email, and any files transmitted with it, are confidential and are intended solely for the use of the individual or entity to which they are addressed. Any unauthorized use or disclosure is prohibited. Please notify the sender if you have received this email in error. Thank you for your co-operation.</t>
  </si>
  <si>
    <t>Jerry Wilkinson</t>
  </si>
  <si>
    <t>Jerry Wilkinson - OPAL Doc Review - Setup O365 Tenant</t>
  </si>
  <si>
    <t>### Summary of Issue_x000D_
OPAL Doc Review - Setup O365 Tenant_x000D_
  _x000D_
### Details of Issue_x000D_
https://nextdigital.itglue.com/1848012/docs/2829404#version=published&amp;documentMode=edit_x000D_
  _x000D_
### Have you opened a ticket about this issue before?  _x000D_
 No  _x000D_
  _x000D_
### How many users are impacted by this issue?  _x000D_
 One  _x000D_
  _x000D_
### How would you classify this issue?  _x000D_
 Minor Inconvenience</t>
  </si>
  <si>
    <t>Apex Oilfield Services (2000) Inc.</t>
  </si>
  <si>
    <t>Andrew Oosterhoff</t>
  </si>
  <si>
    <t>Everest and Kilimanjaro</t>
  </si>
  <si>
    <t>Can I get you guys to deactivate monitoring on Everest and Kilimanjaro?Â  I will be decommissioning them over the next couple of days.
Andrew Oosterhoff
IT Systems Administrator
Apex
t: 403.314.4745|f: 403.314.3285
5402 Blindman Drive, Red Deer County, Alberta T4S 2M4
www.apexoil.ca</t>
  </si>
  <si>
    <t>Poundmaker's Lodge</t>
  </si>
  <si>
    <t>Julie Nadeau</t>
  </si>
  <si>
    <t>Julie Nadeau - Printers</t>
  </si>
  <si>
    <t>### Summary of Issue_x000D_
Printers_x000D_
  _x000D_
### Details of Issue_x000D_
Delete from the server: printer named
PML- ADMINOFFICE.SAMSUNG X4300
PML-RECEPTION-SAMSUNG-X4300
PML-ADMISSION-HP-E77830
PML-ADMISSION-HPM477PCL6
PML-COUNCILORSOFFICE-HPCM2320_x000D_
  _x000D_
### Have you opened a ticket about this issue before?  _x000D_
 No  _x000D_
  _x000D_
### How many users are impacted by this issue?  _x000D_
 Some  _x000D_
  _x000D_
### How would you classify this issue?  _x000D_
 Minor Inconvenience</t>
  </si>
  <si>
    <t>KYLE RICHARD</t>
  </si>
  <si>
    <t>RE: RE: Phone Recording</t>
  </si>
  <si>
    <t>Hello there,
Not sure if Kyle from Lexus has called in to the help desk to deal with the issue below but could someone please reach out to Tom at Oak System per his email below in order to have a look into the issue that Lexus is having with their call recording software.
Shawn Parks
Business Development
PH.Â +1 7804246398       Ext 321
14505 114th Avenue NW
Edmonton,       AB
T5M2Y8
Shawn.Parks@mnp.ca
mnp.ca [image]
[image]
From: Oak Innovation Service Desk &lt;servicedesk@oakinnovate.com&gt;
Sent: February-09-21 2:22 PM
To: krichard@lexusofedmonton.ca
Cc: Shawn Parks &lt;Shawn.Parks@mnp.ca&gt;
Subject: Re: RE: Phone Recording
CAUTION:This email originated from outside of the MNP network. Be cautious of any embedded links and/or attachments.
MISE EN GARDE:Ce courriel ne provient pas du rÃ©seau de MNP. MÃ©fiez-vous des liens ou piÃ¨ces jointes quâ€™il pourrait contenir.
Hi Kyle,
Are you able to have someone/IT department connect me to the call recording server vialogmein123.com using this code 508784
Kind Regards,
Tom
+ 1888 720 6968
Ticket Ref:Â 16482
Please ensure all new requests or queries are emailed directly toÂ servicedesk@oakinnovate.com
[image]
Lexus of Edmonton family member since 2009
From: Kyle Richard
Sent: August 25, 2020 1:28 PM
To: Oak Innovation Service Desk &lt;servicedesk@oakinnovate.com&gt;
Cc: shawn.parks@mnp.ca
Subject: RE: RE: Phone Recording
Thank you
Best Regards,
[image]
Kyle Richard | Vice President | Lexus of Edmonton 
Tel: 780-466-8300 | krichard@lexusofedmonton.ca Â |www.lexusofedmonton.ca. This will ensure that a case is raised to an available engineer.
On Tue, 25 Aug at 6:21 PM, Oak Innovation Service Desk &lt;servicedesk@oakinnovate.com&gt; wrote:
HiÂ Kyle,
I've called your IT support number and I have left a message. I will keep you updated with regards to getting the call recording site back up.
Kind Regards,
Tom
+ 1888 720 6968
Ticket Ref:Â 16482
Please ensure all new requests or queries are emailed directly toÂ servicedesk@oakinnovate.com. This will ensure that a case is raised to an available engineer.
16482:1226834</t>
  </si>
  <si>
    <t>VPN - No Connection to shared drive</t>
  </si>
  <si>
    <t>Good afternoon
I am connected to FortiClient VPN however not able to connect to shared drive. (I previously had connection)
I can be contacted 780-742-7896
Today: Be the reason someone smilesðŸ˜Š
[image]
Bev Milne
Office Manager
McMurray Metis (MNA Local 1935)
441 Sakitawaw Trail
Fort McMurray, AB T9H 4P3
Office: 780-743-2659
Email:bev.milne@mcmurraymetis.org
Facebook:www.facebook.com/McMurrayMetis
Twitter:www.twitter.com/McMurrayMetis
Website:www.McMurrayMetis.org
Please consider the environment before printing this email.
This message contains confidential information and is intended only for named addresses.
If you believe that you received this email in error please notify the original sender and delete all copies.</t>
  </si>
  <si>
    <t>FW: RE: Phone Recording</t>
  </si>
  <si>
    <t>Ken Walker</t>
  </si>
  <si>
    <t>FW: Group E-mail</t>
  </si>
  <si>
    <t>CTCEParts@calmont.ca
Is this available from outside customers ? when ever I give it out customers say e-mails wont go through.
Trying to set it up with a supplier &amp; he is saying the same thing.
Regards,
Ken Walker
Parts Manager
[image]
11403 â€“ 174 Street Edmonton, AB T5S 2P4
Branch: 780-451-2680Â  Toll Free:1-800-252-7902 Direct: 780-482-0286
Cell: 780-297-4447Â  Fax: 780-454-5096
Email:ken.walker@calmont.ca
Website:www.calmont.ca
This email, and any files transmitted with it, are confidential and are intended solely for the use of the individual or entity to which they are addressed. Any unauthorized use or disclosure is prohibited. Please notify the sender if you have received this email in error. Thank you for your co-operation.</t>
  </si>
  <si>
    <t>Holly O"Brien</t>
  </si>
  <si>
    <t>Holly O"Brien - Printer accessed by other programs within e4c</t>
  </si>
  <si>
    <t>### Summary of Issue_x000D_
Printer accessed by other programs within e4c_x000D_
  _x000D_
### Details of Issue_x000D_
Other programs are sending print jobs to The Hallway Cafe's printer. Is there a way we can avoid this? Can we make it so you cannot accedd the Hallway's printer unless you are on site at the cafe?_x000D_
  _x000D_
### Have you opened a ticket about this issue before?  _x000D_
 No  _x000D_
  _x000D_
### How many users are impacted by this issue?  _x000D_
 Some  _x000D_
  _x000D_
### How would you classify this issue?  _x000D_
 Minor Inconvenience</t>
  </si>
  <si>
    <t>Ravi Kumar</t>
  </si>
  <si>
    <t>1) setting up Microsoft Authenticator on my new phone and 2) frequent " unsuccessful" login attempts</t>
  </si>
  <si>
    <t>Hi:
!) I am not able to proceed with the instructions circulated by Fidelis of out IT department to set up my new iPhone with theÂ  Authenticator app. The app is already installed on my new phone ( transferred over from my old phone), but I am having trouble setting it up.
While looking into this, I came across the attachedÂ  list of unsuccessful logins into my Igloo account from a specific IP address: 68.148.113.130
- not sure what this is about, perhaps it is one of my own devices, a printer or phone, trying to auto log-in? I am anxious to have this looked into. Please attached screenshot
Thanks,
Ravi
[Image preview]
Ravi Kumar
Advisor to the President
Phone: 780.665.3250
21421 - 111 Avenue NWÂ |Â Edmonton, ABÂ |Â T5S 1Y1</t>
  </si>
  <si>
    <t>Jana Lumsden</t>
  </si>
  <si>
    <t>Outlook Mailboxes</t>
  </si>
  <si>
    <t>Hi There,
I just noticed today that I have the following Outlook mailboxes assigned to me. The highlighted ones I should not have access to. Is this new?
[image]
Also, there should be no one who has access to Diana Bosman-Kwan, Jill Repchuk or my Outlook account due to payroll concerns. Please confirm this for me.
Thanks,
Jana
Jana Lumsden       CPA, CMA
Chief Financial Officer
EÂ Â Â Â Â  jlumsden@mhkinsurance.com
DÂ Â Â Â  587.525.6029Â 
CÂ Â Â Â  780.999.7111
12316-107 Avenue, Edmonton, AB  T5M 1Z1
www.mhkinsurance.com
[image]
[image]
We're here to help with your insurance needs. Emails       and phone calls are still encouraged. Appointments are required for       in-office broker meetings. Please wear a mask when       visiting.
MHK welcomes       e-Transfer payments to banking@mhkinsurance.â€‰com.
If you       receive this email in error, please notify us by reply email and destroy       this message. MHK complies with Canada's Anti-Spam and Alberta's PIPA       Legislations. If you no longer wish to receive emails from MHK, please       reply with 'Unsubscribe' in the subject   line.</t>
  </si>
  <si>
    <t>Corey Hobbs - Password Issue</t>
  </si>
  <si>
    <t>Hi Bryan
Welcome back!!
You should not require a new password to save a document.
I feel your frustration with working remotely and not being able to access your documents nor shared drive and not having a successful resolution through our IT department.
I am hoping Next Digital, as I see they are included on this email will provide an explanation as to why they are not able to successfully have resolutions nor solutions to make our working remote successful.
Today: Be the reason someone smilesðŸ˜Š
[image]
Bev Milne
Office Manager
McMurray Metis (MNA Local 1935)
441 Sakitawaw Trail
Fort McMurray, AB T9H 4P3
Office: 780-743-2659
Email:bev.milne@mcmurraymetis.org
Facebook:www.facebook.com/McMurrayMetis
Twitter:www.twitter.com/McMurrayMetis
Website:www.McMurrayMetis.org
Please consider the environment before printing this email.
This message contains confidential information and is intended only for named addresses.
If you believe that you received this email in error please notify the original sender and delete all copies.
From: Bryan Fayant &lt;bryan.fayant@mcmurraymetis.org&gt;
Sent: February 9, 2021 1:41 PM
To: Bev Milne &lt;bev.milne@mcmurraymetis.org&gt;
Cc: Bill Loutitt &lt;ceo1935@mcmurraymetis.org&gt;; Next Digital Support &lt;help@nextdigital.ca&gt;
Subject: Service
Bev
Now that Iâ€™m back at the office, my computer wonâ€™t allow me to save documents- with out a new pass word
Is the Local requiring everyone to create new pass words?
It seems to me, since we made the change we are finding our selves paying for all kinds of services, that - this Comp any should provide- furthermore, if they are demanding -
I was able to use my computer where I traveled before, and now is has become a money maker for MNP? As they keep sending tickets for services, that should already be provided?
[MM-logo-3 - Copy]
Bryan Fayant, Disaster Recovery Strategist
McMurray MÃ©tis (MNA Local 1935)
441 Sakitawaw Trail
Fort McMurray, AB T9H 4P3
Mobile: 780-646-3374
Office:780-743-2659
Email:bryan.fayant@McMurrayMetis.org
Facebook:www.facebook.com/McMurrayMetis
Twitter:www.twitter.com/McMurrayMetis
Website:www.McMurrayMetis.org
PPlease consider the environment before printing this email.
This message contains confidential information and is intended only for the named addressees.
If you believe that you received this email in error please notify the original sender and delete all copies.</t>
  </si>
  <si>
    <t>Ideal Insulation 1979 Ltd.</t>
  </si>
  <si>
    <t>Trevor Brown</t>
  </si>
  <si>
    <t>Trevor Brown - Email setup on New Phone</t>
  </si>
  <si>
    <t>Need my password for exchange to set up email on new phone.
[image]
Trevor Brown
President
D: (403) 723-3379
F: (403) 236-7135
trevorb@idealinsulation.com
[image]
ATTICS â€¢ ROOFING â€¢SPRAY FOAM â€¢WALLS â€¢SPIDER
[image]
[image]
[image]
[image]
[image]
[image]</t>
  </si>
  <si>
    <t>Bryan Fayant - Password Issue</t>
  </si>
  <si>
    <t>Bev
Now that Iâ€™m back at the office, my computer wonâ€™t allow me to save documents- with out a new pass word
Is the Local requiring everyone to create new pass words?
It seems to me, since we made the change we are finding our selves paying for all kinds of services, that - this Comp any should provide- furthermore, if they are demanding -
I was able to use my computer where I traveled before, and now is has become a money maker for MNP? As they keep sending tickets for services, that should already be provided?
[MM-logo-3 - Copy]
Bryan Fayant, Disaster Recovery Strategist
McMurray MÃ©tis (MNA Local 1935)
441 Sakitawaw Trail
Fort McMurray, AB T9H 4P3
Mobile: 780-646-3374
Office:780-743-2659
Email:bryan.fayant@McMurrayMetis.org
Facebook:www.facebook.com/McMurrayMetis
Twitter:www.twitter.com/McMurrayMetis
Website:www.McMurrayMetis.org
PPlease consider the environment before printing this email.
This message contains confidential information and is intended only for the named addressees.
If you believe that you received this email in error please notify the original sender and delete all copies.</t>
  </si>
  <si>
    <t>RE:  Telus Business Connect Phone</t>
  </si>
  <si>
    <t>Hi there,
Can you please have the Telus Business Connect Phone appdownloaded onto the following computers below.Â  In addition, this will need to be on the desktop as well as RDS for all units. Â These are all in the nursing station so if you need assistance for screen share on anything else, please contact Joscelyne Rivard at Ext. 104.
 Joscelyne Rivard
 Nursing Station
 Nursing Station 2
Thank you,
Cheryl Waldo
Senior Executive Assistant
Pilgrims Hospice Society
9808 â€“ 148 Street
Edmonton ABÂ  T5N 3E8
T. 780.413.9801 ext. 240 / T. 587.414.5043 (direct)
*Home of the new Roozen Family Hospice Centre
[image]</t>
  </si>
  <si>
    <t>David Stevens - Ali's ND Password is expired and he cannot login - Help Urgently Please</t>
  </si>
  <si>
    <t>### Summary of Issue_x000D_
Ali's ND Password is expired and he cannot login - Help Urgently Please_x000D_
  _x000D_
### Details of Issue_x000D_
Ali unable to login to ndremote, rds, etc..
Please call Ali, 403-608-4907_x000D_
  _x000D_
### If your callback number is different than what's on record, please provide it below._x000D_
4036084907_x000D_
  _x000D_
### Have you opened a ticket about this issue before?  _x000D_
 No  _x000D_
  _x000D_
### How many users are impacted by this issue?  _x000D_
 One  _x000D_
  _x000D_
### How would you classify this issue?  _x000D_
 Unable to Work</t>
  </si>
  <si>
    <t>GoDaddy</t>
  </si>
  <si>
    <t>Go Daddy</t>
  </si>
  <si>
    <t>Dave, WordPress has been updated on your Managed WordPress site(s).</t>
  </si>
  <si>
    <t>[image]
[image]
Need help?Contact us.
Dave Beharrel
A new version of WordPress has been installed and activated on your site. You should probably swing by to make sure everything looks good. Â â€ŒÂ â€ŒÂ â€ŒÂ â€ŒÂ â€ŒÂ â€Œ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 â€ŒÂ â€ŒÂ â€ŒÂ â€ŒÂ â€ŒÂ â€ŒÂ â€ŒÂ â€ŒÂ â€ŒÂ â€ŒÂ â€ŒÂ â€ŒÂ â€ŒÂ â€ŒÂ â€ŒÂ â€ŒÂ â€ŒÂ â€ŒÂ â€ŒÂ â€ŒÂ â€ŒÂ â€ŒÂ â€ŒÂ â€ŒÂ â€ŒÂ â€ŒÂ â€ŒÂ â€ŒÂ â€ŒÂ â€ŒÂ â€ŒÂ â€ŒÂ â€ŒÂ â€ŒÂ â€ŒÂ â€ŒÂ â€ŒÂ â€Œ
WordPress was updated to a new version on your Managed WordPress site(s).
We just updated your site with the latest version of WordPress, 5.6.1. WordPress software is regularly updated to keep sites secure and introduce new features. You canlearn more about this new versionon WordPress.org. 
Managed WordPress includes automatic updates to make sure those new security fixes and features are available on your site. It saves you time, while keeping your WordPress site(s) safe and performing its best.
What to look out for:
In rare cases, your siteâ€™s theme or plugins may be incompatible with new WordPress releases. Itâ€™s never a bad idea to pop over to your site after an update to make sure everythingâ€™s working and your siteâ€™s theme and plugins have been updated to their most recent versions. 
Don't worry, you can learn how toupdate a plugin or update a themein just a few minutes. And we're here if you need us, Dave. If you have any questions, please call us anytime at 844 494-9067.
Please do not reply to this email. Emails sent to this address will not be answered.
Copyright Â© 2021 MNP Technology Solutions. All rights reserved.
4493962083</t>
  </si>
  <si>
    <t>Low-severity alert: Creation of forwarding/redirect rule</t>
  </si>
  <si>
    <t>[image]
A low-severity alert has been triggered
âš Creation of forwarding/redirect rule
Severity:â—Low
Time:2/9/2021 6:15:00 PM (UTC)
Activity:MailRedirect
User:bschneider@youracsa.ca
Details: MailRedirect. This alert is triggered whenever someone gets access to read your user's email.
                        View alert details                    
Thank you, 
The Office 365 Team
[image]
One Microsoft Way
Redmond, WA
98052-6399 USA
Privacy | Legal</t>
  </si>
  <si>
    <t>Service Request - Calmont Bobcat Edmonton - assess Internet Services</t>
  </si>
  <si>
    <t>Hello,
Please route this request to the CalmontBobCat Edmonton FST team.
We need to assess:
1 - How many ISP connections we have at that location;
2 â€“ Check on the firewall which connections are hooked up;
3 â€“ Determine the use of the connections like POS, main internet line or any other usage.
IT Glue documentation for this location is available athttps://nextdigital.itglue.com/1420814/locations/3507928
When this is performed, please sync up with me since we need to provide an official statement to Calmont. Attached are some documentations in which the client reports to be paying multiple connections for that location.
Regards,
Flavio Soares
Strategic Advisor
PH.Â +1 7804246398       Ext 325
14505 114th Avenue NW
Edmonton,       AB
T5M2Y8
Flavio.Soares@mnp.ca
mnp.ca [image]
[image]
From: Courtney Holick &lt;Courtney.Holick@calmont.ca&gt;
Sent: Monday, February 8, 2021 4:00 PM
To: Flavio Soares &lt;Flavio.Soares@mnp.ca&gt;
Subject: FW: Bobcat Edmonton - Internet Services
CAUTION:This email originated from outside of the MNP network. Be cautious of any embedded links and/or attachments.
MISE EN GARDE:Ce courriel ne provient pas du rÃ©seau de MNP. MÃ©fiez-vous des liens ou piÃ¨ces jointes quâ€™il pourrait contenir.
Hi,
Please see below.
Courtney Holick, CPA, CMA
CFO
Calmont
780-409-3359
From: Sandra Bianchini
Sent: Monday, February 8, 2021 3:59 PM
To: Courtney Holick &lt;Courtney.Holick@calmont.ca&gt;
Subject: Bobcat Edmonton - Internet Services
Hi there,Â  By the looks of it we are being charged internet services 3 times a month for Bobcat Edmonton. Once from Terago and twice on 2 different invoices from Telus. Should this be sent to MNP to check into?
Thanks, Sandra
Sandra Bianchini
Accounts Payable Manager
[image]
11403 â€“ 174 Street, Edmonton, Alberta, T5S 2P4
Branch: 780-451-2680Â Â Â Â  Toll Free: 1-800-252-7902Â Â Â Â  Extension 1275
Email: sandra.bianchini@calmont.ca or payables@calmont.ca
Website: www.calmont.ca
This email, and any files transmitted with it, are confidential and are intended solely for the use of the individual or entity to which they are addressed. Any unauthorized use or disclosure is prohibited. Please notify the sender if you have received this email in error. Thank you for your co-operation.</t>
  </si>
  <si>
    <t>Cheryl Waldo - Microsoft 365 Groups and SharePoint</t>
  </si>
  <si>
    <t>Hi there,
Are you able to provide me a list of all emails groups only, that are associated with our account.Â  Just trying to figure out if weÂ  have one that is not being used that we could change the name of.
Thank you,
Cheryl Waldo
Senior Executive Assistant
Pilgrims Hospice Society
9808 â€“ 148 Street
Edmonton ABÂ  T5N 3E8
T. 780.413.9801 ext. 240 / T. 587.414.5043 (direct)
*Home of the new Roozen Family Hospice Centre
[image]</t>
  </si>
  <si>
    <t>Kristi Perkins</t>
  </si>
  <si>
    <t>Kristi Perkins - Accounts Receivable Email</t>
  </si>
  <si>
    <t>Hello,
Please give Stephanie Seguin access to the accountsreceivable@calmont.ca inbox.
Thanks,
Kristi Perkins, CPA, CGA
Controller
[cid:image001.jpg@01D46A27.105D5D50]
14610 Yellowhead Trail NW Edmonton, AB, T5L 3C5
Branch: 780-454-0491Â Â Â Â  Toll Free: 1-800-363-7819Â Â Â Â  Direct: 780-482-0275Â Â Â Â  Cell: 780-233-6362Â Â Â Â  Fax: 780-451-5768
Email:kristi.perkins@calmont.ca
Website:www.calmont.ca
This email, and any files transmitted with it, are confidential and are intended solely for the use of the individual or entity to which they are addressed. Any unauthorized use or disclosure is prohibited. Please notify the sender if you have received this email in error. Thank you for your co-operation.</t>
  </si>
  <si>
    <t>Liberty Security Systems</t>
  </si>
  <si>
    <t>Brittany Carter</t>
  </si>
  <si>
    <t>Brittany Carter - New Service Request - Lifestyle Options</t>
  </si>
  <si>
    <t>Hello!
We have a new service request for Lifestyle Options.Â 
Site: Lifestyle Options Edmonton Whitemud
Address: 4069 106 Street Edmonton, AB T6J4N5
Contact: Bernadette Scott - 780-437-7171
Scope of Work: Fix phone lineÂ in unit 115.Â 
Please use PO-18264 for invoicing.Â 
This customer is anxious to get their phone line fixed so please let me know what days work for you!Â 
Thank you!
-- 
Brittany Carter
Commercial Coordinator
Phone: Â (780) 988-7233Â 
Toll Free:Â 1 (866) 926-7233
Website: Â www.libertysecurity.ca
[image]</t>
  </si>
  <si>
    <t>Baymag Inc.</t>
  </si>
  <si>
    <t>Gilles LaFond</t>
  </si>
  <si>
    <t>Baymag - Videocam with tripod</t>
  </si>
  <si>
    <t>From: Masters, Kara &lt;Kara.Masters@baymag.com&gt; 
Sent: Tuesday, February 9, 2021 10:34 AM
To: Sales - MNP IT Managed Services &lt;sales@mnptechnology.ca&gt;
Subject: FW: Videocam with tripod
Hi Curt
I spoke with Ali yesterday and he was going to open a ticket for some hardware the lab is looking for:
1. Camcorder
2. Tripod for camcorder
3. Headset with microphone
I am looking for your input as there are sooooooo many out there I am not sure where to start.
Thank you,
Kara
Baymag Inc.
Plantsite Operations
Exshaw, Alberta
Canada
Phone: 403-673-3790 ext. 221
Fax: 403-673-3825
Email: kara.masters@baymag.com
From: Andrejcak, Marcel &lt;Marcel.Andrejcak@BAYMAG.COM&gt; 
Sent: Thursday, February 4, 2021 12:42 PM
To: Masters, Kara &lt;Kara.Masters@baymag.com&gt;
Subject: Videocam with tripod
Hi Kara,
Could you please check a decent quality video cam with a tripod? I need to get one for the R&amp;D lab.
Thank you.
Marcel</t>
  </si>
  <si>
    <t>Ryley Boyd</t>
  </si>
  <si>
    <t>Ryley Boyd - Create Edmonton Site in CW Automate for Cooper Law</t>
  </si>
  <si>
    <t>### Summary of Issue_x000D_
Create Edmonton Site in CW Automate for Cooper Law_x000D_
  _x000D_
### Details of Issue_x000D_
Currently, there is only the "Main" site for Cooper Law in Automate. According to Glue Main is Fort McMurray. There should be an Edmonton site as well. Please add the Edmonton Site, and rename "Main" site to FortMcMurray.  I cant complete this client's onboarding with this._x000D_
  _x000D_
### Have you opened a ticket about this issue before?  _x000D_
 No  _x000D_
  _x000D_
### How many users are impacted by this issue?  _x000D_
 One  _x000D_
  _x000D_
### How would you classify this issue?  _x000D_
 Work Impacting</t>
  </si>
  <si>
    <t>FW: Notice of Upcoming New Hire - Claire A. Schneider</t>
  </si>
  <si>
    <t>Hello,
This email is to notify you of an upcomingnew hire in HR:
Distribution List &amp; Action Required â€“ Claire SchneiderDOH February 11, 2021
IT
RDS: Request for RDS/Network Access .
CanFit Update/Login
E-mail: Request for Outlook Account.
(please add access to thecareers@e4calberta.org andhr@e4calberta.org)
E-mail Signature Set-up:
-Â Â Â Â Â Â Â Â Â  Name: Claire A. Schneider CPHR
-Â Â Â Â Â Â Â Â Â  Position: Human Resources Business Partner
-Â Â Â Â Â Â Â Â Â  Program: Human Resources
Folder Access:
-Â Â Â Â Â Â Â Â Â  N:\Business Division\Human Resources
-Â Â Â Â Â Â Â Â Â Â  N:\Leaders\Agency Leaders
Apple ID Creation: Request for Apple ID.
Cell-phone Access:Request for cell-phone.
Staff Distribution List: Leaders, All Staff
Shore-tel access required.
Please send account details to: Catherine Parent (cparent@e4calberta.org)
Payroll/Finance
Payroll details will be provided once processed.
Reception
Please update existing employee list.
Communications
For information only.
L&amp;D
For information only.
Facilities Manager (interim David P.)
Keys/Code Required for Alex Taylor.
Should you have any questions or concerns about this request, please let me know.
Thank you,
Catherine P.
CatherineParent e4c
Human Services Manager
CParent@e4calberta.org
C780-554-3676
9321 Jasper Avenue, Edmonton AB T5H 3T7
e4calberta.org
[image]
This message is intended for the use of the individual or entity to which it is addressed and may contain information that is privileged and confidential. If you are not the intended recipient or the employee responsible for delivery of the message to the intended recipient, please be advised that any dissemination, distribution or copying of this message is strictly prohibited. If you have received this message in error, please notify us immediately by telephone and return the original email to us or destroy this message.
[image]e4c supports environmental conservation - please print wisely.</t>
  </si>
  <si>
    <t>Northlands</t>
  </si>
  <si>
    <t>Gerald  Grant</t>
  </si>
  <si>
    <t>FW: Upgrading an old server</t>
  </si>
  <si>
    <t>Curt Giacomoni
Project Estimator
PH.Â +1 7804246398
14505 114th Avenue NW
Edmonton, AB
T5M2Y8
Curt.Giacomoni@mnp.ca
mnp.ca[image]
[image]
From: Gerald Grant &lt;ggrant@northlands.com&gt; 
Sent: Monday, February 8, 2021 3:19 PM
To: Curt Giacomoni &lt;Curt.Giacomoni@mnp.ca&gt;
Cc: Flavio Soares &lt;Flavio.Soares@mnp.ca&gt;
Subject: Upgrading an old server
CAUTION:This email originated from outside of the MNP network. Be cautious of any embedded links and/or attachments.
MISE EN GARDE:Ce courriel ne provient pas du rÃ©seau de MNP. MÃ©fiez-vous des liens ou piÃ¨ces jointes quâ€™il pourrait contenir.
I managed to find the RAM for that Server I was looking for.Â  I was wondering if you could access the following items, all or partially is fine.
I need an older CPU to finish the upgrade.
Xeon E5430 Quadcore 2.66Ghz 12Mb L2 Cache 1333Mhz Fsb Socketj(Lga771) 45Nm 64Bit 80W Processor.
It is for thatÂ older IBMÂ SYSTEM X3550 (7978)Â Server.
I also need the heatsink for this system and a dual 1inch box fan for inside the case.
IBM 26K8082 26K8083 40 mm CPU Cooling Fan for X3550 1U Server.
IBM CPU Heatsink System X3550 39Y9423
Gerald Grant
Manager Business Technology
Business Technology
northlands.com
Direct: 780-378-6866 ext.6866
Mobile:Â  (780) 932-7124
[image]
IMPORTANT NOTICE OF ADDRESS CHANGE
Please note that our office has moved and we are now located at 2693 Broadmoor Boulevard, Suite 132, Sherwood Park, Alberta, CA, T8H 0G1
Confidentiality: The information transmitted is intended only for the addressee and may contain confidential, proprietary and/or privileged material. Confidentiality, privilege, and/or its proprietary nature are not lost by this information having been sent to the wrong person. Any unauthorized review, copying, distribution or other use of or the taking of any action in reliance upon this information is prohibited. If you receive this in error, please contact the sender immediately and delete or destroy this message and any copies.</t>
  </si>
  <si>
    <t>Angeli Alipio</t>
  </si>
  <si>
    <t>Angeli Alipio - Tillman, Linda - Termination, January 29, 2021</t>
  </si>
  <si>
    <t>Good morning,
Please be advised that Linda Tillmanâ€™s official last day withcarya was on January 29, 2021 â€“ please see attached form for details to terminate her access asap.
If you have any questions, please let me know.
Thanks,
Angeli
[image]
Angeli AlipioBBA
HR Generalist
T: 403.205.5233 |C: 403.619.7126 | E: AngeliA@caryacalgary.ca| F: 403.205.5281
180, 839 5 Ave SW | Calgary, AB | T2P 3C8
[image]Â [image]Â [image]
carya (formerly Calgary Family Services)
We are working remotely to help Calgarians through the COVID-19 pandemic. Please reach out to us if you need support.carya is here for you.
In the spirit of our efforts to promote reconciliation, we acknowledge the traditional territories and oral practices of the Blackfoot, the Tsuut'ina, the Stoney Nakoda First Nations, the MÃ©tis Nation Region 3, and all people who make their homes in the Treaty 7 region of Southern Alberta. We also respectfully acknowledge that the province of Alberta is comprised of Treaty 6, Treaty 7, and Treaty 8 territory, the traditional lands of First Nations and MÃ©tis peoples.
No form of electronic communication is secure and may be intercepted by others. Carya cannot guarantee the receipt of electronic communication nor a timely response. Where communication is confidential or time sensitive we recommend you call 403-269-9888 during business hours (Monday-Friday, 8:30am-4:30pm). For immediate crisis response please contact the Distress Centre Crisis Line at 403-266-HELP (4537) and in case of an emergency dial 911.
This e-mail is intended solely for the person or entity to which it is addressed and may contain confidential and/or privileged information. Any review, dissemination, copying, printing, forwarding or other use of this e-mail by persons or entities other than the addressee is prohibited. If you have received this e-mail in error, please contact the sender immediately and delete the material from your computer.</t>
  </si>
  <si>
    <t>Barbara Morgan - Email delivery issues from marcel.boulianne@wasteconnections.com</t>
  </si>
  <si>
    <t>### Summary of Issue_x000D_
Email delivery issues from marcel.boulianne@wasteconnections.com_x000D_
  _x000D_
### Details of Issue_x000D_
Marcel sends emails to transport@capital-paper.com that include photos, and they are never received. Work around in place to have him send to a personal email, is working ok.
He can email fine w/o pictures.. 
Having problems with Sophos Anti-spam, unable to login to add Marcel to a whitelist.
Please assist._x000D_
  _x000D_
### Have you opened a ticket about this issue before?  _x000D_
 No  _x000D_
  _x000D_
### How many users are impacted by this issue?  _x000D_
 One  _x000D_
  _x000D_
### How would you classify this issue?  _x000D_
 Work Impacting</t>
  </si>
  <si>
    <t>Michelle Wispinski - Phishing Email</t>
  </si>
  <si>
    <t>Hi there,
Please see below spam email â€“ this was sent to multiple people on our team.Â  Can you please block the sender.
Our team has been warned and reminded to always pay attention to the â€œsender addressâ€.
Thanks.
[image][image][image][image][image]
Michelle Wispinski |Â  Executive Assistant to President &amp; CEO
Suite 1005 | 10104 103 AvenueÂ |Â Edmonton, AB | T5J 0H8
Tel: 780.420.4005 | Cell: 780.217.2576
mwispinski@maclabdevelopment.com | www.maclabdevelopment.com
We have moved. Please note our new address.
From: Bill Blais &lt;muhammedisiaka622@muhammedisiaka.com&gt;
Sent: February 9, 2021 10:00 AM
To: Michelle Wispinski &lt;MWispinski@maclabdevelopment.com&gt;
Subject: Response
Hi Michelle
I'm planning to surprise some of the staff with gifts for their good work so far, Your confidentiality will be appreciated. However, I need you to get a purchase done. Email me once you get this.Thanks
Best Regards,
Bill Blais
President
sent from my mobile device
EXTERNAL</t>
  </si>
  <si>
    <t>Shelley O'Neill</t>
  </si>
  <si>
    <t>Lagging</t>
  </si>
  <si>
    <t>Hi,
My computer is still lagging.
Thanks,
Shelley
Shelley Oâ€™Neill, Medical Office Assistant
Assistant to Dr. Gordon Goplen
Orthopaedic Associates
11202 â€“ 76 Avenue NW
Edmonton, ABÂ Â  T6G 0K1
Phone: 780-439-4945
Fax: 780-439-0396
soneill@oaedmonton.ca</t>
  </si>
  <si>
    <t>Chad Lefrancois</t>
  </si>
  <si>
    <t>Chad Lefrancois - POS Machine says no Ethernet Connection</t>
  </si>
  <si>
    <t xml:space="preserve">Hello,
Our POS (Point of Sales) machine says no Ethernet Connection.Â 
Thanks,
[image]
Chad Lefrancois
Assistant ManagerÂ 
Phone/Fax: 867.920.4005Â |
338 Old Airport RoadÂ |Â Yellowknife , NTÂ |Â X1A 3T3
[image]Â Â [image]Â Â [image]Â  Â  Â  Â  Â  Â  Â [image]Â [image]
</t>
  </si>
  <si>
    <t>Natural Health Practitioners of Canada</t>
  </si>
  <si>
    <t>Suzanne Olsen</t>
  </si>
  <si>
    <t>Change VPN Idle logout time to 9 hours</t>
  </si>
  <si>
    <t>For ticket creation, please send to me.
Darryl Burkhardt
Field Services Technician
PH.Â +1 7804246398
14505 114th Avenue NW
Edmonton,       AB
T5M2Y8
Darryl.Burkhardt@mnp.ca
mnp.ca [image]
[image]
From: Suzanne Olsen &lt;solsen@nhpcanada.org&gt;
Sent: February 9, 2021 9:15 AM
To: Darryl Burkhardt &lt;Darryl.Burkhardt@mnp.ca&gt;
Cc: Dylan Bagot &lt;DBagot@nhpcanada.org&gt;
Subject: RE: Site Visit - February 9, 2021
CAUTION:This email originated from outside of the MNP network. Be cautious of any embedded links and/or attachments.
MISE EN GARDE:Ce courriel ne provient pas du rÃ©seau de MNP. MÃ©fiez-vous des liens ou piÃ¨ces jointes quâ€™il pourrait contenir.
Can you increase it to 9 hours?
From: Darryl Burkhardt &lt;Darryl.Burkhardt@mnp.ca&gt;
Sent: February 9, 2021 9:09 AM
To: Suzanne Olsen &lt;solsen@nhpcanada.org&gt;
Subject: RE: Site Visit - February 9, 2021
I could increase the setting. That setting exists for security purposes. Did you want me to increase it? If so, how long would you like it to be?
Regards
Darryl Burkhardt
Field Services Technician
PH.Â +1 7804246398
14505 114th Avenue NW
Edmonton, AB
T5M2Y8
Darryl.Burkhardt@mnp.ca
mnp.ca
This message (including any attachments) is for the addressee(s) only and may contain information that is privileged, confidential or exempt from disclosure. If you have received this message in error please immediately notify the sender and delete this email message and any attachments.
From: Darryl Burkhardt &lt;Darryl.Burkhardt@mnp.ca&gt;
Sent: February 9, 2021 9:01 AM
To: Suzanne Olsen &lt;solsen@nhpcanada.org&gt;
Subject: RE: Site Visit - February 9, 2021
Thanks Suzanne
Can you tell me if after the 8 hours with the VPN stops, is a person able to reconnect and work again? I am asking because there is a default setting that appears to close session after 8 hours. This could be the cause. I would just be curious to know if a connection is able to be established after this.
Regards
Darryl Burkhardt
Field Services Technician
PH.Â +1 7804246398
14505 114th Avenue NW
Edmonton, AB
T5M2Y8
Darryl.Burkhardt@mnp.ca
mnp.ca
This message (including any attachments) is for the addressee(s) only and may contain information that is privileged, confidential or exempt from disclosure. If you have received this message in error please immediately notify the sender and delete this email message and any attachments.
From: Darryl Burkhardt &lt;Darryl.Burkhardt@mnp.ca&gt;
Sent: February 9, 2021 8:51 AM
To: Suzanne Olsen &lt;solsen@nhpcanada.org&gt;
Subject: RE: Site Visit - February 9, 2021
Hi Suzanne
Let me take a look at the VPN and get back to you on that. Your NAS requires a firmware update. Is it okay if I do that tonight at 6pm? I should take about 30 minutes maximum. Minimal impact as it only stops access to the QNAP drive share during that time.
Regards
Darryl Burkhardt
Field Services Technician
PH.Â +1 7804246398
14505 114th Avenue NW
Edmonton, AB
T5M2Y8
Darryl.Burkhardt@mnp.ca
mnp.ca
This message (including any attachments) is for the addressee(s) only and may contain information that is privileged, confidential or exempt from disclosure. If you have received this message in error please immediately notify the sender and delete this email message and any attachments.
From: Darryl Burkhardt &lt;Darryl.Burkhardt@mnp.ca&gt;
Sent: February 9, 2021 8:25 AM
To: Suzanne Olsen &lt;solsen@nhpcanada.org&gt;; Dylan Bagot &lt;DBagot@nhpcanada.org&gt;
Subject: Site Visit - February 9, 2021
Hello Suzanne and Dylan
I am starting the site visit for this morning. Please let me know if you have any questions.
Regards
Darryl Burkhardt
Field Services Technician
PH.Â +1 7804246398
14505 114th Avenue NW
Edmonton, AB
T5M2Y8
Darryl.Burkhardt@mnp.ca
mnp.ca
[image]
[image]
This email and any accompanying attachments contain confidential information intended only for the individual or entity named above. Any dissemination or action taken in reliance on this email or attachments by anyone other than the intended recipient is strictly prohibited. If you believe you have receiv...</t>
  </si>
  <si>
    <t>Align Orthodontics</t>
  </si>
  <si>
    <t>Melody Baldry</t>
  </si>
  <si>
    <t>Hewes Business Color Printer M452 - Tray set up</t>
  </si>
  <si>
    <t>Hello MNP IT,
I would like to set up all users who have the Hewes Business Color Printer M452 to have all 3 trays as individual printers:
Business M452 â€“ Tray 1 Manual
Business M452 â€“ Tray 2 Letterhead
Business M452 â€“ Tray 3 Plain
We are struggling with the loss of the Accounting Color printer, and re-routing print jobs, but not all users have all the trays.
Are you able to perform a search on profile users who have one of the above trays, able to have all the trays pushed to them, or does this have to be set up on each user individually to add the other printers. It appears that no one has the Business M452 â€“ Tray 1 Manual tray. Most only have the Tray 3 Plain.
Thanks,
Mel
Melody Baldry
Manager &amp; Privacy Officer
Align Orthodontics
Edmonton, Alberta, Canada
Direct: 780.395.2999
Edmonton Main: 780.463.5141
Sherwood Park Main: 780.449.6597
www.alignortho.com
[Email Logo Template]
Confidentiality Notice: This message and any attachments are solely for the intended recipient and may contain confidential or privileged information. If you are not the intended recipient, any disclosure, copying, use, or distribution of the information included in this message and any attachment is prohibited. If you have received this communication in error, please notify myself, by reply email and immediately and permanently delete this message and any attachments.</t>
  </si>
  <si>
    <t>MNP Digital Inc.</t>
  </si>
  <si>
    <t>Jira (Do Not Reply)</t>
  </si>
  <si>
    <t>[JIRA] (TIAP-1012) Re: set up new printer</t>
  </si>
  <si>
    <t>Susanne Staer added 1 new comment. Toronto Innovation Acceleration Partners/TIAP-1012 Re: set up new printer 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
Susanne Staer added 1 new comment.
Toronto Innovation Acceleration Partners
/Â Â   [image] Â  TIAP-1012
 Re: set up new printer 
[image]  Susanne Staer  11:03Â AMÂ EST
Letâ€™s discuss this now at 11?
View issue
Get Jira notifications on your phone! Download the Jira Cloud app for Android or iOS.
Manage notifications   Â â€¢Â    Give feedback   Â â€¢Â    Privacy policy
[image]
[image]
[image]</t>
  </si>
  <si>
    <t>Joscelyne Rivard - Download  scanner</t>
  </si>
  <si>
    <t>### Summary of Issue_x000D_
Download  scanner_x000D_
  _x000D_
### Details of Issue_x000D_
Our fax/printer machine also has a scanner and I am wondering if it was downloaded to my system_x000D_
  _x000D_
### Have you opened a ticket about this issue before?  _x000D_
 No  _x000D_
  _x000D_
### How many users are impacted by this issue?  _x000D_
 Some  _x000D_
  _x000D_
### How would you classify this issue?  _x000D_
 Work Impacting</t>
  </si>
  <si>
    <t>Darlene Chhina - do not see messages for chat in mitel.</t>
  </si>
  <si>
    <t>### Summary of Issue_x000D_
do not see messages for chat in mitel._x000D_
  _x000D_
### Details of Issue_x000D_
cannot see messages for chat witin mitel_x000D_
  _x000D_
### Have you opened a ticket about this issue before?  _x000D_
 No  _x000D_
  _x000D_
### How many users are impacted by this issue?  _x000D_
 Some  _x000D_
  _x000D_
### How would you classify this issue?  _x000D_
 Work Impacting</t>
  </si>
  <si>
    <t>Carolyn Frew</t>
  </si>
  <si>
    <t>Oulook inbox is showing as empty on my surface pro and mac connections.  still receiving on my phone</t>
  </si>
  <si>
    <t>[image]
Carolyn Frew, M.Ed., LLB., R.Psych.
She/Her
Chief Operating Officer
T: 403.205.5258Â  |E: Carolynf@caryacalgary.ca| F: 403.205.5281
180, 839 5 Ave SW | Calgary, AB | T2P 3C8
[image]Â [image]Â [image]
carya (formerly Calgary Family Services)
Want to learn more about carya?Â Sign up for our newsletter!
In the spirit of our efforts to promote reconciliation, we acknowledge the traditional territories and oral practices of the Blackfoot, the Tsuut'ina, the Stoney Nakoda First Nations, the MÃ©tis Nation Region 3, and all people who make their homes in the Treaty 7 region of Southern Alberta. We also respectfully acknowledge that the province of Alberta is comprised of Treaty 6, Treaty 7, and Treaty 8 territory, the traditional lands of First Nations and MÃ©tis peoples.
No form of electronic communication is secure and may be intercepted by others. Carya cannot guarantee the receipt of electronic communication nor a timely response. Where communication is confidential or time sensitive we recommend you call 403-269-9888 during business hours (Monday-Friday, 8:30am-4:30pm). For immediate crisis response please contact the Distress Centre Crisis Line at 403-266-HELP (4537) and in case of an emergency dial 911.
This e-mail is intended solely for the person or entity to which it is addressed and may contain confidential and/or privileged information. Any review, dissemination, copying, printing, forwarding or other use of this e-mail by persons or entities other than the addressee is prohibited. If you have received this e-mail in error, please contact the sender immediately and delete the material from your computer.</t>
  </si>
  <si>
    <t>Corrosion and Abrasion</t>
  </si>
  <si>
    <t>Chris Jones</t>
  </si>
  <si>
    <t>Chris Jones - Open files in background</t>
  </si>
  <si>
    <t>### Summary of Issue_x000D_
Open files in background_x000D_
  _x000D_
### Details of Issue_x000D_
I am being prevented from moving files due to a message stating " file is open in another program".  This is not the case and is preventing me from filing these jobs properly.  generally I have to wait several days to move certain files.  I have had 3-4 open tickets for this with the previous IT deparment that has stated these files being held open in the background.  I have never seen this issue until CASL and need to be able to move files at will without any hangups._x000D_
  _x000D_
### If your callback number is different than what's on record, please provide it below._x000D_
346-616-4441_x000D_
  _x000D_
### Have you opened a ticket about this issue before?  _x000D_
 Yes  _x000D_
  _x000D_
### How many users are impacted by this issue?  _x000D_
 Some  _x000D_
  _x000D_
### How would you classify this issue?  _x000D_
 Work Impacting</t>
  </si>
  <si>
    <t>Bryce Johnston</t>
  </si>
  <si>
    <t>Bryce Johnston - Surgery Computer Lost connectivity to Surgery Printer</t>
  </si>
  <si>
    <t>### Summary of Issue_x000D_
Surgery Computer Lost connectivity to Surgery Printer_x000D_
  _x000D_
### Details of Issue_x000D_
Everytime the "Next Digital" update happens it nreaks the connection to the printer
PVC-D-7096_x000D_
  _x000D_
### If your callback number is different than what's on record, please provide it below._x000D_
7806906288_x000D_
  _x000D_
### Have you opened a ticket about this issue before?  _x000D_
 Yes  _x000D_
  _x000D_
### How many users are impacted by this issue?  _x000D_
 Everyone  _x000D_
  _x000D_
### How would you classify this issue?  _x000D_
 Work Impacting</t>
  </si>
  <si>
    <t>James Anderson - Expand Drive</t>
  </si>
  <si>
    <t>### Summary of Issue_x000D_
Expand Drive_x000D_
  _x000D_
### Details of Issue_x000D_
Expand C: on NC-PGH-RDS01 at Pilgrim's Hospice by 30GB.
Approval from opal in 1360396._x000D_
  _x000D_
### Have you opened a ticket about this issue before?  _x000D_
 No  _x000D_
  _x000D_
### How many users are impacted by this issue?  _x000D_
 Everyone  _x000D_
  _x000D_
### How would you classify this issue?  _x000D_
 Work Impacting</t>
  </si>
  <si>
    <t>James Nelson</t>
  </si>
  <si>
    <t>James Nelson - Need Changes to Calmont Sales Group email list</t>
  </si>
  <si>
    <t>### Summary of Issue_x000D_
Need Changes to Calmont Sales Group email list_x000D_
  _x000D_
### Details of Issue_x000D_
Can you please Take Shamir Shaikh and Doug Podulsky off of the Email list above and add Sabrina Tabak to the list please.
thanks 
James_x000D_
  _x000D_
### Have you opened a ticket about this issue before?  _x000D_
 No  _x000D_
  _x000D_
### How many users are impacted by this issue?  _x000D_
 Some  _x000D_
  _x000D_
### How would you classify this issue?  _x000D_
 Work Impacting</t>
  </si>
  <si>
    <t>SinoVeda</t>
  </si>
  <si>
    <t>Richard Tseng</t>
  </si>
  <si>
    <t>Managed Network Computer - 03/26/2021</t>
  </si>
  <si>
    <t>Monitoring indicates that there is a configuration expiring in the next 45 days. See attached configuration for details.</t>
  </si>
  <si>
    <t>Renewal</t>
  </si>
  <si>
    <t>Brent Schneider</t>
  </si>
  <si>
    <t>FW: Surface Pro 7 Quote</t>
  </si>
  <si>
    <t>From: Brent Schneider &lt;BSchneider@youracsa.ca&gt; 
Sent: Monday, February 8, 2021 4:49 PM
To: Sales - MNP IT Managed Services &lt;sales@mnptechnology.ca&gt;
Subject: Surface Pro 7 Quote
CAUTION:This email originated from outside of the MNP network. Be cautious of any embedded links and/or attachments.
MISE EN GARDE:Ce courriel ne provient pas du rÃ©seau de MNP. MÃ©fiez-vous des liens ou piÃ¨ces jointes quâ€™il pourrait contenir.
Hello,
Could you please provide me a quote for a new Surface Pro 7 Tablet. Â This will be for a new employee starting on Feb 16.
Thanks.
Brent SchneiderB.Sc, PMP, CISSP, CISA, CRISC, CISMÂ |Â Manager, Information Systems (IS)
Alberta Construction Safety Association
225 Parsons Road SW |Â Edmonton ABÂ |Â T6X 0W6
TÂ 780.453.3311 ext. 7719 |Â FÂ 780.455.1120 |Â TFÂ 1.800.661.ACSA (2272)
www.youracsa.ca
[image][image][image][image]
[image]</t>
  </si>
  <si>
    <t>Andy Jay</t>
  </si>
  <si>
    <t>ATTN: Terry/Dave - Field Law New Hire - Service Ticket #INC0026132 - USER ONBOARDING - Brent Boisver</t>
  </si>
  <si>
    <t>Hello,
Please see attached form:
1.Â Â Â Â Â Â Â Â Â Â Full name of staff member, as well as the AD name:Â Brent Boisvert // bboisvert
2.Â Â Â Â Â Â Â Â Â Â Location of staff member (Edm/ Cal/ Ykn):Â Edm
3.Â Â Â Â Â Â Â Â Â Â User Group: (Lawyer / Manager / Staff):Â Lawyer
4.Â Â Â Â Â Â Â Â Â Â Do they need to be part of any hunt group: (Reception or Central Services etc):Â N/A
5.Â Â Â Â Â Â Â Â Â Â Do they need mobility? What is the userâ€™s mobile number?Â No
6.Â Â Â Â Â Â Â Â Â Â Do they need a DID? (Yes / No)Â Yes (this will be yes 99/100 times)
7.Â Â Â Â Â Â Â Â Â Â If they are taking over an DID, what is the DID.Â N/A (usually a special request)
8.Â Â Â Â Â Â Â Â Â Â MAC address of the phone that the user needs to be assigned to.Â N/A (not required)
9.Â Â Â Â Â Â Â Â Â Â Is Scribe feature required? (Yes/No)Â ***YES***
10.Â Â Â Â Â Â Date Due By:Â Feb 9th, 2021
[Field Law]
Andy Jay |LVS-Deskside (Calgary)
T| F | AJay@fieldlaw.com
400 â€“ 444 7 AVE SW, Calgary Alberta T2P 0X8
"Field Law" and the Field Law logo are registered trademarks of Field LLP. All rights reserved.</t>
  </si>
  <si>
    <t>Access to M: Directory</t>
  </si>
  <si>
    <t>Hi There,
I would like to provide a specific colleague with access to CERTAIN FOLDERS in the M: Directory but I would like to check to see who has authorizations in the M: Directory first. Could you please call me when youâ€™re ready to discuss directory and folder permissions?
Thanks,
Jana
Jana Lumsden       CPA, CMA
Chief Financial Officer
EÂ Â Â Â Â  jlumsden@mhkinsurance.com
DÂ Â Â Â  587.525.6029Â 
CÂ Â Â Â  780.999.7111
12316-107 Avenue, Edmonton, AB  T5M 1Z1
www.mhkinsurance.com
[image]
[image]
We're here to help with your insurance needs. Emails       and phone calls are still encouraged. Appointments are required for       in-office broker meetings. Please wear a mask when       visiting.
MHK welcomes       e-Transfer payments to banking@mhkinsurance.â€‰com.
If you       receive this email in error, please notify us by reply email and destroy       this message. MHK complies with Canada's Anti-Spam and Alberta's PIPA       Legislations. If you no longer wish to receive emails from MHK, please       reply with 'Unsubscribe' in the subject   line.</t>
  </si>
  <si>
    <t>Annie Brandt - email account created</t>
  </si>
  <si>
    <t>### Summary of Issue_x000D_
email account created_x000D_
  _x000D_
### Details of Issue_x000D_
Email account created for Anne McKinnon_x000D_
  _x000D_
### Have you opened a ticket about this issue before?  _x000D_
 No  _x000D_
  _x000D_
### How many users are impacted by this issue?  _x000D_
 Some  _x000D_
  _x000D_
### How would you classify this issue?  _x000D_
 Work Impacting</t>
  </si>
  <si>
    <t>Alberta Association of Architects</t>
  </si>
  <si>
    <t>Helen Wong</t>
  </si>
  <si>
    <t>RE: Ticket #1317955/Request - email to be forward - Received</t>
  </si>
  <si>
    <t xml:space="preserve">Hello,
Rashida is now backÂ  at work, please make the following adjustment to 2 emails:
1. remove Fiona access to Rashidaâ€™s email.
2. registration@aaa.ab.ca to go to only Rashida and Wendy
Please advise when complete.
Thanks
Helen Wong, CPA, CMA
Finance and Administration Manager
The Alberta Association of Architects
Duggan House | 10515 Saskatchewan Dr., NW 
Edmonton, AB | T6E 4S1
ph: 780.432.0224 ext. 212 | fax: 780.439.1431
website | eBulletin | LinkedIn | Facebook | Twitter
Please note that all AAA staff are working remotely and the office at Duggan House is closed to the public until further notice. We strive to maintain a high level of service and will respond to your email within 3 business days. Please visit  www.aaa.ab.ca for further updates. Thank you for your patience during this time.
Confidentiality Note: This email may contain confidential and/or private information. 
If you received this email in error please delete and notify sender.
From: Helen Wong 
Sent: November 25, 2020 11:56 AM
To: Support - MNP IT Managed Services &lt;support@mnptechnology.ca&gt;
Subject: RE: Ticket #1317955/Request - email to be forward - Received
Hello,
Please note we need to make a change to this request
Can Rashida email be forward to registration email (as in box)
Then registration email be forward to Fiona - so Fiona can have access to both email
Registraiotn email is currently also forward to Wendy - that remains the same
Not sure which is the best way to handle this.
I am working remotely and can be reached at 780-655-3983
Thanks
Helen Wong
Finance and Administration Manager
The Alberta Association of Architects
Duggan House | 10515 Saskatchewan Dr., NW 
Edmonton, AB | T6E 4S1
ph: 780.432.0224 ext. 212 | fax: 780.439.1431
website | eBulletin | LinkedIn | Facebook | Twitter
Please note that all AAA staff are working remotely and the office at Duggan House is closed to the public until further notice. We strive to maintain a high level of service and will respond to your email within 3 business days. Please visit  www.aaa.ab.ca for further updates. Thank you for your patience during this time.
Confidentiality Note: This email may contain confidential and/or private information. 
If you received this email in error please delete and notify sender.
</t>
  </si>
  <si>
    <t>Total R Inc</t>
  </si>
  <si>
    <t>Domain admin and Exchange admin accounts</t>
  </si>
  <si>
    <t>Hey Team,
This is for Total-R Inc.Â  We need to create domain admin and exchange admin accounts for the people mentioned in the email below.Â  The attached is an admin approval for these accounts already.
Please look into this and flip the change request for review.Â  Iâ€™ve uploaded the signed form into IT Glue already.Â  This will be tied to a project estimate being worked on by the projects team, but these accounts can be created now to allow as requested.
Thanks,
Matt
Matt Patrick
Manager, Operational Alignment
PH.Â +1 4036864357       Ext 402
310 - 4000 4 St SE
Calgary,       AB
T2G2W3
Matt.Patrick@mnp.ca
mnp.ca [image]
[image]
From: Kevin Hartgrove &lt;k.hartgrove@distributionintl.com&gt;
Sent: February 8, 2021 12:58 PM
To: Matt Patrick &lt;Matt.Patrick@mnp.ca&gt;
Cc: Christopher Everett &lt;c.everett@distributionintl.com&gt;; Michael Lindsey &lt;m.lindsey@distributionintl.com&gt;; Wagner Campos &lt;W.Campos@distributionintl.com&gt;; Alex Gonzales &lt;aj.gonzales@distributionintl.com&gt;
Subject: FW: signed doc from MNP
CAUTION:This email originated from outside of the MNP network. Be cautious of any embedded links and/or attachments.
MISE EN GARDE:Ce courriel ne provient pas du rÃ©seau de MNP. MÃ©fiez-vous des liens ou piÃ¨ces jointes quâ€™il pourrait contenir.
Matt,
Can you please grant access to the following engineers?
 Admin level access to the domain
 Admin level access to Exchange
 Wagner Campos -W.Campos@distributionintl.com
 Alex Gonzales -aj.gonzales@distributionintl.com
 VPN access â€“ May not be necessary if tunnel is in place
 Michael Lindsey -m.lindsey@distributionintl.com
Let me know if you have any questions or if we need to discuss.
Thanks,
Kevin Hartgrove, PMP
IT Project Manager, Corporate Headquarters
601 Jefferson St., 6th Floor | Houston, TX 77002
Office: 713.428.3954
Mobile: 832.712.0183
www.distributioninternational.com
From: Shelley Rines &lt;shelley@total-r.com&gt;
Sent: Thursday, February 4, 2021 10:24 AM
To: Kevin Hartgrove &lt;k.hartgrove@distributionintl.com&gt;
Subject: EXTERNAL signed doc from MNP
Mimecast Attachment Protection has deemed this file to be safe, but always exercise caution when opening files.
--CAUTION: THIS EMAIL ORIGINATED FROM OUTSIDE OF DI. DO NOT CLICK LINKS OR OPEN ATTACHMENTS UNLESS YOU RECOGNIZE THE SENDER AND KNOW THE CONTENT IS SAFE--
-----Original Message-----
From: Darren Resch 
Sent: Thursday, February 4, 2021 9:03 AM
To: Shelley Rines &lt;shelley@total-r.com&gt;
Subject: FW: Scan From Total-R Inc
MNP form.
Darren Resch
VP Sales â€“ Canada
2808 58th Ave SE
Calgary, AB T2C 0B3
D: 403-243-7591
O: 403-243-7567
www.total-r.com
This message may contain confidential and privileged information. If it has been sent to you in error, please reply to advise the sender of the error and then immediately delete it. If you are not the intended recipient, do not read, copy, disclose or otherwise use this message. The sender disclaims any liability for such unauthorized use. PLEASE NOTE that all incoming e-mails sent to Distribution International e-mail accounts will be archived and may be scanned by us and/or by external service providers to detect and prevent threats to our systems, investigate illegal or inappropriate behavior, and/or eliminate unsolicited promotional e-mails (spam).</t>
  </si>
  <si>
    <t xml:space="preserve">Maintenance </t>
  </si>
  <si>
    <t>Office 365 E3 License for Dr. Rebekah Gilbert</t>
  </si>
  <si>
    <t>### What company is this quote for?_x000D_
Pilgrims Hospice_x000D_
  _x000D_
### Is there an existing ticket on another Connectwise board? If so what is the ticket number?_x000D_
1358989_x000D_
  _x000D_
### Add or Remove CSP licenses  _x000D_
 Add licenses  _x000D_
  _x000D_
### March 30, 2020 New Microsoft 365 offerings for small and medium-sized businesses. (https://www.microsoft.com/en-us/microsoft-365/blog/2020/03/30/new-microsoft-365-offerings-small-and-medium-sized-businesses/)  _x000D_
  _x000D_
### What Type of license  _x000D_
 Office 365 E3  _x000D_
  _x000D_
### How many licenses to add/remove?_x000D_
1_x000D_
  _x000D_
### Optional - What users are the licenses for?_x000D_
Dr. Rebekah Gilbert</t>
  </si>
  <si>
    <t>Amanda Julio</t>
  </si>
  <si>
    <t>Amanda Julio - Hot Jar account ownership</t>
  </si>
  <si>
    <t>Hello,
Are you able to assist me in taking over our Hot Jar account? These are the instructions I have been given:
You will want to work with the registrar for your domain so they can either add a hotjar.txt file to the website that displays the TXT entry or they can submit a DNS entry that displays the TXT entry so that it's searchable on our end.Â 
It's separate from Hotjar, but it will show us that you have authorization to make changes to the domain, which means you are authorized to take over ownership of the data collected on this domain in Hotjar.
They also have a link here that walks through the steps of creating a separate file: https://help.hotjar.com/hc/en-us/articles/115011734948-How-to-Change-Account-Owner
If you need anything else please let me know.
Thanks,
Amanda
Amanda Julio | Marketing Manager | Lexus of Edmonton 
Tel: 780-466-8300 ex.526 | ajulio@lexusofedmonton.caÂ  | www.lexusofedmonton.ca
[image]
Lexus of Edmonton family member since 2018</t>
  </si>
  <si>
    <t>Caitlin Schulte</t>
  </si>
  <si>
    <t>Courtney Holick - RE: Tina Buchanan, access to email addressinfoaccountsreceivable@calmont.ca</t>
  </si>
  <si>
    <t>Hi ND,
Can you please give Tina access to email addressinfoaccountsreceivable@calmont.ca
As a secondary inbox ?
Thank you
Caitlin Schulte
Credit Supervisor
[cid:image002.jpg@01D3F68E.E8D13510]
14610 Yellowhead Trail NW Edmonton, AB, T5L 3C5
Branch: 780-454-0491Â Â Â  Direct: 780-409-3609Â Â Â  Cell: 587-930-8798Â Â Â  Toll Free: 1-800-363-7819
Email:caitlin.schulte@calmont.ca
Website:www.calmont.ca
This email, and any files transmitted with it, are confidential and are intended solely for the use of the individual or entity to which they are addressed. Any unauthorized use or disclosure is prohibited. Please notify the sender if you have received this email in error. Thank you for your co-operation.</t>
  </si>
  <si>
    <t>Nexsource Power Inc.</t>
  </si>
  <si>
    <t>Guylaine Genoe</t>
  </si>
  <si>
    <t>Desktop sage links</t>
  </si>
  <si>
    <t>Good afternoon,
Can we please get the 3 old links to Sage deleted from the server profiles?
There is one for 2018, 2019, 2020, &amp; 2021 â€“ we only need the most current version.
Thanks,
[Guylaine Email]</t>
  </si>
  <si>
    <t>Tina Buchanan</t>
  </si>
  <si>
    <t>Mike Borodawka</t>
  </si>
  <si>
    <t>Network</t>
  </si>
  <si>
    <t>Hi â€“ Weâ€™re having an issue with our network from our main office to the warehouse. Mainly seems to be a communication issue with the printer over there.
Thanks
Mike Borodawka
Supply Chain/Rental Manager
OÂ 780-417-1980Â CÂ 780-499-0751
[cid:ii_iq2kwc921_155a254f2c0782f5]
Mike.Borodawka@keymay.com
www.keymay.com
53169 Range Road 225
Sherwood Park, AB T8A 4T7
IMPORTANT NOTICE: This message is intended for the individual or entity to which it is addressed and may contain information that is privileged, confidential, and/or exempt from disclosure under applicable law. If you are not the intended recipient, you are hereby notified that copying, forwarding or other dissemination or distribution of this message is prohibited and that taking any action in reliance on the content of this message is to be avoided. Should you receive this e-mail in error, please notify the sender immediately via e-mail or call (780) 417-1955 and delete this message from your system. Thank you.</t>
  </si>
  <si>
    <t>Christine Paquette Scott</t>
  </si>
  <si>
    <t>Christine Paquette Scott - No Access to ALL Staff General folder</t>
  </si>
  <si>
    <t>### Summary of Issue_x000D_
No Access to ALL Staff General folder_x000D_
  _x000D_
### Details of Issue_x000D_
Hello I do not have access to the All Staff General folder within the shared folder. Thank you_x000D_
  _x000D_
### If your callback number is different than what's on record, please provide it below._x000D_
5876434604_x000D_
  _x000D_
### Have you opened a ticket about this issue before?  _x000D_
 No  _x000D_
  _x000D_
### How many users are impacted by this issue?  _x000D_
 One  _x000D_
  _x000D_
### How would you classify this issue?  _x000D_
 Work Impacting</t>
  </si>
  <si>
    <t>Laury Schmidt</t>
  </si>
  <si>
    <t>Monitor Request</t>
  </si>
  <si>
    <t>From: Courtney Holick &lt;Courtney.Holick@calmont.ca&gt;
Sent: February 8, 2021 1:21 PM
To: Sales - MNP IT Managed Services &lt;sales@mnptechnology.ca&gt;
Subject: MONITORS
CAUTION:This email originated from outside of the MNP network. Be cautious of any embedded links and/or attachments.
MISE EN GARDE:Ce courriel ne provient pas du rÃ©seau de MNP. MÃ©fiez-vous des liens ou piÃ¨ces jointes quâ€™il pourrait contenir.
Hi,
I need two 22 inch monitors for Calgary truck center please.
Courtney Holick, CPA, CMA
Chief Financial Officer
[image]
14610 Yellowhead Trail NW Edmonton, AB, T5L 3C5
Branch: 780-454-0491Â Â Â Â  Toll Free: 1-800-363-7819Â Â Â Â  Direct: 780-409-3359Â Â Â Â  Cell: 780-916-7296
Email: courtney.holick@calmont.ca
Website: www.calmont.ca
This email, and any files transmitted with it, are confidential and are intended solely for the use of the individual or entity to which they are addressed. Any unauthorized use or disclosure is prohibited. Please notify the sender if you have received this email in error. Thank you for your co-operation.</t>
  </si>
  <si>
    <t>CatchAll (for email connector)</t>
  </si>
  <si>
    <t>FW: MONITORS</t>
  </si>
  <si>
    <t>From: Courtney Holick &lt;Courtney.Holick@calmont.ca&gt; 
Sent: Monday, February 8, 2021 1:21 PM
To: Sales - MNP IT Managed Services &lt;sales@mnptechnology.ca&gt;
Subject: MONITORS
CAUTION:This email originated from outside of the MNP network. Be cautious of any embedded links and/or attachments.
MISE EN GARDE:Ce courriel ne provient pas du rÃ©seau de MNP. MÃ©fiez-vous des liens ou piÃ¨ces jointes quâ€™il pourrait contenir.
Hi,
I need two 22 inch monitors for Calgary truck center please.
Courtney Holick, CPA, CMA
Chief Financial Officer
[image]
14610 Yellowhead Trail NW Edmonton, AB, T5L 3C5
Branch: 780-454-0491Â Â Â Â  Toll Free: 1-800-363-7819Â Â Â Â  Direct: 780-409-3359Â Â Â Â  Cell: 780-916-7296
Email:courtney.holick@calmont.ca
Website:www.calmont.ca
This email, and any files transmitted with it, are confidential and are intended solely for the use of the individual or entity to which they are addressed. Any unauthorized use or disclosure is prohibited. Please notify the sender if you have received this email in error. Thank you for your co-operation.</t>
  </si>
  <si>
    <t>Bev Jensen</t>
  </si>
  <si>
    <t>Keyboard Issue</t>
  </si>
  <si>
    <t>Hello. I realized that my keyboard settings have changed. I can no longer type in the ``at`sign for email addresses and I have the weird E symbol.
I tried changing the setting but have had any luck finding what I need to change Can you please check my keyboard settings so that I can type email addresses. Thanks.
I currently am typing at home with a DELL keyboard SK-8115 model keyboard.
Thank you.
Bev Jensen
PARALEGAL/EXECUTIVE ASSISTANT
T:780.460.4106
F:780.459.1220
220 Summit Plaza 190 Boudreau Road St. Albert AB T8N 6B9// landrex.com
[landrex-esignature]
Private and confidential - The information transmitted is intended only for the person or entity to which it is addressed and may contain proprietary, business-confidential and/or privileged material.Â  If you are not the intended recipient of this message you are hereby notified that any use, review, retransmission, dissemination, distribution, reproduction or any action taken in reliance upon this message is prohibited. If you received this in error, please contact the sender and delete the message and any related attachments or copies.</t>
  </si>
  <si>
    <t>Mike Farhat</t>
  </si>
  <si>
    <t>Mike Farhat - Blue Circle Ins.  NC-BCI-BE02 Drive Expansion</t>
  </si>
  <si>
    <t>### Summary of Issue_x000D_
Blue Circle Ins.  NC-BCI-BE02 Drive Expansion_x000D_
  _x000D_
### Details of Issue_x000D_
-Please Expand NC-BCI-BE02\D: drive by 30 GB_x000D_
  _x000D_
### Have you opened a ticket about this issue before?  _x000D_
 No  _x000D_
  _x000D_
### How many users are impacted by this issue?  _x000D_
 Everyone  _x000D_
  _x000D_
### How would you classify this issue?  _x000D_
 Work Impacting</t>
  </si>
  <si>
    <t>Shelley Rines</t>
  </si>
  <si>
    <t>FW: Screen shot</t>
  </si>
  <si>
    <t>I canâ€™t read stuff on my screen.Â  I bought a new computer, and every once in a while the screen goes weird.Â  I had copied the cloud icon onto my new computer, and it may not be connecting properly.Â  I works for a while and then it starts getting corrupted.
Shelley
From: Shelley Rines
Sent: Monday, February 8, 2021 1:06 PM
To: Shelley Rines &lt;shelley@total-r.com&gt;
Subject: Screen shot
[image]
Sent from my iPhone</t>
  </si>
  <si>
    <t>R3 Deconstruction and Demolition</t>
  </si>
  <si>
    <t>Cathy Hawryluk</t>
  </si>
  <si>
    <t>Office Group</t>
  </si>
  <si>
    <t>Can you please add stratco@r3demo to the Office Group,
Thanks
Cathy Hawryluk
R3 Deconstruction and Demolition Inc.
RELATIONSHIPS â€“ RESULTS â€“ REPUTATION
#100-18215 114 Avenue NW, Edmonton
PH: 780-453-3326
[R3 Banner]</t>
  </si>
  <si>
    <t>Jaimie Clements</t>
  </si>
  <si>
    <t>Jaimie Clements - Kim Bussey</t>
  </si>
  <si>
    <t>### Summary of Issue_x000D_
Kim Bussey_x000D_
  _x000D_
### Details of Issue_x000D_
Please arrange for Kim Bussey to have full controls &amp; permissions to all folders under: \e4calberta.internal\E4C Shared Folders\New Projects\Elizabeth House
Also, please update her signature to be:
Kim Bussey e4c
Community Engagement Coordinator 
The Lodge at Elizabeth House
KBussey@e4calberta.org 
T 	780.479.1609 
C  780.818.2721 
Edmonton AB
e4calberta.org 
Please also make sure she has printer access to the Elizabeth House printer_x000D_
  _x000D_
### If your callback number is different than what's on record, please provide it below._x000D_
780-909-8957_x000D_
  _x000D_
### Have you opened a ticket about this issue before?  _x000D_
 No  _x000D_
  _x000D_
### How many users are impacted by this issue?  _x000D_
 One  _x000D_
  _x000D_
### How would you classify this issue?  _x000D_
 Work Impacting</t>
  </si>
  <si>
    <t>Blake Hamilton</t>
  </si>
  <si>
    <t>e mail</t>
  </si>
  <si>
    <t>Please remove me from your e mail list. 
Regards Dave
Sent from my iPhone</t>
  </si>
  <si>
    <t>RE: URGENT HELP</t>
  </si>
  <si>
    <t>add this ip to firewall 83.32.124.183
-----Original Message-----
From: "Corey Hobbs" &lt;corey.hobbs@mcmurraymetis.org&gt;
Sent: Monday, February 8, 2021 2:10pm
To: "Next Digital Support" &lt;help@nextdigital.ca&gt;
Cc: "myles@cacorp.ca" &lt;myles@cacorp.ca&gt;, "Vito Filippi" &lt;Vito.Filippi@mnp.ca&gt;, "Shawn E Smith" &lt;Shawn.E.Smith@mnp.ca&gt;
Subject: URGENT HELP
Hey
Emails are coming from our CEO that he didnâ€™t sent. They are coming from a Gmail account.
The emails are going to other employees.
Can you help shut this down ASAP.
Block this email as well from incoming on all users.
Thanks Corey
[Image]
Sent from my Bell Samsung device over Canadaâ€™s largest network.</t>
  </si>
  <si>
    <t>URGENT HELP</t>
  </si>
  <si>
    <t>Hey
Emails are coming from our CEO that he didnâ€™t sent. They are coming from a Gmail account.
The emails are going to other employees.
Can you help shut this down ASAP.
Block this email as well from incoming on all users.
Thanks Corey
[Image]
Sent from my Bell Samsung device over Canadaâ€™s largest network.</t>
  </si>
  <si>
    <t>Tanja Vasalic</t>
  </si>
  <si>
    <t>Tanja Vasalic - Signature change - Add pronouns</t>
  </si>
  <si>
    <t>Hello I would like to add something onto my digital signature in my email.</t>
  </si>
  <si>
    <t>Brandie Hermary</t>
  </si>
  <si>
    <t>Brandie Hermary - Folder Access and title change for Breanne Stephen</t>
  </si>
  <si>
    <t>### Summary of Issue_x000D_
Folder Access and title change_x000D_
  _x000D_
### Details of Issue_x000D_
I have a staff named Breanne Stephen who moved into a lead role. I need her to have access to our lead folder. I also need her title changed to Transitional Case Coordinator._x000D_
  _x000D_
### If your callback number is different than what's on record, please provide it below._x000D_
7809105661_x000D_
  _x000D_
### Have you opened a ticket about this issue before?  _x000D_
 No  _x000D_
  _x000D_
### How many users are impacted by this issue?  _x000D_
 One  _x000D_
  _x000D_
### How would you classify this issue?  _x000D_
 Work Impacting</t>
  </si>
  <si>
    <t>Erika Scott</t>
  </si>
  <si>
    <t>Erika Scott - Teams privileges</t>
  </si>
  <si>
    <t>Hello,
I am not sure but does mnp manage our privileges on teams or does someone internal have administrator access for that? I donâ€™t currently have any access to create new team channels for our my team and am wondering if that might be possible?
Thanks.
[image]
Erika Scott
Pronouns: she/her
Director of Philanthropy &amp; Community Relations
T: 587-573-3467 |E: ErikaS@caryacalgary.ca
180, 839 5 Ave SW | Calgary, AB | T2P 3C8
[image]Â [image][instagram-1675670]Â [image]
carya (formerly Calgary Family Services)
Stay up to date with the latest carya news, programs, and events by signing up for ourmonthly newsletter.
In the spirit of our efforts to promote reconciliation, we acknowledge the traditional territories and oral practices of the Blackfoot, the Tsuut'ina, the Stoney Nakoda First Nations, the MÃ©tis Nation Region 3, and all people who make their homes in the Treaty 7 region of Southern Alberta. We also respectfully acknowledge that the province of Alberta is comprised of Treaty 6, Treaty 7, and Treaty 8 territory, the traditional lands of First Nations and MÃ©tis peoples.
No form of electronic communication is secure and may be intercepted by others. Carya cannot guarantee the receipt of electronic communication nor a timely response. Where communication is confidential or time sensitive we recommend you call 403-269-9888 during business hours (Monday-Friday, 8:30am-4:30pm). For immediate crisis response please contact the Distress Centre Crisis Line at 403-266-HELP (4537) and in case of an emergency dial 911.
This e-mail is intended solely for the person or entity to which it is addressed and may contain confidential and/or privileged information. Any review, dissemination, copying, printing, forwarding or other use of this e-mail by persons or entities other than the addressee is prohibited. If you have received this e-mail in error, please contact the sender immediately and delete the material from your computer.</t>
  </si>
  <si>
    <t>Luiza Coelho - Notice of Upcoming New Hire - Tam Nguyen</t>
  </si>
  <si>
    <t>Hello,
This email is to notify you of an upcoming employee.
We need to enable the account for Tam Nguyen
Distribution List &amp; Action Required â€“ Tam NguyenÂ Â  hiring date Feb.8, 2021
IT
RDS: Request for RDS/Network Access.
E-mail: Request for Outlook Account.
E-mail Signature Set-up:
-Â Â Â Â Â Â Â Â Â  Name: Tam Nguyen
-Â Â Â Â Â Â Â Â Â  Position: Teacher
-Â Â Â Â Â Â Â Â Â  Program: Early Learning
Folder Access:
Please mirror Shannon Brown
Please send account details to: Jennifer Aromin (JAromin@e4calberta.org)
Payroll/Finance
Payroll details will be provided once processed.
Reception
Please update existing employee list.
Communications
For information only.
L&amp;D
For information only.
Facilities Manager (interim David P.)
NA
M.LuizaCoelho e4c
Senior Manager
mlcoelho@e4calberta.org
T780.424.7543 ext 132
9321 Jasper Avenue, Edmonton AB T5H 3T7
e4calberta.org
[image]
This message is intended for the use of the individual or entity to which it is addressed and may contain information that is privileged and confidential. If you are not the intended recipient or the employee responsible for delivery of the message to the intended recipient, please be advised that any dissemination, distribution or copying of this message is strictly prohibited. If you have received this message in error, please notify us immediately by telephone and return the original email to us or destroy this message.
[image]e4c supports environmental conservation - please print wisely.
From: Jennifer Aromin 
Sent: Monday, February 08, 2021 11:14 AM
To: M.Luiza Coelho &lt;mlcoelho@e4calberta.org&gt;
Subject: RE: RDS For Tam Nguyen
If they can mirror Shannon Brown that would be great!
Her first day is today and HR is waiting on a few more documents.Â  This is probably why they didnâ€™t send it forward.
JenniferAromin e4c
Site Manager for Early Learning Services 
Early Learning
JAromin@e4calberta.org
T
780-426-3666 ext 223
C
780-722-9781
F
780-475-1020
Edmonton AB T5A 4L4
e4calberta.org
[image]
This message is intended for the use of the individual or entity to which it is addressed and may contain information that is privileged and confidential. If you are not the intended recipient or the employee responsible for delivery of the message to the intended recipient, please be advised that any dissemination, distribution or copying of this message is strictly prohibited. If you have received this message in error, please notify us immediately by telephone and return the original email to us or destroy this message.
[image]e4c supports environmental conservation - please print wisely.
From: M.Luiza Coelho 
Sent: Monday, February 8, 2021 11:07 AM
To: Jennifer Aromin &lt;JAromin@e4calberta.org&gt;
Subject: RE: RDS For Tam Nguyen
Is she a new hire?
Normally HR sends the request, but a can definitely follow up.
What access she should have it?
M.LuizaCoelho e4c
Senior Manager
mlcoelho@e4calberta.org
T
780.424.7543 ext 132
9321 Jasper Avenue, Edmonton AB T5H 3T7
e4calberta.org
[image]
This message is intended for the use of the individual or entity to which it is addressed and may contain information that is privileged and confidential. If you are not the intended recipient or the employee responsible for delivery of the message to the intended recipient, please be advised that any dissemination, distribution or copying of this message is strictly prohibited. If you have received this message in error, please notify us immediately by telephone and return the original email to us or destroy this message.
[image]e4c supports environmental conservation - please print wisely.
From: Jennifer Aromin 
Sent: Monday, February 08, 2021 11:04 AM
To: M.Luiza Coelho &lt;mlcoelho@e4calberta.org&gt;
Subject: RDS For Tam Nguyen
Hi Luiza,
How are you?Â  I am just following up on Tam Nguyen RDS account as she started today.
Should I go through MNP directly? 
Thanks, 
J
JenniferAromin e4c
Site Manager for Early Learning Services 
Early Learning
JAromin@e4calberta.org
T
780-426-3666 ext 223
C
780-722-9781
F
780-4...</t>
  </si>
  <si>
    <t>MFP Resources Corporation</t>
  </si>
  <si>
    <t>Problem - MFP Resources - Teams Calling within RDS</t>
  </si>
  <si>
    <t>### Problems are the causes of incidents. This form is intended to collect identified problems and known issues that exist for a Client. Examples include systemic ISP problems, and reoccurring issues.  _x000D_
  _x000D_
### Which Client has this problem?_x000D_
MFP Resources_x000D_
  _x000D_
### Summarize the nature of the problem?_x000D_
Teams Calling within RDS_x000D_
  _x000D_
### Provide a full description of the problem and any applicable history relating to it_x000D_
Client would like to use Teams from within Next Cloud RDS to do video meeting/conferencing
Does not want to have to go to desktop</t>
  </si>
  <si>
    <t>Hewes Color Printer transition</t>
  </si>
  <si>
    <t>Hello Lance,
It is confirmed that we will be retiring the Hewes Color Accounting Printer. We will leave it in place for the time being and review its function in 60 days. We are not ordering more toner at this time. Do not remove this printer device from users.
I would like to immediately install the Hewes Color Ricoh color copier for any color copies Â to the Hewes and SHPK RDS ThinPrint users who are physically in the Hewes office, to have an option to select this printer. It is already on the Print Service as the Ricoh Fax, but will need a separate printer created to be the â€œHewes Ricoh Colorâ€ Printer. We only use 8.5 x 11â€ paper in this device.
We will not be ordering a replacement color printer at this time.
Thanks,
Mel
Melody Baldry
Manager &amp; Privacy Officer
Align Orthodontics
Edmonton, Alberta, Canada
Direct: 780.395.2999
Edmonton Main: 780.463.5141
Sherwood Park Main: 780.449.6597
www.alignortho.com
[Email Logo Template]
Confidentiality Notice: This message and any attachments are solely for the intended recipient and may contain confidential or privileged information. If you are not the intended recipient, any disclosure, copying, use, or distribution of the information included in this message and any attachment is prohibited. If you have received this communication in error, please notify myself, by reply email and immediately and permanently delete this message and any attachments.</t>
  </si>
  <si>
    <t>Blue Circle Insurance Brokers</t>
  </si>
  <si>
    <t>Laura Culham-Lovig</t>
  </si>
  <si>
    <t>Sarah Sinclair - Email settings - Laura Culham-Lovig</t>
  </si>
  <si>
    <t>### Summary of Issue_x000D_
Email settings - Laura Culham-Lovig_x000D_
  _x000D_
### Details of Issue_x000D_
Hi there, I need to give Laura access to send emails "on behalf of" or "from" the documents@gobluecircle.com email address from her own inbox. 
Zheng Yuan and myself have this capability already, I just need that replicated for Laura. Thank you!_x000D_
  _x000D_
### Have you opened a ticket about this issue before?  _x000D_
 No  _x000D_
  _x000D_
### How many users are impacted by this issue?  _x000D_
 One  _x000D_
  _x000D_
### How would you classify this issue?  _x000D_
 Work Impacting</t>
  </si>
  <si>
    <t>Toye, Cindy - New Hire, February 10, 2021</t>
  </si>
  <si>
    <t>Good morning,
Please be advised that we have Cindy Toye who will be starting as a Coordinator on February 10, 2021 â€“ please see attached form for details.
Once her credentials to Carya Email/Cloud are ready, please let me know (please useLacost3!@# as a temporary password).
Thanks,
Angeli
[image]
Angeli AlipioBBA
HR Generalist
T: 403.205.5233 |C: 403.619.7126 | E: AngeliA@caryacalgary.ca| F: 403.205.5281
180, 839 5 Ave SW | Calgary, AB | T2P 3C8
[image]Â [image]Â [image]
carya (formerly Calgary Family Services)
We are working remotely to help Calgarians through the COVID-19 pandemic. Please reach out to us if you need support.carya is here for you.
In the spirit of our efforts to promote reconciliation, we acknowledge the traditional territories and oral practices of the Blackfoot, the Tsuut'ina, the Stoney Nakoda First Nations, the MÃ©tis Nation Region 3, and all people who make their homes in the Treaty 7 region of Southern Alberta. We also respectfully acknowledge that the province of Alberta is comprised of Treaty 6, Treaty 7, and Treaty 8 territory, the traditional lands of First Nations and MÃ©tis peoples.
No form of electronic communication is secure and may be intercepted by others. Carya cannot guarantee the receipt of electronic communication nor a timely response. Where communication is confidential or time sensitive we recommend you call 403-269-9888 during business hours (Monday-Friday, 8:30am-4:30pm). For immediate crisis response please contact the Distress Centre Crisis Line at 403-266-HELP (4537) and in case of an emergency dial 911.
This e-mail is intended solely for the person or entity to which it is addressed and may contain confidential and/or privileged information. Any review, dissemination, copying, printing, forwarding or other use of this e-mail by persons or entities other than the addressee is prohibited. If you have received this e-mail in error, please contact the sender immediately and delete the material from your computer.</t>
  </si>
  <si>
    <t>Bankert, Tyson - Rehire, February 9, 2021</t>
  </si>
  <si>
    <t>Good morning,
Please be advised that Tyson will be returning to work tomorrow, February 9, 2021 â€“ please see attached form for details.
Please advise when his credentials are ready for Computer/Cloud (please useL@coste!@# as a temporary password).
If you have any questions, please let me know.
Thanks,
Angeli
[image]
Angeli AlipioBBA
HR Generalist
T: 403.205.5233 |C: 403.619.7126 | E: AngeliA@caryacalgary.ca| F: 403.205.5281
180, 839 5 Ave SW | Calgary, AB | T2P 3C8
[image]Â [image]Â [image]
carya (formerly Calgary Family Services)
We are working remotely to help Calgarians through the COVID-19 pandemic. Please reach out to us if you need support.carya is here for you.
In the spirit of our efforts to promote reconciliation, we acknowledge the traditional territories and oral practices of the Blackfoot, the Tsuut'ina, the Stoney Nakoda First Nations, the MÃ©tis Nation Region 3, and all people who make their homes in the Treaty 7 region of Southern Alberta. We also respectfully acknowledge that the province of Alberta is comprised of Treaty 6, Treaty 7, and Treaty 8 territory, the traditional lands of First Nations and MÃ©tis peoples.
No form of electronic communication is secure and may be intercepted by others. Carya cannot guarantee the receipt of electronic communication nor a timely response. Where communication is confidential or time sensitive we recommend you call 403-269-9888 during business hours (Monday-Friday, 8:30am-4:30pm). For immediate crisis response please contact the Distress Centre Crisis Line at 403-266-HELP (4537) and in case of an emergency dial 911.
This e-mail is intended solely for the person or entity to which it is addressed and may contain confidential and/or privileged information. Any review, dissemination, copying, printing, forwarding or other use of this e-mail by persons or entities other than the addressee is prohibited. If you have received this e-mail in error, please contact the sender immediately and delete the material from your computer.</t>
  </si>
  <si>
    <t>Care Pros</t>
  </si>
  <si>
    <t>Haley O'Neill</t>
  </si>
  <si>
    <t>Access to online resources</t>
  </si>
  <si>
    <t>Hello,
With the new Sophos web protection system on our computers, I realize it has set some restrictions in terms of the content it allows us to see i.e. sex education. However, is there a way to differentiate what websites it filters and allowing access to resources re. sex ed? I require access to resources that have been sent for a CarePros client by their behaviour specialist, but I cannot access because of the Sophos system. Going forward, especially working with teens and training our staff to facilitate these conversations, these types of resources will be helpful to have access to. Are we able to change this please?
Thank you,
HaleyÂ O'NeillÂ Â (Pronouns:Â She/Her)
Recreation Therapist
(780)Â 996-4237
haley@CarePros.ca
CarePros.ca
#201,Â 4432 Calgary Trail NWÂ  Edmonton, AB T6H 4A6</t>
  </si>
  <si>
    <t>Sheila Anne Bass</t>
  </si>
  <si>
    <t>Voice and Video not working for Business Connect meetings</t>
  </si>
  <si>
    <t>This Morning with our Business Connect meeting I was unable to start up my video. When the meeting was already in progress. I could hear and see everyone. My voice and video was not working. The only way I could communicate was through chat and to type. Then half way through some boxes came up and interrupted my meeting. I had to exit the meeting and restart. I still could not get any video or voice to join in the Business Connect meeting. I could have some help with this?</t>
  </si>
  <si>
    <t>Matt Patrick - Nunavut Planning Commission - Backup Settings Review</t>
  </si>
  <si>
    <t>### Summary of Issue_x000D_
Nunavut Planning Commission - Backup Settings Review_x000D_
  _x000D_
### Details of Issue_x000D_
Please review the Veeam backup jobs and notifications to review them with current standards.  Noted that nextdigital.ca addresses and a distribution groups was still in service for the daily jobs._x000D_
  _x000D_
### Have you opened a ticket about this issue before?  _x000D_
 No  _x000D_
  _x000D_
### How many users are impacted by this issue?  _x000D_
 One  _x000D_
  _x000D_
### How would you classify this issue?  _x000D_
 Minor Inconvenience</t>
  </si>
  <si>
    <t>Charlene Karl</t>
  </si>
  <si>
    <t>Charlene Karl - Registration Required for Bluebeam Revu</t>
  </si>
  <si>
    <t>### Summary of Issue_x000D_
Registration Required for Bluebeam Revu_x000D_
  _x000D_
### Details of Issue_x000D_
Bluebeam asks for product registration when trying to switch to Revu mode._x000D_
  _x000D_
### Have you opened a ticket about this issue before?  _x000D_
 No  _x000D_
  _x000D_
### How many users are impacted by this issue?  _x000D_
 One  _x000D_
  _x000D_
### How would you classify this issue?  _x000D_
 Minor Inconvenience</t>
  </si>
  <si>
    <t>Nicole Malenczak</t>
  </si>
  <si>
    <t>Nicole Malenczak - Why does my calendar lose it's color coding sometimes?</t>
  </si>
  <si>
    <t>### Summary of Issue_x000D_
Why does my calendar lose it's color coding sometimes?_x000D_
  _x000D_
### Details of Issue_x000D_
Some days I log in an my calendar has lost all its color coding_x000D_
  _x000D_
### Have you opened a ticket about this issue before?  _x000D_
 No  _x000D_
  _x000D_
### How many users are impacted by this issue?  _x000D_
 One  _x000D_
  _x000D_
### How would you classify this issue?  _x000D_
 Minor Inconvenience</t>
  </si>
  <si>
    <t>Rob Zimmerman</t>
  </si>
  <si>
    <t>Rob Zimmerman - Group client not receiving ClientConnect invitation</t>
  </si>
  <si>
    <t>### Summary of Issue_x000D_
Group client not recieving ClientConnect invitation_x000D_
  _x000D_
### Details of Issue_x000D_
Client has checked her spam/junk folder and we have verified her e-mail address. Send 3 invitations and recieved none of them. Wondering if this is an issue related to switching of the e-mail server as this was found to be the cause of similar issues in December._x000D_
  _x000D_
### If your callback number is different than what's on record, please provide it below._x000D_
403-354-1112_x000D_
  _x000D_
### Have you opened a ticket about this issue before?  _x000D_
 Yes  _x000D_
  _x000D_
### How many users are impacted by this issue?  _x000D_
 One  _x000D_
  _x000D_
### How would you classify this issue?  _x000D_
 Work Impacting</t>
  </si>
  <si>
    <t>FW: SQL Server Message</t>
  </si>
  <si>
    <t>Hi There,
I received this email message, could you please explain what this message means?
Thanks,
Jana
Jana Lumsden       CPA, CMA
Chief Financial Officer
EÂ Â Â Â Â  jlumsden@mhkinsurance.com
DÂ Â Â Â  587.525.6029Â 
CÂ Â Â Â  780.999.7111
12316-107 Avenue, Edmonton, AB  T5M 1Z1
www.mhkinsurance.com
[image]
[image]
We're here to help with your insurance needs. Emails       and phone calls are still encouraged. Appointments are required for       in-office broker meetings. Please wear a mask when       visiting.
MHK welcomes       e-Transfer payments to banking@mhkinsurance.â€‰com.
If you       receive this email in error, please notify us by reply email and destroy       this message. MHK complies with Canada's Anti-Spam and Alberta's PIPA       Legislations. If you no longer wish to receive emails from MHK, please       reply with 'Unsubscribe' in the subject   line.
-----Original Message-----
From: Next Digital &lt;ndigital@mhkinsurance.com&gt; 
Sent: Sunday, February 7, 2021 1:56 AM
To: Nicole Greidanus &lt;ngreidanus@mhkinsurance.com&gt;
Subject: SQL Server Message
Microsoft(R) Server Maintenance Utility (Unicode) Version 13.0.5102
Report was generated on "MHKE-DB-01".
Maintenance Plan: Keal - MaintenancePlan
Duration: 01:55:55
Status: Succeeded.
Details:
Rebuild Index (MHKE-DB-01)
Rebuild index on Local server connection
Databases that have a compatibility level of 70 (SQL Server version 7.0) will be skipped.
Databases: All user databases
Object: Tables and views
Original amount of free space
Task start: 2021-02-07T00:05:46.
Task end: 2021-02-07T00:06:07.
Success
Command:
GO
GO
USE [dokxp1]
GO
ALTER INDEX [DM_Document_Folder] ON [dbo].[DM_Document] REBUILD PARTITION = ALL WITH (PAD_INDEX = OFF, STATISTICS_NORECOMPUTE = OFF, SORT_IN_TEMPDB = OFF, IGNORE_DUP_KEY = OFF, ONLINE = OFF, ALLOW_ROW_LOCKS = ON, ALLOW_PAGE_LOCKS = ON)
GO
GO
GO
USE [MHKRS]
GO
ALTER INDEX [PK__PPVVIN__36047C74B62991F2] ON [dbo].[PPVVIN] REBUILD PARTITION = ALL WITH (PAD_INDEX = OFF, STATISTICS_NORECOMPUTE = OFF, SORT_IN_TEMPDB = OFF, ONLINE = OFF, ALLOW_ROW_LOCKS = ON, ALLOW_PAGE_LOCKS = ON)
GO
GO
USE [sigxp1]
GO
ALTER INDEX [MailZipIdx] ON [dbo].[AFW_Applicant] REBUILD PARTITION = ALL WITH (PAD_INDEX = OFF, STATISTICS_NORECOMPUTE = OFF, SORT_IN_TEMPDB = OFF, ONLINE = OFF, ALLOW_ROW_LOCKS = ON, ALLOW_PAGE_LOCKS = ON)
GO
USE [sigxp1]
GO
ALTER INDEX [AFW_OriginalPolIdIdx] ON [dbo].[AFW_BasicPolInfo] REBUILD PARTITION = ALL WITH (PAD_INDEX = OFF, STATISTICS_NORECOMPUTE = OFF, SORT_IN_TEMPDB = OFF, ONLINE = OFF, ALLOW_ROW_LOCKS = ON, ALLOW_PAGE_LOCKS = ON)
GO
USE [sigxp1]
GO
ALTER INDEX [AFW_ShortCoPolNoIdx] ON [dbo].[AFW_BasicPolInfo] REBUILD PARTITION = ALL WITH (PAD_INDEX = OFF, STATISTICS_NORECOMPUTE = OFF, SORT_IN_TEMPDB = OFF, ONLINE = OFF, ALLOW_ROW_LOCKS = ON, ALLOW_PAGE_LOCKS = ON)
GO
USE [sigxp1]
GO
ALTER INDEX [IX_PolNo] ON [dbo].[AFW_BasicPolInfo] REBUILD PARTITION = ALL WITH (PAD_INDEX = OFF, STATISTICS_NORECOMPUTE = OFF, SORT_IN_TEMPDB = OFF, ONLINE = OFF, ALLOW_ROW_LOCKS = ON, ALLOW_PAGE_LOCKS = ON)
GO
USE [sigxp1]
GO
ALTER INDEX [AFW_CustIdIdx] ON [dbo].[AFW_BillingHeader] REBUILD PARTITION = ALL WITH (PAD_INDEX = OFF, STATISTICS_NORECOMPUTE = OFF, SORT_IN_TEMPDB = OFF, ONLINE = OFF, ALLOW_ROW_LOCKS = ON, ALLOW_PAGE_LOCKS = ON)
GO
USE [sigxp1]
GO
ALTER INDEX [AFW_CustIdIdx] ON [dbo].[AFW_InvoiceNumber] REBUILD PARTITION = ALL WITH (PAD_INDEX = OFF, STATISTICS_NORECOMPUTE = OFF, SORT_IN_TEMPDB = OFF, ONLINE = OFF, ALLOW_ROW_LOCKS = ON, ALLOW_PAGE_LOCKS = ON)
GO
USE [sigxp1]
GO
ALTER INDEX [AFW_ClaimIdIdx] ON [dbo].[AFW_PreviousClaim] REBUILD PARTITION = ALL WITH (PAD_INDEX = OFF, STATISTICS_NORECOMPUTE = OFF, SORT_IN_TEMPDB = OFF, IGNORE_DUP_KEY = OFF, ONLINE = OFF, ALLOW_ROW_LOCKS = ON, ALLOW_PAGE_LOCKS = ON)
GO
USE [sigxp1]
GO
ALTER INDEX [AFW_CustIdIdx] ON [dbo].[AFW_Suspense] REBUILD PARTITION = ALL WITH (PAD_INDEX = OFF, STATISTICS_NORECOMPUTE = OFF, SORT_IN_TEMPDB = OFF, ONLINE = OFF, ALLOW_ROW_LOCKS = ON, ALLOW_PAGE_LOCKS = ON)
GO
USE [sigxp1]
GO
ALT...</t>
  </si>
  <si>
    <t>Shauna Pivarnyik</t>
  </si>
  <si>
    <t>Shauna Pivarnyik - Office Move at Bowness Community Centre location</t>
  </si>
  <si>
    <t>### Summary of Issue_x000D_
Office Move at Bowness Community Centre location_x000D_
  _x000D_
### Details of Issue_x000D_
Hi There, 
The Bowmont Families Together team is moving from our office on the main floor of the Bowness Community Centre to a brand new office space on the second floor of the same building. We will need to have our IT moved upstairs. Not sure how to proceed :)_x000D_
  _x000D_
### If your callback number is different than what's on record, please provide it below._x000D_
403-519-5175_x000D_
  _x000D_
### Have you opened a ticket about this issue before?  _x000D_
 No  _x000D_
  _x000D_
### How many users are impacted by this issue?  _x000D_
 Some  _x000D_
  _x000D_
### How would you classify this issue?  _x000D_
 Minor Inconvenience</t>
  </si>
  <si>
    <t>Block sender</t>
  </si>
  <si>
    <t>Hi there
Could you please block this sender for everyone?Â  They made it through our spam filters and I see a few of us received it.
Thank you
Alanna
Alanna Rast       CAIB, CIP
Manager, Commercial Lines/Executives
EÂ Â Â Â Â  arast@mhkinsurance.com
DÂ Â Â Â  587.525.6001Â 
CÂ Â Â Â  780.940.2131
12316-107 Avenue, Edmonton, AB  T5M 1Z1
www.mhkinsurance.com
[image]
[image]
We're here to help with your insurance needs. Emails       and phone calls are still encouraged. Appointments are required for       in-office broker meetings. Please wear a mask when       visiting.
MHK welcomes       e-Transfer payments to banking@mhkinsurance.â€‰com.
If you       receive this email in error, please notify us by reply email and destroy       this message. MHK complies with Canada's Anti-Spam and Alberta's PIPA       Legislations. If you no longer wish to receive emails from MHK, please       reply with 'Unsubscribe' in the subject   line.
From: Gabriel Arthur &lt;graent311@gmail.com&gt;
Sent: Sunday, February 7, 2021 9:40 PM
Subject: Re: You were recommended
Good day, SomebodyÂ  recommended you by a mutual associate. I write you regarding an investment of bearer bonds I made on behalf of a client. The investment was made in 2009 and has been under my
Warning! This message was sent from outside your organization and we are unable to verify the sender.
Allow sender | Block sender
sophospsmartbannerend
Good day,
SomebodyÂ  recommended you by a mutual associate. I write you regarding an investment of bearer bonds I made on behalf of a client. The investment was made in 2009 and has been under my management.
The said investor is deceased. The window is now available to assign these bonds to any name or company of my choice. I have all the necessary information to achieve this within 10 banking days.
The total value of the bond is 50 million pounds sterling, in a million pound denominations.
If you can handle this, do contact me at your earliest convenience via my Email:mgabrielarthurr@gmail.com
Thanks
GabrielÂ  Arthur</t>
  </si>
  <si>
    <t>AJ Whitford</t>
  </si>
  <si>
    <t>AJ Whitford - Missing Sophos</t>
  </si>
  <si>
    <t>### Summary of Issue_x000D_
Missing Sophos_x000D_
  _x000D_
### Details of Issue_x000D_
Missing Sophos on new workstation_x000D_
  _x000D_
### Have you opened a ticket about this issue before?  _x000D_
 No  _x000D_
  _x000D_
### How many users are impacted by this issue?  _x000D_
 One  _x000D_
  _x000D_
### How would you classify this issue?  _x000D_
 Minor Inconvenience</t>
  </si>
  <si>
    <t>Dora Jones</t>
  </si>
  <si>
    <t>Login problems new user URGENT</t>
  </si>
  <si>
    <t>Hi there,
Darlene Chinna is having issues logging in this morning.Â  She turned on the computer and it is locked. Â Please call me as soon as possible.
Thanks
Dora Jones       CAIB, CIP
Assistant Manager, Personal Lines
EÂ Â Â Â Â  djones@mhkinsurance.com
DÂ Â Â Â  587.525.6034Â 
CÂ Â Â Â  780.667.4609
12316-107 Avenue, Edmonton, AB T5M 1Z1
www.mhkinsurance.com
[image]
[image]
We're here to help with your insurance needs. Emails       and phone calls are still encouraged. Appointments are required for       in-office broker meetings. Please wear a mask when       visiting.
MHK welcomes       e-Transfer payments to banking@mhkinsurance.â€‰com.
If you       receive this email in error, please notify us by reply email and destroy       this message. MHK complies with Canada's Anti-Spam and Alberta's PIPA       Legislations. If you no longer wish to receive emails from MHK, please       reply with 'Unsubscribe' in the subject   line.</t>
  </si>
  <si>
    <t>Jordyn Pivarnyik</t>
  </si>
  <si>
    <t>New Phone - Authenticator not set up</t>
  </si>
  <si>
    <t>Hello,
I did not set up the Authenticator app on my new phone prior to wiping my old phone. Now I cannot get my work email on my new phone as Authenticator keeps sending the code to my mobile device, my old mobile device.
Can someone clear this so I can finish the setup on my new phone?
[image]
Jordyn Pivarnyik
Lean CoordinatorÂ 
Phone/Fax: 780.665.3246Â |Â Mobile: 780.218.1700
21421 111 Avenue NWÂ |Â Edmonton, ABÂ |Â T5S 1Y1
[image][image][image]Â  Â Â [image][image]</t>
  </si>
  <si>
    <t>Azure Global Admin</t>
  </si>
  <si>
    <t>I need to discuss the azure global administrator accounts, do they need to be in a group or remove.
[image]
[image]
Amin Hirji
Senior Manager, Information Technology
Phone/Fax: 780.665.3275
21421 111 Avenue NWÂ |Â Edmonton, ABÂ |Â T5S 1Y1
[image]Â Â [image]Â Â [image]Â  Â  Â  Â  Â  Â  Â [image]Â [image]</t>
  </si>
  <si>
    <t>Raimund Schwind</t>
  </si>
  <si>
    <t>Raimund Schwind - ITMS Phone System Down</t>
  </si>
  <si>
    <t>### Summary of Issue_x000D_
ITMS Phone System Down_x000D_
  _x000D_
### Details of Issue_x000D_
our mitel system was not allowing anyone to log in or incoming or outgoing phone calls_x000D_
  _x000D_
### Have you opened a ticket about this issue before?  _x000D_
 No  _x000D_
  _x000D_
### How many users are impacted by this issue?  _x000D_
 Everyone  _x000D_
  _x000D_
### How would you classify this issue?  _x000D_
 Unable to Work</t>
  </si>
  <si>
    <t>Jayde Tessier</t>
  </si>
  <si>
    <t>Jayde Tessier - Printer: Datamax-Oâ€™Neil H-8308X</t>
  </si>
  <si>
    <t>### Summary of Issue_x000D_
Printer: Datamax-Oâ€™Neil H-8308X_x000D_
  _x000D_
### Details of Issue_x000D_
Good Morning,
The label printer dimensions are off in our settings and is printing out quarter pages, not full pages. Last time it took Sri a bit to figure out, but it ended up being the dimensions in the printer settings were wrong. Please adjust proper page dimensions on label printer Datamax-Oâ€™Neil H-8308X
Thanks_x000D_
  _x000D_
### Have you opened a ticket about this issue before?  _x000D_
 No  _x000D_
  _x000D_
### How many users are impacted by this issue?  _x000D_
 Everyone  _x000D_
  _x000D_
### How would you classify this issue?  _x000D_
 Work Impacting</t>
  </si>
  <si>
    <t>Jaret Slootweg</t>
  </si>
  <si>
    <t>Remove Computer from Domain</t>
  </si>
  <si>
    <t>Hello,
We have an employee that due to the pandemic we had to let go.Â  In part of his severance package we let him keep his company laptop.Â  We do however need you to contact him and remove it form the Calmont domain and set up a admin user account so he can use it going forward.Â Â  His contact information is Anthony Miller phone 905-531-4107. He is aware you will be calling.
Let me know if you require anything else.
Thank you,
Jaret Slootweg
Vice President of Operations
[Carter-Rentals-SIGNATURE-LOGO]
170 Barton St. E, Hamilton, ON, L8L 2W5
P: 905-527-9083
C: 905-531-1649
F: 905-546-1599
W:www.carterrentals.com
DISCLAIMER:
The information contained in this email is confidential, and may be privileged, and is intended for the use of the individual or entity (organization) named above. If you, the reader of this message, are not the intended recipient, the agent, or employee responsible for delivering this transmission to the intended recipient, you are prohibited from copying, disseminating, distributing, or in any way using any of the information contained in the email transmission. If you are not the intended party named on this email or if you believe that you have received it in error we ask that you will notify the sender immediately.</t>
  </si>
  <si>
    <t>Bianca Hilbert</t>
  </si>
  <si>
    <t>Bianca Hilbert - Need Vehicle Tracking in AutoCAD</t>
  </si>
  <si>
    <t>Hello,
I donâ€™t seem to have Vehicle Tracking in Cad.Â  Can you please help me out with this? I would appreciate your help as soon as possible as we have a presentation today and I need to check some clearances.
Bianca Hilbert, Associate
Architect SAA, PMP
Group2
Architecture Interior Design Ltd.
630c 10th Street E Saskatoon SK S7H 0G9
C +1 306 380 1236
group2.ca
Group2 is committed to being both responsive and responsible in navigating these extraordinary times with everyoneâ€™s safety in mind. Since the outset of the COVID-19 situation, we have enabled our employees to work remotely, allowing us to continue business operations and maintain our client commitments.
This email and any files transmitted with it are confidential and intended solely for the use of the individual or entity to whom they are addressed. If you have received this email in error please notify the system manager. This message contains confidential information and is intended only for the individual named. If you are not the named addressee you should not disseminate, distribute or copy this e-mail.</t>
  </si>
  <si>
    <t>Maintenance Billable</t>
  </si>
  <si>
    <t>Turn on QNAP02 at 4:00pm for weekly offline Backups</t>
  </si>
  <si>
    <t>Turn on QNAP02 at 4:00pm to perform weekly offline backup</t>
  </si>
  <si>
    <t>Managed Server - 03/25/2021</t>
  </si>
  <si>
    <t>Lenovo Managed Server Renewal - Expires 01-APR-2021</t>
  </si>
  <si>
    <t>AMP Financial Inc.</t>
  </si>
  <si>
    <t>Unhealthy identity synchronization notification: February 8, 2021 0:07 UTC</t>
  </si>
  <si>
    <t>Find out how to troubleshoot this issue.Â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[Microsoft Azure]
--- ---
---
Your identity synchronization from on-premises is unhealthy
On February 8, 2021 0:07 UTC, Azure Active Directory did not register a synchronization attempt from the identity synchronization tool in the last 24 hours for AMP Financial Inc. [ampfinancial.onmicrosoft.com].
For information on troubleshooting this issue, please see the directory synchronization troubleshooter resource.
--- ---
--- 
Do not reply to this message. It was sent from an unmonitored email account.
--- ---
---
[Facebook][Twitter][YouTube][LinkedIn]
--- ---
--- 
Privacy Statement
Microsoft Corporation, One Microsoft Way, Redmond, WA 98052
[Microsoft]
--- ---
---
[image]</t>
  </si>
  <si>
    <t>Lori Hoeksema</t>
  </si>
  <si>
    <t>FW: Robyn SAGE change</t>
  </si>
  <si>
    <t>Approved, IT please set up additional roles per attached.
[image]Â Lori Hoeksema
Vice President Finance
T:       +1 (780) 400-7430
C:       +1 (587) 335-0997
F:       +1 (780) 417-6496
E:       LHoeksema@siterg.com
W:       WWW.SITERG.COM
#170 - 120 Pembina Rd, Sherwood Park, Alberta, T8H 0M2
The information contained in this e-mail may       contain confidential or privileged material and is intended only for the       stated addressee(s). If you are not the valid addressee, the use,       disclosure, copying or distribution of this information is prohibited and       may be unlawful. If you have received this email message in error, please       notify the sender immediately and delete all copies of the message from       your computer. All information within or opinions expressed in this       message and/or any attachments are those of the author and are not       necessarily those of the Centurion Group.
From: Joanna Batchelor &lt;JBatchelor@siterg.com&gt; 
Sent: Saturday, February 6, 2021 10:01 AM
To: Lori Hoeksema &lt;LHoeksema@siterg.com&gt;; SITE - Sage Requests &lt;SageRequests@siterg.com&gt;
Subject: RE: Robyn SAGE change
Now with attachment.
[image]
Joanna Batchelor
Corporate Controller
T: +1 (403) 341-0030
C: +1 (587) 590-3973
F: +1 (403) 341-0089
E:JBatchelor@siterg.com
W:WWW.SITERG.COM
27312 - 213 TWP 394, Blackfalds, AB, T0M 0J0
The information contained in this e-mail may contain confidential or privileged material and is intended only for the stated addressee(s). If you are not the valid addressee, the use, disclosure, copying or distribution of this information is prohibited and may be unlawful. If you have received this email message in error, please notify the sender immediately and delete all copies of the message from your computer. All information within or opinions expressed in this message and/or any attachments are those of the author and are not necessarily those of the Centurion Group.
From: Joanna Batchelor 
Sent: Saturday, February 6, 2021 10:01 AM
To: Lori Hoeksema &lt;LHoeksema@siterg.com&gt;; SITE - Sage Requests &lt;SageRequests@siterg.com&gt;
Subject: Robyn SAGE change
Hi Lori,
Please review to see if the items checked make sense.
Thank you.</t>
  </si>
  <si>
    <t>IBSGAZDC02.igloo.local: GPSVC service is not running.  You have an important alert from Azure Active</t>
  </si>
  <si>
    <t>We have detected a critical alert on one of your instances.Â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[Microsoft Azure]
--- ---
---
[image]Â Alert for IBSGAZDC02.igloo.local                    
Youâ€™re receiving this email because we have detected a critical alert on one of your AdDomainService instances.
--- ---
--- 
Title:
--- 
GPSVC service is not running.
---
--- --- 
Description:
--- 
If the service is stopped or disabled, settings configured by the admin will not be applied and applications and components will not be manageable through Group Policy. Any components or applications that depend on the Group Policy component might not be functional if the service is disabled.
---
--- --- 
Raised:
--- 
February 6, 2021 1:04 UTC
---
--- --- 
Server:
--- 
IBSGAZDC02.igloo.local
---
--- --- 
Service:
--- 
igloo.local
---
--- --- 
Tenant:
--- 
Igloo Building Supplies Group
---
--- ---
---
--- 
Recommended action
1. Run 'net start gpsvc' on the affected Domain Controller.
To check health of your services monitored by Azure Active Directory Connect Health, visit the Azure AD Connect Health Portal.
If you no longer wish to receive these notifications, read the instructions for updating your settings. Only global administrators can change settings.
--- ---
---
[Facebook][Twitter][YouTube][LinkedIn]
--- ---
--- 
Privacy Statement
Microsoft Corporation, One Microsoft Way, Redmond, WA 98052
[Microsoft]
--- ---
---
[image]</t>
  </si>
  <si>
    <t>Advance Coating Solutions</t>
  </si>
  <si>
    <t>Fwd: IT Issues</t>
  </si>
  <si>
    <t>Shaun Gierent
Manager, Technical Services
PH.Â +1 7804246398       Ext 360
14505 114th Avenue NW
Edmonton,       AB
T5M2Y8
Shaun.Gierent@mnp.ca
mnp.ca [image]
[image]
From: Shawn Kubiski &lt;Shawn.Kubiski@mnp.ca&gt;
Sent: Friday, February 5, 2021, 8:25 p.m.
To: Shaun Gierent; John McLaughlin
Subject: RE: IT Issues
Garrett says his email is still not working on his laptop.
Shawn Kubiski
Partner
PH. +1 7804246398
14505 114th Avenue NW
Edmonton, AB
T5M2Y8
Shawn.Kubiski@mnp.ca
mnp.ca[image]
[image]
From: Shaun Gierent &lt;Shaun.Gierent@mnp.ca&gt; 
Sent: Friday, February 5, 2021 3:52 PM
To: Shawn Kubiski &lt;Shawn.Kubiski@mnp.ca&gt;; John McLaughlin &lt;John.McLaughlin@mnp.ca&gt;
Subject: RE: IT Issues
Yep, weâ€™ll get it taken care of
Shaun Gierent
Manager, Technical Services
PH.Â +1 7804246398 Ext 360
14505 114th Avenue NW
Edmonton, AB
T5M2Y8
Shaun.Gierent@mnp.ca
mnp.ca
[image]
[image]
From: Shawn Kubiski &lt;Shawn.Kubiski@mnp.ca&gt; 
Sent: February 5, 2021 3:50 PM
To: Shaun Gierent &lt;Shaun.Gierent@mnp.ca&gt;; John McLaughlin &lt;John.McLaughlin@mnp.ca&gt;
Subject: FW: IT Issues
Can you look into this and get something working for these guys. They are getting very frustrated with our service.
Shawn Kubiski
Partner
PH. +1 7804246398
14505 114th Avenue NW
Edmonton, AB
T5M2Y8
Shawn.Kubiski@mnp.ca
mnp.ca
[image]
[image]
From: Tiffany Polei &lt;tiffany@advancecoating.com&gt; 
Sent: Friday, February 5, 2021 3:46 PM
To: John McLaughlin &lt;John.McLaughlin@mnp.ca&gt;; Shawn Kubiski &lt;Shawn.Kubiski@mnp.ca&gt;
Cc: Garrett Repchinsky &lt;garrett@advancecoating.com&gt;
Subject: IT Issues
CAUTION:This email originated from outside of the MNP network. Be cautious of any embedded links and/or attachments.
MISE EN GARDE:Ce courriel ne provient pas du rÃ©seau de MNP. MÃ©fiez-vous des liens ou piÃ¨ces jointes quâ€™il pourrait contenir.
Good Afternoon Gentlemen,
Unfortunately, I have to send this e mail as a follow up to the conversation we had in your boardroom some weeks ago.
Both Garrett and Deepthi are still having e mail issues, and today Garrettâ€™s has escaladed to the point that he can no longer function on the e mail platform that has been designated to us. In addition, he completely lost access to Adobe earlier this afternoon. I did what I assume to be a temporary fix as we had time sensitive documents to send out, but I donâ€™t think it was a permanent solution.
Garrett has had one of your techâ€™s assisting him, but it has been hours and hours with no resolution.
My e mail yesterday was constantly updating the same two folders within my inbox, and it caused a delay in incoming mail and outgoing mail. In addition, my PDF editor has been acting up and restricting different tools at different times.
While accessing e mails on mobile devices, users including myself are experiencing difficulties opening attachments.
I am hoping that one of you can look into this and lend a hand, as we canâ€™t function without email/adobe.
Thanks again, and have a great weekend.
Tiffany Polei
Operations Coordinator
**Effective December 13, 2020 I will be working remotely. I can be reached via cell, or e mail**
[image]
OfficeÂ Â  780.449.1700
CellÂ Â Â Â Â Â  780.996.5312
14505-114 Avenue NW
Edmonton, ABÂ Â  T5M 2Y8
Tiffany@advancecoating.com</t>
  </si>
  <si>
    <t>Dell Server Renewal - Support Expires 22-MAR-2021</t>
  </si>
  <si>
    <t>Headwater Equipment</t>
  </si>
  <si>
    <t>Ray</t>
  </si>
  <si>
    <t>Veeam Renewal - 03/23/2021</t>
  </si>
  <si>
    <t>Cascade Countertops Ltd</t>
  </si>
  <si>
    <t>Jennifer Weerts</t>
  </si>
  <si>
    <t>Cascade Countertop - cable run to shop</t>
  </si>
  <si>
    <t>Shawn Kubiski
Partner
PH. +1 7804246398
14505 114th Avenue NW
Edmonton, AB
T5M2Y8
Shawn.Kubiski@mnp.ca
mnp.ca[image]
[image]
From: Dave Beharrell &lt;Dave.Beharrell@mnp.ca&gt; 
Sent: Friday, February 5, 2021 3:31 PM
To: Shawn Kubiski &lt;Shawn.Kubiski@mnp.ca&gt;
Subject: Ticket # 1358808 - Cascade Countertop - cable run to shop
Shawn,
Can you do up a quote for me for a cable run over at Cascade. Riccardo is requesting it.
Ticket # 1358808 â€“ here are the details:
- 2 CAT6 Ft6 cables - 30m each Â  @ $1.90 m sell price
- 4 Cat 6 Keystone jacks Â Â Â Â Â Â Â Â Â Â Â Â Â Â Â  @ $5.28 ea
â€“ 1 - 2 port faceplate Â Â Â Â Â Â Â Â Â Â Â Â Â Â Â Â Â Â Â Â  @ $2.24 ea
- 1 wall caddy Â Â Â Â Â Â Â Â Â Â Â Â Â Â Â Â Â Â Â  Â Â Â Â Â Â Â Â Â Â Â Â Â Â Â  @ $1.25 ea
- 4 hours labor Â Â Â Â Â Â Â Â Â Â Â Â Â Â Â Â Â  Â Â Â Â Â Â Â Â Â Â Â Â Â Â Â  @ $110 hr
thanks,
Dave Beharrell
Senior Project Specialist
PH.Â +1 7804246398 Ext 328
14505 114th Avenue NW
Edmonton, AB
T5M2Y8
Dave.Beharrell@mnp.ca
mnp.ca
[image]
[image]</t>
  </si>
  <si>
    <t>FW: laptop</t>
  </si>
  <si>
    <t>From: Courtney Holick &lt;Courtney.Holick@calmont.ca&gt;
Sent: February 5, 2021 3:47 PM
To: Sales - MNP IT Managed Services &lt;sales@mnptechnology.ca&gt;
Subject: laptop
CAUTION:This email originated from outside of the MNP network. Be cautious of any embedded links and/or attachments.
MISE EN GARDE:Ce courriel ne provient pas du rÃ©seau de MNP. MÃ©fiez-vous des liens ou piÃ¨ces jointes quâ€™il pourrait contenir.
Hi,
I need two laptops please.Â  One for Calgary sales at leasing and one for a spare I will keep here.
Courtney Holick, CPA, CMA
Chief Financial Officer
[image]
14610 Yellowhead Trail NW Edmonton, AB, T5L 3C5
Branch: 780-454-0491Â Â Â Â  Toll Free: 1-800-363-7819Â Â Â Â  Direct: 780-409-3359Â Â Â Â  Cell: 780-916-7296
Email: courtney.holick@calmont.ca
Website: www.calmont.ca
This email, and any files transmitted with it, are confidential and are intended solely for the use of the individual or entity to which they are addressed. Any unauthorized use or disclosure is prohibited. Please notify the sender if you have received this email in error. Thank you for your co-operation.</t>
  </si>
  <si>
    <t>Joanne Chaloner</t>
  </si>
  <si>
    <t>Joanne Chaloner - Sajjad moving offices, please move Adobe Acrobat</t>
  </si>
  <si>
    <t>### Summary of Issue_x000D_
Sajjad moving offices, please move Adobe Acrobat_x000D_
  _x000D_
### Details of Issue_x000D_
Sajjad is moving office from office 251 to 211.   Please move his Adobe Acrobat from computer No. X-7545 (office 251) to computer No. X-7567 (office 211).
Please also ensure that Word, Excel, and PowerPoint are on the local machine X-7545.
Both computers are turned on and ready to go._x000D_
  _x000D_
### Have you opened a ticket about this issue before?  _x000D_
 No  _x000D_
  _x000D_
### How many users are impacted by this issue?  _x000D_
 One  _x000D_
  _x000D_
### How would you classify this issue?  _x000D_
 Work Impacting</t>
  </si>
  <si>
    <t>From: Courtney Holick &lt;Courtney.Holick@calmont.ca&gt; 
Sent: Friday, February 5, 2021 3:47 PM
To: Sales - MNP IT Managed Services &lt;sales@mnptechnology.ca&gt;
Subject: laptop
CAUTION:This email originated from outside of the MNP network. Be cautious of any embedded links and/or attachments.
MISE EN GARDE:Ce courriel ne provient pas du rÃ©seau de MNP. MÃ©fiez-vous des liens ou piÃ¨ces jointes quâ€™il pourrait contenir.
Hi,
I need two laptops please.Â  One for Calgary sales at leasing and one for a spare I will keep here.
Courtney Holick, CPA, CMA
Chief Financial Officer
[image]
14610 Yellowhead Trail NW Edmonton, AB, T5L 3C5
Branch: 780-454-0491Â Â Â Â  Toll Free: 1-800-363-7819Â Â Â Â  Direct: 780-409-3359Â Â Â Â  Cell: 780-916-7296
Email:courtney.holick@calmont.ca
Website:www.calmont.ca
This email, and any files transmitted with it, are confidential and are intended solely for the use of the individual or entity to which they are addressed. Any unauthorized use or disclosure is prohibited. Please notify the sender if you have received this email in error. Thank you for your co-operation.</t>
  </si>
  <si>
    <t>Luiza Coelho - email directory update</t>
  </si>
  <si>
    <t>Hi there, 
Please remove IT Help Desk help@nextdigital.ca from e4c email directory and add Support - MNP IT Managed Services support@mnptechnology.ca
Let me know if you have any questions, 
Thanks
Luiza
M.Luiza Coelho e4c
Senior Manager 
mlcoelho@e4calberta.org
T 780.424.7543 ext 132Â  
9321 Jasper Avenue, Edmonton AB T5H 3T7 
e4calberta.org
--------------------------------------------------------------------------------------------
This message is intended for the use of the individual or entity to which
it is addressed and may contain information that is privileged and 
confidential. If you are not the intended recipient or the employee 
responsible for delivery of the message to the intended recipient, please 
be advised that any dissemination, distribution or copying of this message 
is strictly prohibited. If you have received this message in error, please 
notify us immediately by telephone and return the original email to us or 
destroy this message.
--------------------------------------------------------------------------------------------
e4c supports environmental conservation - please print wisely.</t>
  </si>
  <si>
    <t>Catherine Parent - RE: Notice of Upcoming New Hire - Eric VanSronsen</t>
  </si>
  <si>
    <t>Hi,
Thatâ€™s the one saved on the directoryâ€¦might need to have it updatedâ€¦
ThanksJ
C.
CatherineParent e4c
Human Services Manager
CParent@e4calberta.org
C780-554-3676
9321 Jasper Avenue, Edmonton AB T5H 3T7
e4calberta.org
[image]
This message is intended for the use of the individual or entity to which it is addressed and may contain information that is privileged and confidential. If you are not the intended recipient or the employee responsible for delivery of the message to the intended recipient, please be advised that any dissemination, distribution or copying of this message is strictly prohibited. If you have received this message in error, please notify us immediately by telephone and return the original email to us or destroy this message.
[image]e4c supports environmental conservation - please print wisely.
From: M.Luiza Coelho
Sent: February 5, 2021 4:00 PM
To: Catherine Parent &lt;CParent@e4calberta.org&gt;
Subject: RE: Notice of Upcoming New Hire - Eric VanSronsen
Hey,
I noticed you have the old IT email.
You should send tosupport@mnptechnology.ca
M.LuizaCoelho e4c
Senior Manager
mlcoelho@e4calberta.org
T
780.424.7543 ext 132
9321 Jasper Avenue, Edmonton AB T5H 3T7
e4calberta.org
[image]
This message is intended for the use of the individual or entity to which it is addressed and may contain information that is privileged and confidential. If you are not the intended recipient or the employee responsible for delivery of the message to the intended recipient, please be advised that any dissemination, distribution or copying of this message is strictly prohibited. If you have received this message in error, please notify us immediately by telephone and return the original email to us or destroy this message.
[image]e4c supports environmental conservation - please print wisely.
From: Catherine Parent
Sent: Friday, February 05, 2021 3:56 PM
To: &gt;&gt;E4C-Communications &lt;E4C-Communications@e4calberta.internal&gt;; CÃ©line Scott &lt;CScott@e4calberta.org&gt;; David Prodan &lt;DProdan@e4calberta.org&gt;; M.Luiza Coelho &lt;mlcoelho@e4calberta.org&gt;; Mwayi Kanjadza &lt;MKanjadza@e4calberta.org&gt;; IT Help Desk &lt;help@nextdigital.ca&gt;; Jelius Orcino &lt;JOrcino@e4calberta.org&gt;
Cc: Kourch Chan &lt;KChan@e4calberta.org&gt;; Connie Olson &lt;COlson@e4calberta.org&gt;; Bronwyn S. Ryan &lt;BRyan@e4calberta.org&gt;
Subject: Notice of Upcoming New Hire - Eric VanSronsen
Hello,
This email is to notify you of an upcoming employeehire in the Strategy Office:
Distribution List &amp; Action Required â€“ Eric VanSpronsen DOH March 8, 2021
IT
RDS: Request for RDS/Network Access .
CanFit Update/Login
E-mail:Request for Outlook Account.
E-mail Signature Set-up:
-Â Â Â Â Â Â Â Â Â  Name: Eric VanSpronsen
-Â Â Â Â Â Â Â Â Â  Position: Strategic Analyst
-Â Â Â Â Â Â Â Â Â  Program: Strategy Office
Folder Access:
-Â Â Â Â Â Â Â Â Â Â Â Â Â N:\Business Division\Strategy Office
-Â Â Â Â Â Â Â Â Â Â Â Â Â N:\General Information\Internal
-Â Â Â Â Â Â Â Â Â Â Â Â Â N:\Leaders\Agency Leaders
Apple ID Creation: Request for Apple ID.
Cell-phone Access:( Will be delivered by Luiza)
Staff Distribution List: Leaders, All Staff
Shore-tel access required. NA
Please send account details to: Kourch Chan (kchan@e4calberta.org)
Payroll/Finance
Payroll details will be provided once processed.
Reception
Please update existing employee list.
Communications
For information only.
L&amp;D
For information only.
Facilities Manager (interim David P.)
Keys/Code Required for Alex Taylor.
Should you have any questions or concerns about this request, please let me know.
Thank you,
Catherine P.
CatherineParent e4c
Human Services Manager
CParent@e4calberta.org
C
780-554-3676
9321 Jasper Avenue, Edmonton AB T5H 3T7
e4calberta.org
[image]
This message is intended for the use of the individual or entity to which it is addressed and may contain information that is privileged and confidential. If you are not the intended recipient or the employee responsible for delivery of the message to the intended recipient, please be advised that any dissemination, distribution or copying of t...</t>
  </si>
  <si>
    <t>Catherine Parent - Notice of Upcoming New Hire - Lori Shortreed</t>
  </si>
  <si>
    <t>Hello,
This email is to notify you of an upcoming employeehire in the Strategy Office:
Distribution List &amp; Action Required â€“ Lori Shortreed DOH March 4, 2021
IT
RDS: Request for RDS/Network Access.
CanFit Update/Login
E-mail:Request for Outlook Account.
E-mail Signature Set-up:
-Â Â Â Â Â Â Â Â Â  Name: Lori Shortreed
-Â Â Â Â Â Â Â Â Â  Position: Strategic Analyst
-Â Â Â Â Â Â Â Â Â  Program: Strategy Office
Folder Access:
-Â Â Â Â Â Â Â Â Â Â Â Â Â N:\Business Division\Strategy Office
-Â Â Â Â Â Â Â Â Â Â Â Â Â N:\General Information\Internal
-Â Â Â Â Â Â Â Â Â Â Â Â Â N:\Leaders\Agency Leaders
Apple ID Creation: Request for Apple ID.
Cell-phone Access:( Will be delivered by Luiza).
Staff Distribution List: Leaders, All Staff
Shore-tel access required. NA
Please send account details to: Kourch Chan (kchan@e4calberta.org)
Payroll/Finance
Payroll details will be provided once processed.
Reception
Please update existing employee list.
Communications
For information only.
L&amp;D
For information only.
Facilities Manager (interim David P.)
Keys/Code Required for Alex Taylor.
Should you have any questions or concerns about this request, please let me know.
Thank you,
Catherine P.
CatherineParent e4c
Human Services Manager
CParent@e4calberta.org
C780-554-3676
9321 Jasper Avenue, Edmonton AB T5H 3T7
e4calberta.org
[image]
This message is intended for the use of the individual or entity to which it is addressed and may contain information that is privileged and confidential. If you are not the intended recipient or the employee responsible for delivery of the message to the intended recipient, please be advised that any dissemination, distribution or copying of this message is strictly prohibited. If you have received this message in error, please notify us immediately by telephone and return the original email to us or destroy this message.
[image]e4c supports environmental conservation - please print wisely.</t>
  </si>
  <si>
    <t>Luiza Coelho - FW: Notice of Upcoming New Hire - Sadaf Mirzahi</t>
  </si>
  <si>
    <t>M.LuizaCoelho e4c
Senior Manager
mlcoelho@e4calberta.org
T780.424.7543 ext 132
9321 Jasper Avenue, Edmonton AB T5H 3T7
e4calberta.org
[image]
This message is intended for the use of the individual or entity to which it is addressed and may contain information that is privileged and confidential. If you are not the intended recipient or the employee responsible for delivery of the message to the intended recipient, please be advised that any dissemination, distribution or copying of this message is strictly prohibited. If you have received this message in error, please notify us immediately by telephone and return the original email to us or destroy this message.
[image]e4c supports environmental conservation - please print wisely.
From: Catherine Parent 
Sent: Friday, February 05, 2021 3:18 PM
To:&gt;&gt;E4C-Communications &lt;E4C-Communications@e4calberta.internal&gt;; CÃ©line Scott &lt;CScott@e4calberta.org&gt;; David Prodan &lt;DProdan@e4calberta.org&gt;; M.Luiza Coelho &lt;mlcoelho@e4calberta.org&gt;; Mwayi Kanjadza &lt;MKanjadza@e4calberta.org&gt;; IT Help Desk &lt;help@nextdigital.ca&gt;; Jelius Orcino &lt;JOrcino@e4calberta.org&gt;
Cc: Kourch Chan &lt;KChan@e4calberta.org&gt;; Connie Olson &lt;COlson@e4calberta.org&gt;; Bronwyn S. Ryan &lt;BRyan@e4calberta.org&gt;
Subject: Notice of Upcoming New Hire - Sadaf Mirzahi
Hello,
This email is to notify you of an upcoming employee hire in the Strategy Office:
Distribution List &amp; Action Required â€“ Sadaf Mirzahi DOH February 9, 2021
IT
RDS: Request for RDS/Network Access.
CanFit Update/Login
E-mail: Request for Outlook Account.
E-mail Signature Set-up:
-Â Â Â Â Â Â Â Â Â  Name: Sadaf Mirzahi
-Â Â Â Â Â Â Â Â Â  Position: Research and Evaluation Coordinator
-Â Â Â Â Â Â Â Â Â  Program: Strategy Office
Folder Access:
-Â Â Â Â Â Â Â Â Â Â Â Â Â Â Â Â N:\Business Division\Strategy Office
-Â Â Â Â Â Â Â Â Â Â Â Â Â Â Â Â N:\General Information\Internal
-Â Â Â Â Â Â Â Â Â Â Â Â Â Â Â Â N:\Leaders\Agency Leaders
Apple ID Creation: Request for Apple ID.
Cell-phone Access:( Will be delivery on Tuesday )
Staff Distribution List: Leaders, All Staff
Shore-tel access required. NA
Please send account details to: Kourch Chan (kchan@e4calberta.org)
Payroll/Finance
Payroll details will be provided once processed.
Reception
Please update existing employee list.
Communications
For information only.
L&amp;D
For information only.
Facilities Manager (interim David P.)
Keys/Code Required for Alex Taylor.
Should you have any questions or concerns about this request, please let me know.
Thank you,
Catherine P.
CatherineParent e4c
Human Services Manager
CParent@e4calberta.org
C
780-554-3676
9321 Jasper Avenue, Edmonton AB T5H 3T7
e4calberta.org
[image]
This message is intended for the use of the individual or entity to which it is addressed and may contain information that is privileged and confidential. If you are not the intended recipient or the employee responsible for delivery of the message to the intended recipient, please be advised that any dissemination, distribution or copying of this message is strictly prohibited. If you have received this message in error, please notify us immediately by telephone and return the original email to us or destroy this message.
[image]e4c supports environmental conservation - please print wisely.</t>
  </si>
  <si>
    <t>Luiza Coelho - FW: Notice of Upcoming New Hire - Lori Shortreed</t>
  </si>
  <si>
    <t>FYI
M.LuizaCoelho e4c
Senior Manager
mlcoelho@e4calberta.org
T780.424.7543 ext 132
9321 Jasper Avenue, Edmonton AB T5H 3T7
e4calberta.org
[image]
This message is intended for the use of the individual or entity to which it is addressed and may contain information that is privileged and confidential. If you are not the intended recipient or the employee responsible for delivery of the message to the intended recipient, please be advised that any dissemination, distribution or copying of this message is strictly prohibited. If you have received this message in error, please notify us immediately by telephone and return the original email to us or destroy this message.
[image]e4c supports environmental conservation - please print wisely.
From: Catherine Parent 
Sent: Friday, February 05, 2021 4:02 PM
To:&gt;&gt;E4C-Communications &lt;E4C-Communications@e4calberta.internal&gt;; CÃ©line Scott &lt;CScott@e4calberta.org&gt;; David Prodan &lt;DProdan@e4calberta.org&gt;; M.Luiza Coelho &lt;mlcoelho@e4calberta.org&gt;; Mwayi Kanjadza &lt;MKanjadza@e4calberta.org&gt;; IT Help Desk &lt;help@nextdigital.ca&gt;; Jelius Orcino &lt;JOrcino@e4calberta.org&gt;
Cc: Kourch Chan &lt;KChan@e4calberta.org&gt;; Connie Olson &lt;COlson@e4calberta.org&gt;; Bronwyn S. Ryan &lt;BRyan@e4calberta.org&gt;
Subject: Notice of Upcoming New Hire - Lori Shortreed
Hello,
This email is to notify you of an upcoming employee hire in the Strategy Office:
Distribution List &amp; Action Required â€“ Lori Shortreed DOH March 4, 2021
IT
RDS: Request for RDS/Network Access.
CanFit Update/Login
E-mail:Request for Outlook Account.
E-mail Signature Set-up:
-Â Â Â Â Â Â Â Â Â  Name: Lori Shortreed
-Â Â Â Â Â Â Â Â Â  Position: Strategic Analyst
-Â Â Â Â Â Â Â Â Â  Program: Strategy Office
Folder Access:
-Â Â Â Â Â Â Â Â Â Â Â Â Â Â Â Â N:\Business Division\Strategy Office
-Â Â Â Â Â Â Â Â Â Â Â Â Â Â Â Â N:\General Information\Internal
-Â Â Â Â Â Â Â Â Â Â Â Â Â Â Â Â N:\Leaders\Agency Leaders
Apple ID Creation: Request for Apple ID.
Cell-phone Access:( Will be delivered by Luiza).
Staff Distribution List: Leaders, All Staff
Shore-tel access required. NA
Please send account details to: Kourch Chan (kchan@e4calberta.org)
Payroll/Finance
Payroll details will be provided once processed.
Reception
Please update existing employee list.
Communications
For information only.
L&amp;D
For information only.
Facilities Manager (interim David P.)
Keys/Code Required for Alex Taylor.
Should you have any questions or concerns about this request, please let me know.
Thank you,
Catherine P.
CatherineParent e4c
Human Services Manager
CParent@e4calberta.org
C
780-554-3676
9321 Jasper Avenue, Edmonton AB T5H 3T7
e4calberta.org
[image]
This message is intended for the use of the individual or entity to which it is addressed and may contain information that is privileged and confidential. If you are not the intended recipient or the employee responsible for delivery of the message to the intended recipient, please be advised that any dissemination, distribution or copying of this message is strictly prohibited. If you have received this message in error, please notify us immediately by telephone and return the original email to us or destroy this message.
[image]e4c supports environmental conservation - please print wisely.</t>
  </si>
  <si>
    <t>Catherine Parent - Notice of Upcoming New Hire - Eric VanSronsen</t>
  </si>
  <si>
    <t>Hello,
This email is to notify you of an upcoming employeehire in the Strategy Office:
Distribution List &amp; Action Required â€“ Eric VanSpronsen DOH March 8, 2021
IT
RDS: Request for RDS/Network Access .
CanFit Update/Login
E-mail:Request for Outlook Account.
E-mail Signature Set-up:
-Â Â Â Â Â Â Â Â Â  Name: Eric VanSpronsen
-Â Â Â Â Â Â Â Â Â  Position: Strategic Analyst
-Â Â Â Â Â Â Â Â Â  Program: Strategy Office
Folder Access:
-Â Â Â Â Â Â Â Â Â Â Â Â Â N:\Business Division\Strategy Office
-Â Â Â Â Â Â Â Â Â Â Â Â Â N:\General Information\Internal
-Â Â Â Â Â Â Â Â Â Â Â Â Â N:\Leaders\Agency Leaders
Apple ID Creation: Request for Apple ID.
Cell-phone Access:( Will be delivered by Luiza)
Staff Distribution List: Leaders, All Staff
Shore-tel access required. NA
Please send account details to: Kourch Chan (kchan@e4calberta.org)
Payroll/Finance
Payroll details will be provided once processed.
Reception
Please update existing employee list.
Communications
For information only.
L&amp;D
For information only.
Facilities Manager (interim David P.)
Keys/Code Required for Alex Taylor.
Should you have any questions or concerns about this request, please let me know.
Thank you,
Catherine P.
CatherineParent e4c
Human Services Manager
CParent@e4calberta.org
C780-554-3676
9321 Jasper Avenue, Edmonton AB T5H 3T7
e4calberta.org
[image]
This message is intended for the use of the individual or entity to which it is addressed and may contain information that is privileged and confidential. If you are not the intended recipient or the employee responsible for delivery of the message to the intended recipient, please be advised that any dissemination, distribution or copying of this message is strictly prohibited. If you have received this message in error, please notify us immediately by telephone and return the original email to us or destroy this message.
[image]e4c supports environmental conservation - please print wisely.</t>
  </si>
  <si>
    <t>Monica Robson</t>
  </si>
  <si>
    <t>Pilgrims Hospice - E3 License</t>
  </si>
  <si>
    <t>### What company is this quote for?_x000D_
Pilgrim's Hospice_x000D_
  _x000D_
### Is there an existing ticket on another Connectwise board? If so what is the ticket number?_x000D_
1357867_x000D_
  _x000D_
### Add or Remove CSP licenses  _x000D_
 Add licenses  _x000D_
  _x000D_
### March 30, 2020 New Microsoft 365 offerings for small and medium-sized businesses. (https://www.microsoft.com/en-us/microsoft-365/blog/2020/03/30/new-microsoft-365-offerings-small-and-medium-sized-businesses/)  _x000D_
  _x000D_
### What Type of license  _x000D_
 Office 365 E3  _x000D_
  _x000D_
### How many licenses to add/remove?_x000D_
1_x000D_
  _x000D_
### Optional - What users are the licenses for?_x000D_
Rebekah Gilbert</t>
  </si>
  <si>
    <t>Shawn Kubiski</t>
  </si>
  <si>
    <t>G Sinkins Thinkbook Laptops</t>
  </si>
  <si>
    <t>As per customer setup two Lenovo 15 Thinkbooks
Install Sophos Home Premium
Office 365
See SK for details.
Shawn Kubiski
Partner
PH. +1 7804246398
14505 114th Avenue NW
Edmonton, AB
T5M2Y8
Shawn.Kubiski@mnp.ca
mnp.ca[image]
[image]</t>
  </si>
  <si>
    <t>Cheryl Trenchard</t>
  </si>
  <si>
    <t>New User</t>
  </si>
  <si>
    <t>Hi
Please set up an email, user name and password for David Rutherford.Â Hhe will be working out of Calmont Leasing, Calgary.Â  Please set him up the same as Gord Max
His start date is February 9, 2021.
With Thanks,
Cheryl Trenchard, PCP
Human Resources &amp; Payroll Supervisor
[cid:image001.jpg@01D407CC.BE04B790]
14610 Yellowhead Trail NW Edmonton, AB, T5L 3C5
Branch: 780-482-0281Â Â Â  Cell: 587-930-2091Â Â  Fax: 780-482-0278
Email:cheryl.trenchard@calmont.ca
Website:www.calmont.ca
This email, and any files transmitted with it, are confidential and are intended solely for the use of the individual or entity to which they are addressed. Any unauthorized use or disclosure is prohibited. Please notify the sender if you have received this email in error. Thank you for your co-operation.</t>
  </si>
  <si>
    <t>Notice of Upcoming New Hire - Erin Mueller</t>
  </si>
  <si>
    <t>Hello,
This email is to notify you of an upcoming employee hire in the Housing First Program:
Distribution List &amp; Action Required â€“ Erin Mueller DOH: February 22, 2021
IT
RDS: Request for RDS/Network Access.
CanFit Update/Login
E-mail: Request for Outlook Account.
E-mail Signature Set-up:
-Â Â Â Â Â Â Â Â Â  Name: Erin Mueller
-Â Â Â Â Â Â Â Â Â  Position: Senior Team Lead
-Â Â Â Â Â Â Â Â Â  Program: Housing First
Folder Access:
-Â Â Â Â Â Â Â Â Â  Please provide same access as Drewe Robowtham and Andy (Andrew) Kennedy
Apple ID Creation: Request for Apple ID.
Cell-phone Access:Request for cell-phone.
Staff Distribution List: Leaders, All Staff ICMT and RRH
Shore-tel access required.
Please send account details to:mredmond@e4calberta.org
Payroll
Payroll details will be provided once processed.
Finance
MasterCard ($5000.00)
Reception
Please update existing employee list.
Communications
For information only.
L&amp;D
For information only.
Facilities Manager (interim David P.)
Alex Taylor School Access and Keys to ICMT office and RRH office.
Should you have any questions or concerns about this request, please let me know.
Thank you,
Catherine P.
CatherineParent e4c
Human Services Manager
CParent@e4calberta.org
C780-554-3676
9321 Jasper Avenue, Edmonton AB T5H 3T7
e4calberta.org
[image]
This message is intended for the use of the individual or entity to which it is addressed and may contain information that is privileged and confidential. If you are not the intended recipient or the employee responsible for delivery of the message to the intended recipient, please be advised that any dissemination, distribution or copying of this message is strictly prohibited. If you have received this message in error, please notify us immediately by telephone and return the original email to us or destroy this message.
[image]e4c supports environmental conservation - please print wisely.</t>
  </si>
  <si>
    <t>Notice of Upcoming New Hire - Sadaf Mirzahi</t>
  </si>
  <si>
    <t>Hello,
This email is to notify you of an upcoming employee hire in the Strategy Office:
Distribution List &amp; Action Required â€“ Sadaf Mirzahi DOH February 9, 2021
IT
RDS: Request for RDS/Network Access.
CanFit Update/Login
E-mail: Request for Outlook Account.
E-mail Signature Set-up:
-Â Â Â Â Â Â Â Â Â  Name: Sadaf Mirzahi
-Â Â Â Â Â Â Â Â Â  Position: Research and Evaluation Coordinator
-Â Â Â Â Â Â Â Â Â  Program: Strategy Office
Folder Access:
-Â Â Â Â Â Â Â Â Â Â Â Â Â N:\Business Division\Strategy Office
-Â Â Â Â Â Â Â Â Â Â Â Â Â N:\General Information\Internal
-Â Â Â Â Â Â Â Â Â Â Â Â Â N:\Leaders\Agency Leaders
Apple ID Creation: Request for Apple ID.
Cell-phone Access:( Will be delivery on Tuesday )
Staff Distribution List: Leaders, All Staff
Shore-tel access required. NA
Please send account details to: Kourch Chan (kchan@e4calberta.org)
Payroll/Finance
Payroll details will be provided once processed.
Reception
Please update existing employee list.
Communications
For information only.
L&amp;D
For information only.
Facilities Manager (interim David P.)
Keys/Code Required for Alex Taylor.
Should you have any questions or concerns about this request, please let me know.
Thank you,
Catherine P.
CatherineParent e4c
Human Services Manager
CParent@e4calberta.org
C780-554-3676
9321 Jasper Avenue, Edmonton AB T5H 3T7
e4calberta.org
[image]
This message is intended for the use of the individual or entity to which it is addressed and may contain information that is privileged and confidential. If you are not the intended recipient or the employee responsible for delivery of the message to the intended recipient, please be advised that any dissemination, distribution or copying of this message is strictly prohibited. If you have received this message in error, please notify us immediately by telephone and return the original email to us or destroy this message.
[image]e4c supports environmental conservation - please print wisely.</t>
  </si>
  <si>
    <t>Julie Nadeau - Printer Name</t>
  </si>
  <si>
    <t>### Summary of Issue_x000D_
Printer Name_x000D_
  _x000D_
### Details of Issue_x000D_
Please add "Julie" in front of printer HP ColourLazerJet MFP M278-M281 (redirected 72)_x000D_
  _x000D_
### Have you opened a ticket about this issue before?  _x000D_
 No  _x000D_
  _x000D_
### How many users are impacted by this issue?  _x000D_
 Some  _x000D_
  _x000D_
### How would you classify this issue?  _x000D_
 Minor Inconvenience</t>
  </si>
  <si>
    <t>Urgent: Kjeld Spearing</t>
  </si>
  <si>
    <t>Please reactivate immediately 
Sent from my iPhone
[image]Â Riccardo Francese
Business Process Manager
T:       +1 (780) 400-7487
C:       +1 (587) 990-0176
F:       +1 (780) 417-6496
E:       RFrancese@siterg.com
W:       WWW.SITERG.COM
#170, 120 Pembina Rd., Sherwood Park, AB, T8H 0M2
The information contained in this e-mail may       contain confidential or privileged material and is intended only for the       stated addressee(s). If you are not the valid addressee, the use,       disclosure, copying or distribution of this information is prohibited and       may be unlawful. If you have received this email message in error, please       notify the sender immediately and delete all copies of the message from       your computer. All information within or opinions expressed in this       message and/or any attachments are those of the author and are not       necessarily those of the Centurion Group.</t>
  </si>
  <si>
    <t>Michelle Rose</t>
  </si>
  <si>
    <t>Michelle Rose - Access to two employees Outlook mailboxes from Microsoft Office Portal</t>
  </si>
  <si>
    <t>MNP,
There are two staff we need to have access to their Outlook mailboxes through the Microsoft Portal, as follows:
1. Nicole Greidanus (ex-employee) â€“ Accessible by Michelle Rose, Jana Lumsden and Jill Repchuk
2. Mackenzie Brisebois (employee) â€“ Accessible by Michelle Rose, Jana Lumsden, Jill Repchuk, Alanna Rast, Vanessa Pierce
Thank you.
Michelle
Michelle Rose       BA
Manager, Communications &amp; Corporate Relations/Human Resources
EÂ Â Â Â Â  mrose@mhkinsurance.com
DÂ Â Â Â  587.525.6047Â 
CÂ Â Â Â  780.983.2976
12316-107 Avenue, Edmonton, AB  T5M 1Z1
www.mhkinsurance.com
[image]
[image]
We're here to help with your insurance needs. Emails       and phone calls are still encouraged. Appointments are required for       in-office broker meetings. Please wear a mask when       visiting.
MHK welcomes       e-Transfer payments to banking@mhkinsurance.com.
If you       receive this email in error, please notify us by reply email and destroy       this message. MHK complies with Canada's Anti-Spam and Alberta's PIPA       Legislations. If you no longer wish to receive emails from MHK, please       reply with 'Unsubscribe' in the subject   line.
From: Vanessa Pierce &lt;VPierce@mhkinsurance.com&gt; 
Sent: Thursday, January 28, 2021 9:08 AM
To: MHK IT Team &lt;it@mhkinsurance.com&gt;
Subject: Access to Mackenzie's outlook (365)
Good morning,
I just noticed that I do not have access to Mackenzieâ€™s email (by logging on to outlook/office 365) and Alanna advised that she does not either.
Is this something that either Jana or Michelle can give both of us access to, or should we contact MNP?
Should you have any questions or concerns please let me know.
Thank you,
~Vanessa
Vanessa Pierce
Manager, Commercial Business Unit
EÂ Â Â Â Â VPierce@mhkinsurance.com
DÂ Â Â Â  587.525.6073Â 
12316-107 Avenue, Edmonton, AB T5M 1Z1
www.mhkinsurance.com
[image]
[image]
We're here to help with your insurance needs. Emails and phone calls are still encouraged. Appointments are required for in-office broker meetings. Please wear a mask when visiting.
MHK welcomes e-Transfer payments to banking@mhkinsurance.com.
If you receive this email in error, please notify us by reply email and destroy this message. MHK complies with Canada's Anti-Spam and Alberta's PIPA Legislations. If you no longer wish to receive emails from MHK, please reply with 'Unsubscribe' in the subject line.</t>
  </si>
  <si>
    <t>Colin Gnyp</t>
  </si>
  <si>
    <t>Colin Gnyp - change of email password - David Rinker</t>
  </si>
  <si>
    <t>Hello,
David is no longer employed at IDEAL.Â  Please change his Microsoft password to Â Â Legacy89!
Please inform me when this change is complete.
Thank you
[image]
Colin Gnyp
Vice President
O: 403 723 3385
C: 403 988 5560
coling@idealinsulation.com
[image]
ATTICS â€¢ ROOFING â€¢SPRAY FOAM â€¢WALLS
[image]
[image]
[image]
[image]
[image]
[image]</t>
  </si>
  <si>
    <t>Jerry Wilkinson - Credit Card expired on cwcarry.com domain registrar</t>
  </si>
  <si>
    <t>### Summary of Issue_x000D_
Credit Card expired on cwcarry.com domain registrar_x000D_
  _x000D_
### Details of Issue_x000D_
Credit Card expired on cwcarry.com domain registrar
https://nextdigital.itglue.com/3220778/passwords/7241776_x000D_
  _x000D_
### Have you opened a ticket about this issue before?  _x000D_
 No  _x000D_
  _x000D_
### How many users are impacted by this issue?  _x000D_
 Everyone  _x000D_
  _x000D_
### How would you classify this issue?  _x000D_
 Work Impacting</t>
  </si>
  <si>
    <t>Ben Hsu</t>
  </si>
  <si>
    <t>RE: Scheduled Outage - Edmonton February 7th</t>
  </si>
  <si>
    <t>Good afternoon
Please note that the power outage has been rescheduled to February 15, 2021 (Monday â€“ Family Day). As such, the server willnot be shut down this Sunday February 7, 2021.
IT will send out another outage notification next week.
Thanks
Ben Hsu
Manager, Corporate Services
Natural Resources Conservation Board
Phone: 780-422-2833
This communication is intended for the use of the recipient to which it is addressed, and may contain confidential, personal and or privileged information. Please contact us immediately if you are not the intended recipients of this communication, and do not copy, distribute, or take action relying on it. Any communication received in error, or subsequent reply, should be deleted or destroyed.
From: Help Desk
Sent: February 2, 2021 1:30 PM
To: All NRCB Staff and Board Members &lt;AllNRCBStaff@nrcb.ca&gt;
Cc: Ben Hsu &lt;Ben.Hsu@nrcb.ca&gt;; Ashleen Dwivedi &lt;Ashleen.Dwivedi@nrcb.ca&gt;; TS-NRCB &lt;TS-NRCBTeam@nextdigital.ca&gt;
Subject: Scheduled Outage - Edmonton February 7th
Apologies about time discrepancy, but this will end by Sunday, February 7th at16:00.
From: Help Desk
Sent: Tuesday, February 2, 2021 1:21 PM
To: All NRCB Staff and Board Members
Cc: Ben Hsu; Ashleen Dwivedi
Subject: Scheduled Outage - Edmonton February 7th
Good morning everyone,
The Edmonton office will be having a scheduled power outage on Sunday, February 7th beginning at 08:00Â MST and ending at Sunday, February 7th at 20:00 MST.
Category: Power Outage
Location: Edmonton
Start: Sunday, Feb 7 â€“ 08:00 MST
End: Sunday, Feb 7 â€“ 16:00Â MST
Expected Impact: During the above time frame, the Edmonton office will have no internet, and as such you will experience a cut-off of network services such as access to the Remote Desktop Server. You will be unable to access the Remote Desktop Server and it's applications, CFO Database,Â U drive, shared drives, etc. during this time. Services will be back online and fully functional at the end of the outage.
IMPORTANT: Prior to the outage, we will require everyone to save all of their work and log off of the Remote Desktop Server before leaving on Friday evening.
Should you have any questions or concerns, please contact us at the NRCB Helpdesk at 780-422-1612, 780-424-6398 or email intohelpdesk@nrcb.ca and we will be happy to assist you in any way we can.
Thank you,
Next Digital Team</t>
  </si>
  <si>
    <t>[JIRA] (TIAP-1005) Judy blumstock @ TIAP - file/box cleanup</t>
  </si>
  <si>
    <t>Chuck Corvec added 3 new comments. Toronto Innovation Acceleration Partners/TIAP-1005 Judy blumstock @ TIAP - file/box cleanup 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
Chuck Corvec added 3 new comments.
Toronto Innovation Acceleration Partners
/Â Â   [image] Â  TIAP-1005
 Judy blumstock @ TIAP - file/box cleanup 
[image]  Chuck Corvec  3:01Â PMÂ EST
 Called Judy
 No answer
 Left voicemail
 Waiting for call back
[image]  Chuck Corvec  3:01Â PMÂ EST
Waiting for Judy to call back
[image]  Chuck Corvec  3:02Â PMÂ EST
 Called Judy
 No answer
 Left voicemail
 Waiting for call back
View issue
Get Jira notifications on your phone! Download the Jira Cloud app for Android or iOS.
Manage notifications   Â â€¢Â    Give feedback   Â â€¢Â    Privacy policy
[image]
[image]
[image]</t>
  </si>
  <si>
    <t>Thomas Clark</t>
  </si>
  <si>
    <t>Thomas Clark - ND INTERNAL need a cable run from patch panel to switch</t>
  </si>
  <si>
    <t>### Summary of Issue_x000D_
ND INTERNAL need a cable run from patch panel to switch_x000D_
  _x000D_
### Details of Issue_x000D_
for a new network jack run to Kuby Energy, I need a cable run run from the patch panel to switch and assigned to Kuby Energy, Just call me and let me know which ports to use and I will plug in the cable into the basement switch where the cable was run_x000D_
  _x000D_
### Have you opened a ticket about this issue before?  _x000D_
 No  _x000D_
  _x000D_
### How many users are impacted by this issue?  _x000D_
 Some  _x000D_
  _x000D_
### How would you classify this issue?  _x000D_
 Minor Inconvenience</t>
  </si>
  <si>
    <t>Connie Stang</t>
  </si>
  <si>
    <t xml:space="preserve"> Connie Stang - URGENT: Aatrix Upgrade</t>
  </si>
  <si>
    <t>Hello,
Can you please talk to Connie Stang and have her Aatrix upgraded immediately.
We need this done today
[image]Â Riccardo Francese
Business Process Manager
T:       +1 (780) 400-7487
C:       +1 (587) 990-0176
F:       +1 (780) 417-6496
E:       RFrancese@siterg.com
W:       WWW.SITERG.COM
#170, 120 Pembina Rd., Sherwood Park, AB, T8H 0M2
The information contained in this e-mail may       contain confidential or privileged material and is intended only for the       stated addressee(s). If you are not the valid addressee, the use,       disclosure, copying or distribution of this information is prohibited and       may be unlawful. If you have received this email message in error, please       notify the sender immediately and delete all copies of the message from       your computer. All information within or opinions expressed in this       message and/or any attachments are those of the author and are not       necessarily those of the Centurion Group.</t>
  </si>
  <si>
    <t>Nora Decosemo - Fwd: Feb 7 - Sterling Place - Power Shut Down UPDATE</t>
  </si>
  <si>
    <t>Date has now changed to Feb 15
Sent from my iPhone
Begin forwarded message:
From: GWL.communication@com.ng1.angusanywhere.com
Date: February 5, 2021 at 11:27:22 AM MST
To: Nora Decosemo &lt;Nora.Decosemo@nrcb.ca&gt;
Subject: Feb 7 - Sterling Place - Power Shut Down UPDATE
Reply-To: ryan.williams@gwlra.com
ï»¿
Please see the attached memo regarding a reschedule of the planned shutdown for February 7th including the notice from Epcor.
Regards,
Ryan Williams
Assistant Property Manager
GWL REALTY ADVISORS
Suite 1800, 10065 Jasper Avenue, Edmonton, AB  T5J 3B1
Ryan.Williams@GWLRA.com&lt;mailto:Ryan.Williams@GWLRA.com&gt;
The contents of this communication, including any attachment(s), are confidential and may be privileged. If you are not the intended recipient (or are not receiving this communication on behalf of the intended recipient), please notify the sender immediately and delete or destroy this communication without reading it, and without making, forwarding, or retaining any copy or record of it or its contents. Thank you. Note: We have taken precautions against viruses,but take no responÂ­sibility for loss or damage caused by any virus present. By giving us your email address, you agree to allow GWLRealty Advisors Inc.&lt;https://urldefense.com/v3/http://www.gwlrealtyadvisors.com/ContactUs.aspx;!!CBowfw0!v7ROUnNBRH3ABn9iCmAFjWz2SiPdPPOAES1MVDB4FdvRqaGjhi_VM_dDQcvUuO6h0esO$ &gt; to contact you from time to time until you tell us otherwise. If you have any questions, please contact us at UnsubscribeCASL@gwlra.com&lt;mailto:UnsubscribeCASL@gwlra.com&gt;.
Le contenu de la prÃ©sente communication, y compris tout fichier joint, est confiÂ­dentiel et peut Ãªtre privilÃ©giÃ©. Si vous nâ€™Ãªtes pas le destinataire visÃ© (ou si vous ne recevez pas la prÃ©sente communication au nom du destinataire visÃ©), veuillez en aviser immÃ©diatement lâ€™expÃ©diteur et supprimer ou dÃ©truire le prÃ©sent message sans le lire, en tirer des copies, le retransmettre ou en enregistrer le contenu. Merci. Ã€ noter : Nous avons pris des mesures de protection contre les virus, mais nous nâ€™assumons aucune responsabilitÃ© pour ce qui est de la perteou des domÂ­mages causÃ©s par la prÃ©sence dâ€™un virus. En nous donnant votre adresse de courriel, vous autorisez La sociÃ©tÃ© Conseillersimmobiliers GWL&lt;https://urldefense.com/v3/http://www.gwlrealtyadvisors.com/Nousjoindre.aspx;!!CBowfw0!v7ROUnNBRH3ABn9iCmAFjWz2SiPdPPOAES1MVDB4FdvRqaGjhi_VM_dDQcvUuIaGzojv$ &gt; Ã  communiquer avec vous de jusquâ€™Ã  indication contraire de votre part. Si vous avez des questions, veuillez communiquer avec nous par desabonnementLCAP@gwlra.com&lt;mailto:desabonnementLCAP@gwlra.com?subject=Desabonnement%20de%20Couriel%20Ã‰lectronique&gt;.</t>
  </si>
  <si>
    <t>Brad Dennis</t>
  </si>
  <si>
    <t>Brad Dennis - A NETWORKED PIECE OF MACHINERY NEEDS TO HAVE ACCESS TO A SECURED FILE LOCATION.</t>
  </si>
  <si>
    <t>### Summary of Issue_x000D_
A NETWORKED PIECE OF MACHINERY NEEDS TO HAVE ACCESS TO A SECURED FILE LOCATION._x000D_
  _x000D_
### Details of Issue_x000D_
WE HAVE A DRILL LINE THAT GETS IT'S FILES VIA A SHARED FOLDER ON OUR 'OPEN' DRIVE. THE SERVER DOES NOT ALLOW EVERYONE ACCESS. CAN WE PLEASE ADD THE USER TO THE RIGHTS TO ACCESS THE FOLDER ON OUR SERVER?
THE FILE LOCATION IS ON OUR  SERVER2K8/OPEN/MDL Ocean CNC Files
THE COMPUTER CREDENTIALS ARE:
User:  AUDUSER
Pw:   SUNRISE
PLEASE CONSIDER THIS AN URGENT MATTER_x000D_
  _x000D_
### Have you opened a ticket about this issue before?  _x000D_
 No  _x000D_
  _x000D_
### How many users are impacted by this issue?  _x000D_
 One  _x000D_
  _x000D_
### How would you classify this issue?  _x000D_
 Unable to Work</t>
  </si>
  <si>
    <t>Carrie Szasz</t>
  </si>
  <si>
    <t>Carrie Szasz - Phishing Email</t>
  </si>
  <si>
    <t>FYI - this is "from" our Board Chair, Thomas Raedler. It almost fooled me....but I know he would never say "cheers".
Carrie Szasz  CPA, CA
Provincial Accountant
Schizophrenia Society of Alberta 
4809-48 Avenue 
Red Deer, AB T4N 3T2
Phone: (403) 986-9440
Fax: (403) 986-9442
https://urldefense.com/v3/http://www.schizophrenia.ab.ca;!!CBowfw0!oUPT65raZzH60DmMX0AvotkAXz2xFGl_8gzJMWWJr8AF6QxLQb_WH_zoP1n57iy0qA$ 
-----Original Message-----
From: Thomas Raedler &lt;directorp97@gmail.com&gt; 
Sent: Friday, February 5, 2021 11:44 AM
To: Carrie Szasz &lt;CSzasz@schizophrenia.ab.ca&gt;
Subject: REQUEST
Hello Carrie
Are you free at the moment? I need your help with something.
Cheers
Kind Regards
Thomas Raedler
Sent from my iPhone</t>
  </si>
  <si>
    <t>Lesley Hinger</t>
  </si>
  <si>
    <t>Lesley Hinger - Sage Accounting Software Upgrade</t>
  </si>
  <si>
    <t>### Summary of Issue_x000D_
Sage Accounting Software Upgrade_x000D_
  _x000D_
### Details of Issue_x000D_
Hello! I need help installing the 2021 version of Sage on our accounting PC. It goes beyond my basic knowledge of installation because there is some tricky stuff related to it living on the server. I attempted to do it myself and keep getting an error message that the Connection Manager needs to be upgraded, and I remember encountering this same issue when I attempted to upgrade last year as well. Could you please have someone who knows their way around Sage 50 Accounting to call me on Monday Feb 8?_x000D_
  _x000D_
### If your callback number is different than what's on record, please provide it below._x000D_
403-478-2840_x000D_
  _x000D_
### Have you opened a ticket about this issue before?  _x000D_
 No  _x000D_
  _x000D_
### How many users are impacted by this issue?  _x000D_
 Some  _x000D_
  _x000D_
### How would you classify this issue?  _x000D_
 Work Impacting</t>
  </si>
  <si>
    <t>QuoteValet: ACCEPTED: #AAAQ20060 Next Digital Inc. - Friday, February 5, 2021 - Lenov laptop</t>
  </si>
  <si>
    <t>CAUTION: This email originated from outside of the MNP network. Be cautious of any embedded links and/or attachments.
MISE EN GARDE: Ce courriel ne provient pas du rÃ©seau de MNP. MÃ©fiez-vous des liens ou piÃ¨ces jointes quâ€™il pourrait contenir.
[image]
780-424-6398
14505 114th Avenue NW, Edmonton, AB, T5M 2Y8
Dear Shawn Kubiski,
This is an automated notification from the QuoteValet system.
****QUOTE ACCEPTED****Acceptance Details:
Name: SK
Email Address: skubiski@nextdigital.ca
Signature: *****************
From IP Address: 209.90.171.71
Acceptance Key: 8673ae65cdb9f9dff6774d5869fdeafd
Quote #AAAQ20060 Next Digital Inc. - Friday, February 5, 2021 - Lenov laptop
Internal Review Quote Link: https://www.quotevalet.com/concierge.aspx?TenantId=cea2edee-e401-4b8b-9e82-d745c217b9a3&amp;DocumentId=ede9f0ae-1a49-4d9b-97bd-a46e6fd0ac21&amp;internal=1 - The online quote delivery and acceptance vehicle forQuoteWerks.</t>
  </si>
  <si>
    <t>Brian McBride</t>
  </si>
  <si>
    <t>Brian McBride - Microsoft Office License Expiration</t>
  </si>
  <si>
    <t>Greetings,
In resolving a separate issue on my laptop we identified that my Microsoft office was upgraded from Office 2016 to 265 during a series of updates this week.Â  The issue comes from that we purchased a licence for Office Professional Plus 2016 and it seems to be invalidated during these upgrades.
In looking at the issue more in-depth yesterday, it appears that I will no longer be able to use office products after February 7, 2021. Â Â This is highly problematic as accessing RDS over WiFi is nearly impossible at our location, so most of my work is done on the laptop and shared to the network drives.
It appears that I either require a subscription for 365 or to have office rolled back to the 2016 version; unfortunately on a fairly tight timeline.
Please call me at the cafÃ© at 780-413-8060 once this ticket has been looked at.
Sincerely,
Brian McBride
Brian McBridee4c 
Director of Culinary / Program Manager
The Hallway CafÃ© Program
BMcBride@hallway.cafe
T: 780-413-8060
M: 780-499-0115
[image]
This message is intended for the use of the individual or entity to which it is addressed and may contain information that is privileged and confidential. If you are not the intended recipient or the employee responsible for delivery of the message to the intended recipient, please be advised that any dissemination, distribution or copying of this message is strictly prohibited. If you have received this message in error, please notify us immediately by telephone and return the original email to us or destroy this message.
[image]e4c supports environmental conservation - please print wisely.</t>
  </si>
  <si>
    <t xml:space="preserve"> Palmer Orthodontics - HostedBiz O365 Password Expired</t>
  </si>
  <si>
    <t>Jerry Wilkinson
Senior Project Specialist
PH.Â +1 7804246398       Ext 309
14505 114th Avenue NW
Edmonton,       AB
T5M2Y8
Jerry.Wilkinson@mnp.ca
mnp.ca [image]
[image]
From: Rory Maguire &lt;Rory.Maguire@hostedbizz.com&gt; 
Sent: Friday, February 5, 2021 10:21 AM
To: Jerry Wilkinson &lt;Jerry.Wilkinson@mnp.ca&gt;
Cc: Michael Anderson &lt;michael.anderson@hostedbizz.com&gt;
Subject: O365 Password Expired - Palmer Orthodontics
CAUTION:This email originated from outside of the MNP network. Be cautious of any embedded links and/or attachments.
MISE EN GARDE:Ce courriel ne provient pas du rÃ©seau de MNP. MÃ©fiez-vous des liens ou piÃ¨ces jointes quâ€™il pourrait contenir.
Afternoon Jerry,
I just wanted to make you aware that the global admin password for our Palmer Orthodontics account has expired and will need to be reset.
[image]
Please let me know when you are able to do that and if you needed to change the password at all.
Thank you,
Rory Maguire
HostedBizz Inc.
www.hostedbizz.com
[/Users/paulbutcher/Library/Containers/com.microsoft.Outlook/Data/Library/Caches/Signatures/signature_610490521][/Users/paulbutcher/Library/Containers/com.microsoft.Outlook/Data/Library/Caches/Signatures/signature_166302351]</t>
  </si>
  <si>
    <t>Stephane Thibodeau</t>
  </si>
  <si>
    <t>Stephane Thibodeau - Cannot log into laptop</t>
  </si>
  <si>
    <t>Hello ,
Can i have a technician call me to help me log in into laptop. Thanks 
Sent from my iPhone
[image]Â Stephane Thibodeau
Shop Foreman
T: +1 (780) 826-8941
C: +1 (780) 812-4927
F: +1 (780) 826-1913
E: Stephane@bearaccessenviro.com
W: WWW.BEARACCESSENVIRO.COM
7402 - 50 Avenue, Bonnyville, AB,       T9N 2H9
The information contained in this e-mail       may contain confidential or privileged material and is intended only for       the stated addressee(s). If you are not the valid addressee, the use,       disclosure, copying or distribution of this information is prohibited and       may be unlawful. If you have received this email message in error, please       notify the sender immediately and delete all copies of the message from       your computer. All information within or opinions expressed in this       message and/or any attachments are those of the author and are not       necessarily those of the Centurion Group.</t>
  </si>
  <si>
    <t>Jorge Bustamante</t>
  </si>
  <si>
    <t>Jorge Bustamante - OPAL - Tech Guide review - NC low disk space</t>
  </si>
  <si>
    <t>### Summary of Issue_x000D_
OPAL - Tech Guide review - NC low disk space_x000D_
  _x000D_
### Details of Issue_x000D_
https://nextdigital.itglue.com/1848012/docs/6855839
Owain knows this was coming :)_x000D_
  _x000D_
### If your callback number is different than what's on record, please provide it below._x000D_
Teams!_x000D_
  _x000D_
### Have you opened a ticket about this issue before?  _x000D_
 No  _x000D_
  _x000D_
### How many users are impacted by this issue?  _x000D_
 One  _x000D_
  _x000D_
### How would you classify this issue?  _x000D_
 Minor Inconvenience</t>
  </si>
  <si>
    <t>Barb Corsini - Excel Issues</t>
  </si>
  <si>
    <t>Hi Ken
Are you able to give me a call today please, I am having issues with excel
Things are appearing blank when I open
[image]
Thanks in advance
Barb Corsini
Office Manager
PH:Â Â  403 543-3322
Fax:Â  403 543-3325
bcorsini@capital-paper.com
http://www.capital-paper.com/
Capital Paper Recycling Ltd
10595 50th St S.E
Calgary AB
T2C 3E3
"Leaders in paper recoveryâ€
Effective immediately, due to the unsecured nature, we cannot accept Interac E-Transfers. *Unless Authorized by Kim Burns.
The information in this email and any attachments is sent by Capital Paper Recycling LTD. and is intended to be confidential and for the use of only the individual or entity named above. The information may be protected by solicitor-client privilege, work product immunity or other legal principles. If the reader of this message is not the intended recipient, you are notified that unauthorized review, retention, dissemination, distribution, copying or other use of or taking any action in reliance upon this information is strictly prohibited. 
If you received this email in error, please notify us immediately by email reply and delete or destroy this message and any copies.</t>
  </si>
  <si>
    <t>Mike Green</t>
  </si>
  <si>
    <t>Mike Green - Cant gte my CDK intellidealer to open</t>
  </si>
  <si>
    <t>### Summary of Issue_x000D_
Cant gte my CDK intellidealer to open_x000D_
  _x000D_
### Details of Issue_x000D_
try to go to the login page and it won't load_x000D_
  _x000D_
### Have you opened a ticket about this issue before?  _x000D_
 No  _x000D_
  _x000D_
### How many users are impacted by this issue?  _x000D_
 One  _x000D_
  _x000D_
### How would you classify this issue?  _x000D_
 Work Impacting</t>
  </si>
  <si>
    <t>Amanda Anderson</t>
  </si>
  <si>
    <t>Amanda Anderson - Outlook</t>
  </si>
  <si>
    <t>### Summary of Issue_x000D_
Outlook_x000D_
  _x000D_
### Details of Issue_x000D_
Outlook won't open_x000D_
  _x000D_
### If your callback number is different than what's on record, please provide it below._x000D_
403-708.2932_x000D_
  _x000D_
### Have you opened a ticket about this issue before?  _x000D_
 Yes  _x000D_
  _x000D_
### How many users are impacted by this issue?  _x000D_
 One  _x000D_
  _x000D_
### How would you classify this issue?  _x000D_
 Unable to Work</t>
  </si>
  <si>
    <t>Dave, your products will auto-renew soon.</t>
  </si>
  <si>
    <t>[image]
Open this email to find out on what dates they'll auto-renew. Â â€ŒÂ â€ŒÂ â€ŒÂ â€ŒÂ â€ŒÂ â€Œ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 â€ŒÂ â€ŒÂ â€ŒÂ â€ŒÂ â€ŒÂ â€ŒÂ â€ŒÂ â€ŒÂ â€ŒÂ â€ŒÂ â€ŒÂ â€ŒÂ â€ŒÂ â€ŒÂ â€ŒÂ â€ŒÂ â€ŒÂ â€ŒÂ â€ŒÂ â€ŒÂ â€ŒÂ â€ŒÂ â€ŒÂ â€ŒÂ â€ŒÂ â€ŒÂ â€ŒÂ â€ŒÂ â€ŒÂ â€ŒÂ â€ŒÂ â€ŒÂ â€ŒÂ â€ŒÂ â€ŒÂ â€ŒÂ â€ŒÂ â€Œ
[image]
24/7 Support:                          844 494-9067
Dave Beharrel â€” Customer Number: 209915579
Your products are about to auto-renew.
You did a good thing. And it's about to pay off. Enjoy your day knowing your stuff won't expire. We've got you covered. 
Your products will renew automatically on the dates listed below.
Manage Your Renewals
Ultimate Managed WordPress Websites Renewal
Connected tox4y.023.myftpupload.com
Auto-renews on 2021-02-15
$120.42 /        1 Year **
NOTICE: Your credit card will expire before your products are scheduled to automatically renew. If attempts to bill your credit card are unsuccessful, your products will expire. As a participant in VisaÂ®'s and MastercardÂ®'s Account Update Services, we are notified by banks of updates to your expiration date and/or card number, allowing for successful product renewal. To update your credit card information, or to change your automatic renewal status, please sign in to your account. 
IMPORTANT:Â If the credit card we have associated with each product for you has expired or been closed, we will not be able to automatically renew your product(s). To review and update your credit card information, or if you wish to cancel automatic renewal, log in to your account at MNP Technology Solutions. When you have accessed the account management area, click the "My Account" button on the left hand side of the screen. Then click the "Credit Cards and Payment Info" link. 
We also want to let you know thatthere's been a change to your terms of service. Your account will renew for an annual term,based on the original hosting purchase. If you would prefer to renew monthly, you need to change your renewal term to a single month. 
IMPORTANT:Â We will automatically renew the above service(s) on the renewal date and charge the credit card you have associated with each product. To review and update your payment information, or if you wish to cancel automatic renewal,log in to your account.
**Total shown is the price for the full term indicated. If you change the term when you renew, your pricing may be different. Prices are current as of February-05-21, and may be changed without notice. Prices do not include the cost of any "add-on" products that were purchased in connection with the products listed (such as additional bandwidth or email boxes). Prices do not include taxes and fees when applicable.
Please do not reply to this email. Emails sent to this address will not be answered.
Copyright Â© 2021 MNP Technology Solutions. All rights reserved.
4480964616</t>
  </si>
  <si>
    <t>Theresa Watson</t>
  </si>
  <si>
    <t>Need backup information from January 22</t>
  </si>
  <si>
    <t>David,
Iâ€™m wondering if you guys have a system backup from January 22 or sometime there about but prior to Jan 25. I am particularly looking for Monique Auffrey and Rachel Anandâ€™s files on their personal drives and their emails prior to that. Can you tell if stuff was deleted around that time?
Please advise if this is possible and when you may be able to provide the information 403-816-6187. If you could get back to me first thing Friday morning I would really appreciate it.
Theresa Watson
No form of electronic communication is secure and may be intercepted by others. Carya cannot guarantee the receipt of electronic communication nor a timely response. Where communication is confidential or time sensitive we recommend you call 403-269-9888 during business hours (Monday-Friday, 8:30am-4:30pm). For immediate crisis response please contact the Distress Centre Crisis Line at 403-266-HELP (4537) and in case of an emergency dial 911.
This e-mail is intended solely for the person or entity to which it is addressed and may contain confidential and/or privileged information. Any review, dissemination, copying, printing, forwarding or other use of this e-mail by persons or entities other than the addressee is prohibited. If you have received this e-mail in error, please contact the sender immediately and delete the material from your computer.</t>
  </si>
  <si>
    <t>Fortinet Renewal - Support Expires 22-MAR-2021</t>
  </si>
  <si>
    <t>Kristi Perkins - Used Truck Folder access for Sarah Tiefenbach</t>
  </si>
  <si>
    <t>Hi,
Can you please give Sarah access to the Used Trucks folder in the S Drive?
Thanks,
Kristi Perkins, CPA, CGA
Controller
780-482-0275
From: Sarah Tiefenbach &lt;Sarah.Tiefenbach@calmont.ca&gt;
Sent: Thursday, February 4, 2021 10:10 AM
To: Kristi Perkins &lt;Kristi.Perkins@calmont.ca&gt;
Cc: Taylor Cooke &lt;Taylor.Cooke@calmont.ca&gt;
Subject: FW: Funding B0124C
Thanks Taylor,
Kristi can you update my access so I can use this folder? Currently I get the below message
[image]
Thanks,
Sarah Tiefenbach
Intermediate Accountant
780-482-0277
From: Taylor Cooke &lt;Taylor.Cooke@calmont.ca&gt;
Sent: February 4, 2021 10:08 AM
To: Sarah Tiefenbach &lt;Sarah.Tiefenbach@calmont.ca&gt;
Subject: RE: Funding B0124C
Hey Sarah,
I believe Karen is re-organizing the folder. Used trucks are now being kept separate from new truck:
[image]
Taylor Cooke
Business Manager
[image]
5475 â€“ 53rd Street SE Calgary, AB T2C-4P6
Direct: 403-723-8922Â Â Â  Cell: 403-464-0450Â Â Â  Branch: 403-236-1993Â Â Â  Fax: 403-720-0464Â Â Â  Toll Free: 1-888-823-6016
Email:Taylor.Cooke@calmont.ca
Website:www.calmont.ca
This email, and any files transmitted with it, are confidential and are intended solely for the use of the individual or entity to which they are addressed. Any unauthorized use or disclosure is prohibited. Please notify the sender if you have received this email in error. Thank you for your co-operation.</t>
  </si>
  <si>
    <t>jblumstock@tiap.ca added 1 new comment. Toronto Innovation Acceleration Partners/TIAP-1005 Judy blumstock @ TIAP - file/box cleanup 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
jblumstock@tiap.ca added 1 new comment.
Toronto Innovation Acceleration Partners
/Â Â   [image] Â  TIAP-1005
 Judy blumstock @ TIAP - file/box cleanup 
[image]  jblumstock@tiap.ca  6:30Â PMÂ EST
Hi Chuck 
Sorry about this - i couldn't get free when you called. 
Would tomorrow at 3 pm work? That is toronto time, as i recall your team is Edmonton based.
Best 
Judy
Sent from my iPhone
On Feb 4, 2021, at 5:37 PM, Chuck Corvec &lt;jira@t4gsupport.atlassian.net&gt; wrote:ï»¿
View issue
Get Jira notifications on your phone! Download the Jira Cloud app for Android or iOS.
Manage notifications   Â â€¢Â    Give feedback   Â â€¢Â    Privacy policy
[image]
[image]
[image]</t>
  </si>
  <si>
    <t>Julie Nadeau - All staff email for Lynda Rouleau</t>
  </si>
  <si>
    <t>### Summary of Issue_x000D_
All staff email_x000D_
  _x000D_
### Details of Issue_x000D_
can you make sure Lynda Rouleau is part of the all staff email as she has not been  receiving these emails._x000D_
  _x000D_
### Have you opened a ticket about this issue before?  _x000D_
 Yes  _x000D_
  _x000D_
### How many users are impacted by this issue?  _x000D_
 Some  _x000D_
  _x000D_
### How would you classify this issue?  _x000D_
 Work Impacting</t>
  </si>
  <si>
    <t>FW: access to Jenn Stroeder's files</t>
  </si>
  <si>
    <t>Hi,
Can you please provide Samara Kambeitz access to Jennifer Stroederâ€™ s profile on the cloud?Â  She needs to access some documents that are on there.
Please advise the steps she needs to access it once it is set up.
Thank you!
Leanna
From: Samara Kambeitz &lt;samarak@caryacalgary.ca&gt; 
Sent: Monday, February 1, 2021 9:10 AM
To: Leanna Craig &lt;leannac@caryacalgary.ca&gt;; Susan Herman &lt;susanh@caryacalgary.ca&gt;
Subject: access to Jenn Stroeder's files
Hi Leanna and Susan,
I am wondering if I could have access to Jennâ€™s files on the cloud? There are a few documents for the re-design that we need and she forgot to send them to us.Â  I am hoping they are there!
Thank you,
Samara
[image]
Samara Kambeitz, BHSc
Pronouns: She/Her
Supervisor-Youth Engagement Programs
D: 403-205-5256 |C: 587-891-9638| F: 403-205-5281
samarak@caryacalgary.ca
180, 839 5 Ave SW | Calgary, AB | T2P 3C8
[image]Â [image][instagram-1675670]Â [image]
carya (formerly Calgary Family Services)
Stay up to date with the latest carya news, programs, and events by signing up for ourmonthly newsletter.
In the spirit of our efforts to promote reconciliation, we acknowledge the traditional territories and oral practices of the Blackfoot, the Tsuut'ina, the Stoney Nakoda First Nations, the MÃ©tis Nation Region 3, and all people who make their homes in the Treaty 7 region of Southern Alberta. We also respectfully acknowledge that the province of Alberta is comprised of Treaty 6, Treaty 7, and Treaty 8 territory, the traditional lands of First Nations and MÃ©tis peoples.
No form of electronic communication is secure and may be intercepted by others. Carya cannot guarantee the receipt of electronic communication nor a timely response. Where communication is confidential or time sensitive we recommend you call 403-269-9888 during business hours (Monday-Friday, 8:30am-4:30pm). For immediate crisis response please contact the Distress Centre Crisis Line at 403-266-HELP (4537) and in case of an emergency dial 911.
This e-mail is intended solely for the person or entity to which it is addressed and may contain confidential and/or privileged information. Any review, dissemination, copying, printing, forwarding or other use of this e-mail by persons or entities other than the addressee is prohibited. If you have received this e-mail in error, please contact the sender immediately and delete the material from your computer.</t>
  </si>
  <si>
    <t>Linette Denison</t>
  </si>
  <si>
    <t>QuoteValet: ACCEPTED: #AAAQ20055 Adobe DC</t>
  </si>
  <si>
    <t>CAUTION: This email originated from outside of the MNP network. Be cautious of any embedded links and/or attachments.
MISE EN GARDE: Ce courriel ne provient pas du rÃ©seau de MNP. MÃ©fiez-vous des liens ou piÃ¨ces jointes quâ€™il pourrait contenir.
[image]
780-424-6398
14505 114th Avenue NW, Edmonton, AB, T5M 2Y8
Dear Shawn Kubiski,
This is an automated notification from the QuoteValet system.
****QUOTE ACCEPTED****Acceptance Details:
Name: Linette Rasmussen
Email Address: Lrasmussen@dursim.com
Signature: *****************
From IP Address: 209.90.171.71
Acceptance Key: 76329f00b3322313d670ef0b7b8a814d
Quote #AAAQ20055 Adobe DC
Internal Review Quote Link: https://www.quotevalet.com/concierge.aspx?TenantId=cea2edee-e401-4b8b-9e82-d745c217b9a3&amp;DocumentId=fba02148-eab3-4de6-8387-3377ad08f5a3&amp;internal=1
This email was created using QuoteValet - The online quote delivery and acceptance vehicle forQuoteWerks.</t>
  </si>
  <si>
    <t xml:space="preserve">Quote Request -  New CEO Theresa Watson - Docking Station </t>
  </si>
  <si>
    <t xml:space="preserve">Extended Summary_x000D_
Quote Request - Carya Calgary - New CEO Theresa Watson - Docking Station (Laptop - Dell Inspiron 13-5378)_x000D_
_x000D_
Description_x000D_
### End User Hardware  _x000D_
  _x000D_
### What company is this quote for?_x000D_
Carya Calgary_x000D_
  _x000D_
### Who made this request and why?_x000D_
Joanne Chaolner - New CEO Teresa requires compatible docking station_x000D_
  _x000D_
### Give this request a name_x000D_
New CEO Theresa Watson - Docking Station (Laptop - Dell Inspiron 13-5378)_x000D_
  _x000D_
### Who should the quote be addressed to?  _x000D_
 The primary contact in Connectwise  _x000D_
  _x000D_
### Which location is the product for?_x000D_
Calgary_x000D_
  _x000D_
### Which ND location is it needed at?  _x000D_
 Next Digital Calgary  _x000D_
  _x000D_
### When is it needed by OR when is the next site visit for the client's location?  _x000D_
Wed 10 Feb, 2021  _x000D_
  _x000D_
### Do you need labour quoted?  _x000D_
 No  _x000D_
  _x000D_
### What products do you need on this quote?  _x000D_
 Accessories (Mice, keyboards, RAM/SSD upgrades etc)  _x000D_
  _x000D_
### Accessories  _x000D_
  _x000D_
### What do you need?  _x000D_
 Other  _x000D_
  _x000D_
### What do you need?_x000D_
Docking Station for Laptop Model - Dell Inspiron 13-5378_x000D_
  _x000D_
### What products do you need quoted?_x000D_
Docking Station_x000D_
</t>
  </si>
  <si>
    <t>Diane Dysievick</t>
  </si>
  <si>
    <t>Helen Wong - Duggan House printer relocation</t>
  </si>
  <si>
    <t>Hello,
There is a printer in the Duggan House office that was set up for use to my printer only.
We like to move that printer to the main floor, (I think Diane may be able to do - Diane to confirm)
Can someone reach out to Diane to set up the link for Diane to use the printer at the office.
Thanks
Helen Wong CPA, CMA
Administration and Finance Manager
The Alberta Association of Architects
Duggan House| 10515 Saskatchewan Dr., NW
Edmonton, AB| T6E 4S1
ph: 780.432.0224 ext. 212| fax:780.439.1431
website|eBulletin|LinkedIn|Facebook|Twitter
Please note that all AAA staff are working remotely and the office at Duggan House is closed to the public until further notice. We strive to maintain a high level of service and will respond to your email within 3 business days. Please visitwww.aaa.ab.ca for further updates. Thank you for your patience during this time.
Confidentiality Note: This email may contain confidential and/or private information. 
If you received this email in error please delete and notify sender.</t>
  </si>
  <si>
    <t>Kim Heykants</t>
  </si>
  <si>
    <t>Kim Heykants - Assistance to open a file saved from a disc</t>
  </si>
  <si>
    <t>### Summary of Issue_x000D_
Assistance to open a file saved from a disc_x000D_
  _x000D_
### Details of Issue_x000D_
Our client brought us a cd disc woith video surveillance from an accident that we needed to download/copy so that we could upload the file to an insurance company adjuster. Michelle completed this, shared to me on the 'S' drive, however I can't open any the files and need your assistance to do so. Thank you, Kim_x000D_
  _x000D_
### If your callback number is different than what's on record, please provide it below._x000D_
Work: 587-525-6036; Cell 587-990-2417_x000D_
  _x000D_
### Have you opened a ticket about this issue before?  _x000D_
 No  _x000D_
  _x000D_
### How many users are impacted by this issue?  _x000D_
 One  _x000D_
  _x000D_
### How would you classify this issue?  _x000D_
 Work Impacting</t>
  </si>
  <si>
    <t>FW: Laptop</t>
  </si>
  <si>
    <t>Shawn Kubiski
Partner
PH. +1 7804246398
14505 114th Avenue NW
Edmonton, AB
T5M2Y8
Shawn.Kubiski@mnp.ca
mnp.ca[image]
[image]
From: Cam Robinson &lt;Cam@dynaflo.com&gt; 
Sent: Thursday, February 4, 2021 2:00 PM
To: Shawn Kubiski &lt;skubiski@nextdigital.ca&gt;
Subject: Laptop
CAUTION:This email originated from outside of the MNP network. Be cautious of any embedded links and/or attachments.
MISE EN GARDE:Ce courriel ne provient pas du rÃ©seau de MNP. MÃ©fiez-vous des liens ou piÃ¨ces jointes quâ€™il pourrait contenir.
Shawn can you sell me a Lenovo laptop still? Something similar to below. Want to connect it to a separate monitor and wireless mouse/keyboard.
[image]
[25 years Dyna-Flo-Logo (2)]
Regards, Cam Robinson
1911 66 Avenue. Edmonton
Alberta, Canada T6P-1M5
Direct Line 780-577-3699
www.dynaflo.com</t>
  </si>
  <si>
    <t>High-severity alert: Microsoft 365 compliance center</t>
  </si>
  <si>
    <t>[image]
A high-severity alert has been triggered
âš Microsoft 365 compliance center
Severity:â—High
Time:2/4/2021 9:47:36 PM (UTC)
Activity:Protection
Details: 1 message hit on a5cff8b5-c23e-467f-2000-08d8c95669b2-18316725532210581403-1, sent by cweinmeyer@me.com to kieran.porter@igloo.ca at time 2/4/2021 9:47:36 PM.
                        View alert details                    
Thank you, 
The Office 365 Team
[image]
One Microsoft Way
Redmond, WA
98052-6399 USA
Privacy | Legal</t>
  </si>
  <si>
    <t>Leta Price</t>
  </si>
  <si>
    <t>Leta Price - Need to change Password</t>
  </si>
  <si>
    <t>### Summary of Issue_x000D_
Need to change Password_x000D_
  _x000D_
### Details of Issue_x000D_
Neeed to change password_x000D_
  _x000D_
### Have you opened a ticket about this issue before?  _x000D_
 No  _x000D_
  _x000D_
### How many users are impacted by this issue?  _x000D_
 One  _x000D_
  _x000D_
### How would you classify this issue?  _x000D_
 Minor Inconvenience</t>
  </si>
  <si>
    <t>Cala Hills</t>
  </si>
  <si>
    <t>Cala Hills - Laptop very slow to or will not start up</t>
  </si>
  <si>
    <t>### Summary of Issue_x000D_
Laptop very slow to or will not start up_x000D_
  _x000D_
### Details of Issue_x000D_
The laptop number is X-5746 and it often will not start up or will freeze until you take the battery out to try and restart it. Even sometimes when the battery is out it still will take a very long time to reset._x000D_
  _x000D_
### If your callback number is different than what's on record, please provide it below._x000D_
7804791609_x000D_
  _x000D_
### Have you opened a ticket about this issue before?  _x000D_
 No  _x000D_
  _x000D_
### How many users are impacted by this issue?  _x000D_
 Everyone  _x000D_
  _x000D_
### How would you classify this issue?  _x000D_
 Work Impacting</t>
  </si>
  <si>
    <t>Susanne Staer added 1 new comment. Toronto Innovation Acceleration Partners/TIAP-1019 Upgrade to Zoom - staff 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
Susanne Staer added 1 new comment.
Toronto Innovation Acceleration Partners
/Â Â   [image] Â  TIAP-1019
 Upgrade to Zoom - staff 
[image]  Susanne Staer  3:48Â PMÂ EST
Further to this, John McGraw has his own computer and may not need your help. He mentioned the following â€“ would that be a good idea?
note that Zoom upgrades around every Monday or so. I might recommend that IT start a regular upgrade schedule with the team as everyone uses it every day. Perhaps every other month for Zoom and all other software (system, office, zoom etc).
Makes sense to me â€“ what do you say?
View issue
Get Jira notifications on your phone! Download the Jira Cloud app for Android or iOS.
Manage notifications   Â â€¢Â    Give feedback   Â â€¢Â    Privacy policy
[image]
[image]
[image]</t>
  </si>
  <si>
    <t>Edmonton Community Foundation</t>
  </si>
  <si>
    <t>Karen Gingras</t>
  </si>
  <si>
    <t>Hi Sean, we are experiencing another issue with excel.Â  I tried to open a file and received the message below.Â  My work around was to download the file and save it as rent roll 2021 (1).
What can we do to avoid this in the future?
[image]
Karen GingrasÂ Â 
Director of Neighbourhood DevelopmentÂ Â 
Edmonton Community Development CompanyÂ Â 
Phone: 780.306.4456 (ext. 2)
The Edmonton CDC is transforming 10 derelict properties into neighbourhood assets:Â 
Learn more about ourÂ Project 10Â initiative on our website!
[image][image][image][image]</t>
  </si>
  <si>
    <t>Frogbelly Printing and Promotions</t>
  </si>
  <si>
    <t>Frogbelly - Webcam with privacy guard</t>
  </si>
  <si>
    <t>Curt Giacomoni
Project Estimator
PH.Â +1 7804246398
14505 114th Avenue NW
Edmonton, AB
T5M2Y8
Curt.Giacomoni@mnp.ca
mnp.ca[image]
[image]
From: Cheryl Thomas &lt;Cheryl@frogbelly.ca&gt; 
Sent: Thursday, February 4, 2021 10:25 AM
To: Curt Giacomoni &lt;Curt.Giacomoni@mnp.ca&gt;
Subject: RE: QuoteValet: Thank you for your order - Service Ticket #1333830 - Frogbelly - Windows 10 upgrade
CAUTION:This email originated from outside of the MNP network. Be cautious of any embedded links and/or attachments.
MISE EN GARDE:Ce courriel ne provient pas du rÃ©seau de MNP. MÃ©fiez-vous des liens ou piÃ¨ces jointes quâ€™il pourrait contenir.
That will do â€“ something so it isnâ€™t on all the time or accessible all the time.
Thank you Cheryl
From: Curt Giacomoni &lt;Curt.Giacomoni@mnp.ca&gt; 
Sent: February-03-21 5:30 PM
To: Cheryl Thomas &lt;Cheryl@frogbelly.ca&gt;
Subject: RE: QuoteValet: Thank you for your order - Service Ticket #1333830 - Frogbelly - Windows 10 upgrade
Hmm thatâ€™s not a feature Iâ€™ve ever heard of in a webcam. A lot of them will have physical privacy guards, a little lid you can slide over the camera so it canâ€™t see anything when youâ€™re not using it. Thatâ€™s the closest thing Iâ€™ve heard of.
Curt Giacomoni
Project Estimator
PH.Â +1 7804246398
14505 114th Avenue NW
Edmonton, AB
T5M2Y8
Curt.Giacomoni@mnp.ca
mnp.ca
[image]
[image]
From: Cheryl Thomas &lt;Cheryl@frogbelly.ca&gt; 
Sent: Wednesday, February 3, 2021 4:40 PM
To: Curt Giacomoni &lt;Curt.Giacomoni@mnp.ca&gt;
Subject: RE: QuoteValet: Thank you for your order - Service Ticket #1333830 - Frogbelly - Windows 10 upgrade
CAUTION:This email originated from outside of the MNP network. Be cautious of any embedded links and/or attachments.
MISE EN GARDE:Ce courriel ne provient pas du rÃ©seau de MNP. MÃ©fiez-vous des liens ou piÃ¨ces jointes quâ€™il pourrait contenir.
Yes please â€“ one that is has power on/off by operator
From: Curt Giacomoni &lt;Curt.Giacomoni@mnp.ca&gt; 
Sent: February-03-21 4:21 PM
To: Cheryl Thomas &lt;Cheryl@frogbelly.ca&gt;; Sales - MNP IT Managed Services &lt;sales@mnptechnology.ca&gt;
Subject: RE: QuoteValet: Thank you for your order - Service Ticket #1333830 - Frogbelly - Windows 10 upgrade
Hi Cheryl, this monitor does not have a webcam built into it. Some monitors do, but to be honest,Â  the most cost efficient way to do this is a separate video camera that sits on top of the monitor. Did you want me to get a quote for one for you?
Curt Giacomoni
Project Estimator
PH.Â +1 7804246398
14505 114th Avenue NW
Edmonton, AB
T5M2Y8
Curt.Giacomoni@mnp.ca
mnp.ca
[image]
[image]
From: Cheryl Thomas &lt;Cheryl@frogbelly.ca&gt; 
Sent: Wednesday, February 3, 2021 11:30 AM
To: Sales - MNP IT Managed Services &lt;sales@mnptechnology.ca&gt;
Subject: RE: QuoteValet: Thank you for your order - Service Ticket #1333830 - Frogbelly - Windows 10 upgrade
CAUTION:This email originated from outside of the MNP network. Be cautious of any embedded links and/or attachments.
MISE EN GARDE:Ce courriel ne provient pas du rÃ©seau de MNP. MÃ©fiez-vous des liens ou piÃ¨ces jointes quâ€™il pourrait contenir.
Sorry Curt â€“ One more question about that monitor â€“ does it have the ability to video conference???Â  One of the boards Iâ€™m one we have our meetings via conference so that would be great!
Cheryl
From: Curt Giacomoni &lt;sales@mnptechnology.ca&gt; 
Sent: February-03-21 10:57 AM
To: Cheryl Thomas &lt;Cheryl@frogbelly.ca&gt;
Subject: QuoteValet: Thank you for your order - Service Ticket #1333830 - Frogbelly - Windows 10 upgrade
[Image removed by sender.]
780-424-6398
14505 114th Avenue NW, Edmonton, AB, T5M 2Y8
Dear Cheryl Thomas,
This is an automated notification from the QuoteValet system.
Thank you for accepting quote #AAAQ19873-02. We sincerely appreciate your business, our sales team has been notified and we will begin processing your order.
Per the Electronic Signature Act we've attached a copy of the quote you've accepted.
Acceptance Details:
Name: Cheryl Thomas
Email Address: Cheryl@frogbelly.ca
Signature: *****************
From IP Address: 209.89.40.43
Acc...</t>
  </si>
  <si>
    <t>Ken Cowie</t>
  </si>
  <si>
    <t>### Which application has a problem or bug?  _x000D_
 ConnectWise Automate  _x000D_
  _x000D_
### What is the URL or Ticket Number where you are experiencing this problem?_x000D_
1357016_x000D_
  _x000D_
### Describe the issue._x000D_
Does ConnectWise SSO work withthe Automate thick client?  Darryl has to sign in twice when using it - once into CW and then into his MS account.  Jorge and I also get 2 credential prompts.</t>
  </si>
  <si>
    <t>Ellyn Berg</t>
  </si>
  <si>
    <t>printer</t>
  </si>
  <si>
    <t>Hi,
Must reboot everyday to get printer to function.
Can this be fixed?
Ellyn Berg, Senior Registered Interior Designer
NCIDQ Certificate #017331 LEED AP IDAS IDC
Group2
Architecture Interior Design
630c 10th Street E Saskatoon SK S7H 0G9
T +1 306 979 2935
group2.ca
Group2 is committed to being both responsive and responsible in navigating thes extraordinary times with everyoneâ€™s safety in mind. Since the outset of the COVID019 Situation, we have enable our employees to work remotely, allowing us to continue business operations and maintain our client commitments.
This email and any files transmitte with it are confidential and intended solely for the use of the individual or entity to whom they are addressed.Â  If you have received this email in error please notify the system manager. This message contains confidential information and is intended only for the individual named. If you are not the named addressee you should not disseminate, distribute or copy this email.</t>
  </si>
  <si>
    <t>Joey Leslie</t>
  </si>
  <si>
    <t>Same issues still occurring</t>
  </si>
  <si>
    <t>Good afternoonÂ 
I am still having issues with my computer.Â 
E4C-D-7006
[image]
Joey LeslieÂ 
Site ManagerÂ 
Cell: 780-222-3388
Sent from my iPhone
JoeyLeslie, (she/her) e4c
Site Manager
Youth Housing Program
JLeslie@e4calberta.org
C780.222.3388
F780.471.2311
Edmonton AB T5H 3T7
e4calberta.org
[image]
This message is intended for the use of the individual or entity to which it is addressed and may contain information that is privileged and confidential. If you are not the intended recipient or the employee responsible for delivery of the message to the intended recipient, please be advised that any dissemination, distribution or copying of this message is strictly prohibited. If you have received this message in error, please notify us immediately by telephone and return the original email to us or destroy this message.
[image]e4c supports environmental conservation - please print wisely.</t>
  </si>
  <si>
    <t>Julie Nadeau - Printer setting</t>
  </si>
  <si>
    <t>### Summary of Issue_x000D_
Printer setting_x000D_
  _x000D_
### Details of Issue_x000D_
Please set colour print for my computer 
with the PML- Counsellor Xerox C8045_x000D_
  _x000D_
### Have you opened a ticket about this issue before?  _x000D_
 No  _x000D_
  _x000D_
### How many users are impacted by this issue?  _x000D_
 One  _x000D_
  _x000D_
### How would you classify this issue?  _x000D_
 Minor Inconvenience</t>
  </si>
  <si>
    <t>Brian Ryu</t>
  </si>
  <si>
    <t>Pilgrim's Hospice - NC ThinPrint License</t>
  </si>
  <si>
    <t>Hello,
I am currently following the procedure to create a new user for the Pilgrim's Hospice organization.
Documents - User Onboarding (itglue.com)
Service Ticket #1357867. New User is Rebekah Gilbert.
https://ndconnect.nextdigital.ca/v4_6_release/services/system_io/Service/fv_sr100_request.rails?service_recid=1357867&amp;companyName=nextdigital
According to the procedure, if there are no more licenses on the ThinPrint Management Console, I am to email help@nextdigital.ca
Herein is the email.
[image]
Brian Ryu
Field Services Technician
PH.Â +1 7804246398
14505 114th Avenue NW
Edmonton, AB
T5M2Y8
Brian.Ryu@mnp.ca
mnp.ca[image]
[image]
This email and any accompanying attachments contain confidential information intended only for the individual or entity named above. Any dissemination or action taken in reliance on this email or attachments by anyone other than the intended recipient is strictly prohibited. If you believe you have received this message in error, please delete it and contact the sender by return email. In compliance with Canada's Anti-spam legislation (CASL), if you do not wish to receive further electronic communications from MNP, please reply to this email with "REMOVE ME" in the subject line.</t>
  </si>
  <si>
    <t>Darryl Burkhardt</t>
  </si>
  <si>
    <t>Quote Request - USB A to B Cable for printer - USB A to B request</t>
  </si>
  <si>
    <t>### End User Hardware  _x000D_
  _x000D_
### What company is this quote for?_x000D_
USB A to B Cable for printer_x000D_
  _x000D_
### Who made this request and why?_x000D_
Poundmaker's Lodge_x000D_
  _x000D_
### Give this request a name_x000D_
USB A to B request_x000D_
  _x000D_
### Who should the quote be addressed to?  _x000D_
 The primary contact in Connectwise  _x000D_
  _x000D_
### Which location is the product for?_x000D_
St. Alberta_x000D_
  _x000D_
### Is there an existing ticket on another Connectwise board? If so what is the ticket number?_x000D_
1356988_x000D_
  _x000D_
### Which ND location is it needed at?  _x000D_
 Next Digital Edmonton  _x000D_
  _x000D_
### When is it needed by OR when is the next site visit for the client's location?  _x000D_
Thu 11 Feb, 2021  _x000D_
  _x000D_
### Do you need labour quoted?  _x000D_
 No  _x000D_
  _x000D_
### What products do you need on this quote?  _x000D_
 Accessories (Mice, keyboards, RAM/SSD upgrades etc)  _x000D_
  _x000D_
### Accessories  _x000D_
  _x000D_
### What do you need?  _x000D_
 Other  _x000D_
  _x000D_
### What do you need?_x000D_
USB A to B cable for printer connection to computer._x000D_
  _x000D_
### What products do you need quoted?_x000D_
USB A to B cable</t>
  </si>
  <si>
    <t>Lina-Fan@poundmaker.org</t>
  </si>
  <si>
    <t>Adobe Acrobat installed on RDS for Lina Fan to use.</t>
  </si>
  <si>
    <t>### What company is this quote for?_x000D_
Poundmaker's Lodge_x000D_
  _x000D_
### Who should the quote be addressed to?  _x000D_
 The primary contact in Connectwise  _x000D_
  _x000D_
### Which location is the product for?_x000D_
St. Albert_x000D_
  _x000D_
### Is there an existing ticket on another Connectwise board? If so what is the ticket number?_x000D_
1356988_x000D_
  _x000D_
### Which ND location is it needed at?  _x000D_
 Next Digital Edmonton  _x000D_
  _x000D_
### When is it needed by OR when is the next site visit for the client's location?  _x000D_
Thu 11 Feb, 2021  _x000D_
  _x000D_
### What do you need quoted?_x000D_
Adobe Acrobat installed on RDS servers for Lina Fan to use. (1 license, perhaps a few more) This it not for everyone to use on RDS.</t>
  </si>
  <si>
    <t>Kourch Chan</t>
  </si>
  <si>
    <t>Kourch Chan - Grant Luiza Coelho permission to e4c shared folder</t>
  </si>
  <si>
    <t>### Summary of Issue_x000D_
Grant Luiza Coelho permission to e4c shared folder_x000D_
  _x000D_
### Details of Issue_x000D_
As Luiza Coelho is the lead in e4c's shared folder restructuring - could you please grant her access and read permission to N:\Housing &amp; Mental Health Division?  Thank you._x000D_
  _x000D_
### Have you opened a ticket about this issue before?  _x000D_
 No  _x000D_
  _x000D_
### How many users are impacted by this issue?  _x000D_
 One  _x000D_
  _x000D_
### How would you classify this issue?  _x000D_
 Work Impacting</t>
  </si>
  <si>
    <t>Edmonton Minor Hockey Association</t>
  </si>
  <si>
    <t>Steve Hogle</t>
  </si>
  <si>
    <t>Hockey Edmonton - Surface Pro</t>
  </si>
  <si>
    <t>Joe â€“ Hockey Edmonton
Surface w/ type cover â€“ Standard i5/8G/256
Curt Giacomoni
Project Estimator
PH.Â +1 7804246398
14505 114th Avenue NW
Edmonton, AB
T5M2Y8
Curt.Giacomoni@mnp.ca
mnp.ca[image]
[image]</t>
  </si>
  <si>
    <t>Bronwyn Ryan</t>
  </si>
  <si>
    <t>Bronwyn Ryan - Update Signature</t>
  </si>
  <si>
    <t>### Summary of Issue_x000D_
Update Signature_x000D_
  _x000D_
### Details of Issue_x000D_
Please add cell phone number to email signature
780 721 2331_x000D_
  _x000D_
### If your callback number is different than what's on record, please provide it below._x000D_
780 721 2331_x000D_
  _x000D_
### Have you opened a ticket about this issue before?  _x000D_
 No  _x000D_
  _x000D_
### How many users are impacted by this issue?  _x000D_
 One  _x000D_
  _x000D_
### How would you classify this issue?  _x000D_
 Minor Inconvenience</t>
  </si>
  <si>
    <t>Quote Request - Poundmaker - System(X-2730) needs replacement HDD/ 3 systems need RAM upgrad...</t>
  </si>
  <si>
    <t xml:space="preserve">Extended Summary_x000D_
Quote Request - Poundmaker - System(X-2730) needs replacement HDD/ 3 systems need RAM upgrade(X-2730, 1576 &amp; 3797)_x000D_
_x000D_
Description_x000D_
### End User Hardware  _x000D_
  _x000D_
### What company is this quote for?_x000D_
Poundmaker_x000D_
  _x000D_
### Who made this request and why?_x000D_
Thomas: System(X-2730) needs replacement HDD/ 3 systems need RAM upgrade_x000D_
  _x000D_
### Give this request a name_x000D_
System(X-2730) needs replacement HDD/ 3 systems need RAM upgrade(X-2730, 1576 &amp; 3797)_x000D_
  _x000D_
### Who should the quote be addressed to?  _x000D_
 The primary contact in Connectwise  _x000D_
  _x000D_
### Which location is the product for?_x000D_
main_x000D_
  _x000D_
### Is there an existing ticket on another Connectwise board? If so what is the ticket number?_x000D_
1349039_x000D_
  _x000D_
### Which ND location is it needed at?  _x000D_
 Next Digital Edmonton  _x000D_
  _x000D_
### When is it needed by OR when is the next site visit for the client's location?  _x000D_
Fri 5 Feb, 2021  _x000D_
  _x000D_
### Do you need labour quoted?  _x000D_
 No  _x000D_
  _x000D_
### What products do you need on this quote?  _x000D_
 Accessories (Mice, keyboards, RAM/SSD upgrades etc)  _x000D_
  _x000D_
### Accessories  _x000D_
  _x000D_
### What do you need?  _x000D_
 RAM Upgrade  _x000D_
 HDD/SSD  _x000D_
  _x000D_
### Ram Upgrade_x000D_
X-1576:MN-Lenovo4004H1U/SN MJ50WN8   X-2730:MN-Lenovo10AY001RUS/SN MJ01YG6A    X-3797: Lenovo10HY0020US/SN MJ0431V7    All system currently have 4gb and should add 4gb each_x000D_
  _x000D_
### HDD/SSD  _x000D_
 250GB SSD  _x000D_
  _x000D_
### What form factor is the drive bay this needs to be installed into?  _x000D_
 2.5" SATA  _x000D_
  _x000D_
### Quantity required_x000D_
1_x000D_
  _x000D_
### What products do you need quoted?_x000D_
1X 2.5" SSD and 3 pieces of 4GB RAM_x000D_
</t>
  </si>
  <si>
    <t>Access to all tickets in Client Portal</t>
  </si>
  <si>
    <t>Submitted on behalf of Rhonda at Alberta Pulse.
Turn on permissions to view All Tickets in Client Portal.
Chris Ippolito
Manager, Client Experience
PH.Â +1 7804246398       Ext 312
14505 114th Avenue NW
Edmonton,       AB
T5M2Y8
Chris.Ippolito@mnp.ca
mnp.ca [image]
[image]
From: Rhonda Lafreniere &lt;rlafreniere@albertapulse.com&gt;
Sent: Thursday, February 4, 2021 10:47 AM
To: Chris Ippolito &lt;Chris.Ippolito@mnp.ca&gt;
Subject: RE: help me see all staff tickets on the portal 
CAUTION: This email originated from outside of the MNP network. Be cautious of any embedded links and/or attachments.
MISE EN GARDE:Ce courriel ne provient pas du rÃ©seau de MNP. MÃ©fiez-vous des liens ou piÃ¨ces jointes quâ€™il pourrait contenir.
To be honest, the last time I looked was probably summer.Â  June/July/Aug
Rhonda
From: Chris Ippolito &lt;Chris.Ippolito@mnp.ca&gt;
Sent: Thursday, February 4, 2021 10:44 AM
To: Rhonda Lafreniere &lt;rlafreniere@albertapulse.com&gt;
Subject: Re: help me see all staff tickets on the portal
Hi Rhonda,
I'll submit a request to get that turned back on. Do you remember the last time you were able to see all the tickets? I want to see if something was changed on our end that caused this to happen.
Thanks
Chris Ippolito
Manager, Client Experience
PH.Â +1 7804246398 Ext 312
14505 114th Avenue NW
Edmonton, AB
T5M2Y8
Chris.Ippolito@mnp.ca
mnp.ca
[image]
[image]
From: Rhonda Lafreniere &lt;rlafreniere@albertapulse.com&gt;
Sent: Thursday, February 4, 2021 10:16 AM
To: Chris Ippolito &lt;Chris.Ippolito@mnp.ca&gt;
Subject: RE: help me see all staff tickets on the portal
CAUTION: This email originated from outside of the MNP network. Be cautious of any embedded links and/or attachments.
MISE EN GARDE:Ce courriel ne provient pas du rÃ©seau de MNP. MÃ©fiez-vous des liens ou piÃ¨ces jointes quâ€™il pourrait contenir.
I did find the ticket and sent you a cc.
But I will still need ALL the tickets turned onJ
Rhonda
From: Rhonda Lafreniere 
Sent: Thursday, February 4, 2021 10:04 AM
To: Chris Ippolito &lt;Chris.Ippolito@mnp.ca&gt;
Subject: help me see all staff tickets on the portal
Hi Chris,
When I open the portal, and look and at open and closed tickets.Â  I am only seeing my own.
I used to be able to see all staff tickets.Â  Can you have a look for me and essentially turn it on for me to see all staff submitted tickets.
I am looking for the ticket aboutaammeter@albertapulse.comnot working.Â  Carmen submitted a ticket last week (again) and I got a phone call about this issue.
I was told by â€œcant remember tech nameâ€ the reason for this bounceback is because she has it forwarded to a personal email.
I asked the â€œtechâ€ to contact her to have this rectified, and un-forward her email and help her to view two emails on the same device.
Her email has not worked for 6 months or so. Â For her to get the email immediately we have been sending to her personal email.
As of this morning her email is still bouncing back.Â Â  I would like to respond to this ticket in the portal
Thanks Chris!
Rhonda Lafreniere
Business Manager| Alberta Pulse Growers
t780.612-2803 Directf 780.980.2570
albertapulse.com
[cid:image001.png@01D2F4B4.6B692830]
The information contained in this message and in any attachments to this message is intended for the exclusive use of the addressee(s) and may contain confidential or privileged information.Â  If you have received this email incorrectly, please notify the sender (via email) immediately and destroy all copies of this message and any attachments.
This email and any accompanying attachments contain confidential information intended only for the individual or entity named above. Any dissemination or action taken in reliance on this email or attachments by anyone other than the intended recipient is strictly prohibited. If you believe you have received this message in error, please delete it and contact the sender by return email. In compliance with Canada's Anti-spam legislation (CASL), if you do not wish to receive further electronic communications from...</t>
  </si>
  <si>
    <t>Lambourne Enviromental Ltd</t>
  </si>
  <si>
    <t>Luella Foulston</t>
  </si>
  <si>
    <t>Computers on antivirus plan</t>
  </si>
  <si>
    <t>Hello,Â 
I don't think we have all our computers on our antivirus plan. Can you let me know what you have and I can see which ones we need to add, if that's the easiest way?Â 
Thanks,Â 
-- 
Luella Foulston
[image]
51 Belich Crescent, Red Deer County, AB, T4S 2K5
Main: 403-348-8298
email: luella@lambourne.ca
www.lambourne.ca</t>
  </si>
  <si>
    <t>Fidelis Uduehi</t>
  </si>
  <si>
    <t>Amin Hirji - FW: Lenovo renewal - Mexico - Expiry date 25/03/2021</t>
  </si>
  <si>
    <t>Update the contact of the vendor for the Mexico server renewal
And leave the ticket open until we renew it.
Whoever worked on the ticket can talk with me to understand the process for future
Amin Hirji
From: Patricia Salido &lt;patricia.salido@epdww.com&gt; 
Sent: Thursday, February 4, 2021 9:08 AM
To: Amin Hirji &lt;Amin.Hirji@igloo.ca&gt;
Subject: Lenovo renewal - Mexico - Expiry date 25/03/2021
Dear Amin,
I hope you are well.
Iâ€™m contacting you regarding the renewal of the machines stated on the attached quote which are installed in Mexico, the current support will expire on25/03/2021. These were renewed last year. Please let me know if you will be interested in extending the support this year again.
I look forward to hearing from you.
Thanks &amp; regards
Patricia
Kind regards/Un saludo
[image]
Patricia Salido |Worldwide Business Growth Manager
Phone (SP): +34 914 148 489
Phone (DE):0800 001 02 64
Phone (AT): +43 720 228 419
Phone (CH): +41 44 580 32 91
Phone (GB):+44 (0)113 887 8650
Email:patricia.salido@epdww.com
Web:www.europlusdirect.com
Europlus Direct Ltd, International Development Centre, Ilkley LS29 8PB
[tss]
Please refer to our Terms of Business
Â© Europlus Direct Ltd. All rights reserved. Company number: 05206766. VAT Registration number: GB847657576.
This message (and any associated files) is intended only for the use of the individual or entity to which it is addressed and may contain information that is confidential, subject to copyright or constitutes a trade secret. If you are not the intended recipient you are hereby notified that any dissemination, copying or distribution of this message, or files associated with this message, is strictly prohibited. If you have received this message in error, please notify the sender immediately by replying to the message and deleting it from your computer. Messages sent to and from Europlus Direct may be monitored. Internet communications cannot be guaranteed to be secure or error-free as information could be intercepted, corrupted, lost, destroyed, arrive late or incomplete, or contain viruses. Therefore, Europlus Direct does not accept responsibility for any errors or omissions that are present in this message, or any attachment, that have arisen as a result of e-mail transmission. If verification is required, please request a hard-copy version. Any views or opinions presented are solely those of the author and do not necessarily represent those of Europlus Direct.
Disclaimer
The information contained in this communication from the sender is confidential. It is intended solely for use by the recipient and others authorized to receive it.
This email has been scanned for viruses and malware by Mimecast.</t>
  </si>
  <si>
    <t>Julie Nadeau - Iskwew Internet Connection</t>
  </si>
  <si>
    <t>### Summary of Issue_x000D_
Iskwew Internet Connection_x000D_
  _x000D_
### Details of Issue_x000D_
poorinternet connection or  poor wifi signal at Iskwew Healing Lodge_x000D_
  _x000D_
### Have you opened a ticket about this issue before?  _x000D_
 Yes  _x000D_
  _x000D_
### How many users are impacted by this issue?  _x000D_
 Everyone  _x000D_
  _x000D_
### How would you classify this issue?  _x000D_
 Work Impacting</t>
  </si>
  <si>
    <t>Gordie McRorie</t>
  </si>
  <si>
    <t>Hi
This ticket can be closed as Gordie is back to work.
I will still need his email though, as he is only part time.
With Thanks,
Cheryl Trenchard, PCP
Human Resources &amp; Payroll Manager
[cid:image001.jpg@01D407CC.BE04B790]
14610 Yellowhead Trail NW Edmonton, AB, T5L 3C5
Branch: 780-482-0281Â Â Â  Cell: 587-930-2091Â Â  Fax: 780-482-0278
Email:cheryl.trenchard@calmont.ca
Website:www.calmont.ca
This email, and any files transmitted with it, are confidential and are intended solely for the use of the individual or entity to which they are addressed. Any unauthorized use or disclosure is prohibited. Please notify the sender if you have received this email in error. Thank you for your co-operation.</t>
  </si>
  <si>
    <t>Quote - YHP</t>
  </si>
  <si>
    <t>From: M.Luiza Coelho &lt;mlcoelho@e4calberta.org&gt; 
Sent: Tuesday, February 2, 2021 2:26 PM
To: Sales - MNP IT Managed Services &lt;sales@mnptechnology.ca&gt;
Subject: RE: Quote - YHP
CAUTION:This email originated from outside of the MNP network. Be cautious of any embedded links and/or attachments.
MISE EN GARDE:Ce courriel ne provient pas du rÃ©seau de MNP. MÃ©fiez-vous des liens ou piÃ¨ces jointes quâ€™il pourrait contenir.
Is does not.
M.LuizaCoelho e4c
Senior Manager
mlcoelho@e4calberta.org
T
780.424.7543 ext 132
9321 Jasper Avenue, Edmonton AB T5H 3T7
e4calberta.org
[image]
This message is intended for the use of the individual or entity to which it is addressed and may contain information that is privileged and confidential. If you are not the intended recipient or the employee responsible for delivery of the message to the intended recipient, please be advised that any dissemination, distribution or copying of this message is strictly prohibited. If you have received this message in error, please notify us immediately by telephone and return the original email to us or destroy this message.
[image]e4c supports environmental conservation - please print wisely.
From: Sales - MNP IT Managed Services [mailto:sales@mnptechnology.ca] 
Sent: Thursday, January 28, 2021 9:19 AM
To: M.Luiza Coelho &lt;mlcoelho@e4calberta.org&gt;
Subject: RE: Quote - YHP
Hi Luiza,
Do these have to be Acer Chromebooks?
From: M.Luiza Coelho &lt;mlcoelho@e4calberta.org&gt; 
Sent: Thursday, January 28, 2021 9:13 AM
To: Sales - MNP IT Managed Services &lt;sales@mnptechnology.ca&gt;
Subject: Quote - YHP
CAUTION:This email originated from outside of the MNP network. Be cautious of any embedded links and/or attachments.
MISE EN GARDE:Ce courriel ne provient pas du rÃ©seau de MNP. MÃ©fiez-vous des liens ou piÃ¨ces jointes quâ€™il pourrait contenir.
Good Morning Curtis, hope you are keeping yourself warm, it is very cold today.
The YHP is looking to buy Acer Chromebooks 11 for the youth once the move out from the house and I was wondering how much would cost to purchase from MNP.
We need to purchase 100 chromos. I have attached staples quote for your reference. Do you think we can get a better price with MNP?
Thanks
M.Luiza Coelhoe4c 
Senior Manager
mlcoelho@e4calberta.org
T 780.424.7543 ext 132Â  
9321 Jasper Avenue, Edmonton AB T5H 3T7 
e4calberta.org
--------------------------------------------------------------------------------------------
This message is intended for the use of the individual or entity to which
it is addressed and may contain information that is privileged and 
confidential. If you are not the intended recipient or the employee 
responsible for delivery of the message to the intended recipient, please 
be advised that any dissemination, distribution or copying of this message 
is strictly prohibited. If you have received this message in error, please 
notify us immediately by telephone and return the original email to us or 
destroy this message.
--------------------------------------------------------------------------------------------
e4c supports environmental conservation - please print wisely.
This email and any accompanying attachments contain confidential information intended only for the individual or entity named above. Any dissemination or action taken in reliance on this email or attachments by anyone other than the intended recipient is strictly prohibited. If you believe you have received this message in error, please delete it and contact the sender by return email. In compliance with Canada's Anti-spam legislation (CASL), if you do not wish to receive further electronic communications from MNP, please reply to this email with "REMOVE ME" in the subject line.</t>
  </si>
  <si>
    <t>Ciara Williams</t>
  </si>
  <si>
    <t>Ciara Williams - FW: Email Addresses Being Forwarded To Me By Mistake?</t>
  </si>
  <si>
    <t>Good morning,
Yesterday, I received two email addresses that were sent tosrenaud@schizophrenia.ab.ca andCAganmayo@schizophrenia.ab.ca.
Stephen Renaud has not been with SSA for about a year, but his email should be forwarded to user: Tanya Behm.
Chido Aganmayo hasnâ€™t been with SSA since October 2020, and it was requested that her email be discontinued.
Can you please check and ensure that these are not being forwarded to my email?
As well as, occasionally I will receive calendar notifications for user: Karim Alhiane
I have attached an image of what I am referring to. Can you please look into this and see why I am receiving his calendar notifications?
Thank you!
Ciara Williams
Schizophrenia Society of Alberta
Administrative/Fund Development Assistant
4809 48 Avenue
Red Deer, AB, T4N 3T2
phone: (403) 986-9440
cell: (403) 896-7556
fax: (403) 986-9442
www.schizophrenia.ab.ca
[Online Family Support Ebanner 2021]
Chido Aganmayo,
From: Schizophrenia Society of Alberta &lt;cwilliams@schizophrenia.ab.ca&gt;
Sent: Wednesday, February 3, 2021 4:19 PM
To: Stephen Renaud &lt;srenaud@schizophrenia.ab.ca&gt;
Subject: Upcoming Online Educational Speakers Forum
SSA's Tax Information Month
[image]
[image]
February is Tax Information Month for SSA's
ï»¿Online Educational Speakers Forum!
[image]
Our Online Educational Speakers Forum provides family members and caregivers with the opportunity to hear experts speak on important topics related to schizophrenia.
Check out our upcoming presentations below:
[image]
Date: Thursday, February 11, 2021
Time: 6:00 pm - 8:00 pm
Click Here to Register
Nicole Frandsen, an Outreach Officer from the Canada Revenue Agency, will share information on the:
 Disability Tax Credit
 Canada Caregiver credit
 Home Accessibility Tax credit
[image]
[image]
Date: Thursday, February 25, 2021
Time: 6:00 pm - 8:00 pm
Click Here to Register
Nicole Frandsen, an Outreach Officer, from the Canada Revenue Agency, will share information and answer questions on the:
 Canada Recovery Benefit (CRB)
 Canada Recovery Sickness Benefit (CRSB)
 Canada Recovery Caregiving Benefit (CRCB)
 COVID-19 Scams
About the speaker:
Nicole Frandsen is an Outreach Officer for Canada Revenue Agency (CRA). She has been with the agency for over 10 years, and started her career in the Calgary Call Centre in Individual Income Tax Enquiries. Nicole has been a trainer, resource officer, and taxpayer meeting team member. She now travels around southern Alberta (virtually) teaching people about the benefits, credits, and tax deductions that are available to them from the CRA.
[image]
Connect With Us:
[Facebook]â€Œ[Twitter]â€Œ[Instagram]â€Œ
Schizophrenia Society of Alberta | Provincial Office,4809-48 Ave,Red Deer, T4N 3T2 Canada
Unsubscribe srenaud@schizophrenia.ab.ca
Update Profile | Customer Contact Data Notice
Sent bycwilliams@schizophrenia.ab.capowered by
[Trusted Email from Constant Contact - Try it FREE today.]
Try email marketing for free today!
From: Schizophrenia Society of Alberta &lt;cwilliams@schizophrenia.ab.ca&gt;
Sent: Wednesday, February 3, 2021 4:19 PM
To: Chido Aganmayo &lt;CAganmayo@schizophrenia.ab.ca&gt;
Subject: Upcoming Online Educational Speakers Forum
SSA's Tax Information Month
[image]
[image]
February is Tax Information Month for SSA's
ï»¿Online Educational Speakers Forum!
[image]
Our Online Educational Speakers Forum provides family members and caregivers with the opportunity to hear experts speak on important topics related to schizophrenia.
Check out our upcoming presentations below:
[image]
Date: Thursday, February 11, 2021
Time: 6:00 pm - 8:00 pm
Click Here to Register
Nicole Frandsen, an Outreach Officer from the Canada Revenue Agency, will share information on the:
 Disability Tax Credit
 Canada Caregiver credit
 Home Accessibility Tax credit
[image]
[image]
Date: Thursday, February 25, 2021
Time: 6:00 pm - 8:00 pm
Click Here to Register
Nicole Frandsen, an Outreach Officer, from the Canada Revenue Agency, will share i...</t>
  </si>
  <si>
    <t>Wendy Bonertz</t>
  </si>
  <si>
    <t>Email coming from a closed SSA email account</t>
  </si>
  <si>
    <t>Good Morning,
I received this email last evening and it appears to have come from Debbie Harper, a closed SSA account, and an unknown account.Â  Someone else had mentioned that they received an email that appeared to come from Debbie Harper as well.Â  Debbie Harper has not worked For SSA for nearly a year. Please check into this for us.
Thank you,
Wendy
Wendy Bonertz
Provincial Program Director
Schizophrenia Society of Alberta
Phone: 403-896-4745
www.schizophrenia.ab.ca
[image]
From: winsome doyley &lt;winnie58003@yahoo.com&gt;
Sent: Wednesday, February 3, 2021 6:38 PM
To: Wendy Bonertz &lt;wbonertz@schizophrenia.ab.ca&gt;
Subject: Re: Re:
I got this in my email I wasn't sure about I send a message to the sender about it , but the email was send back to me; I try to open it but it was a zipped file my pc wouldn't extract it I guess it was a good thing
On Sunday, January 24, 2021, 02:17:06 p.m. MST, winsome doyley &lt;winnie58003@yahoo.com&gt; wrote:
Hi I got this email wasn't sure what it is about and if I should open
On Wednesday, January 20, 2021, 09:15:39 a.m. MST,dharper@schizophrenia.ab.ca &lt;francisco@conejerosycia.cl&gt; wrote:
Check the attached form and also contact information.
Archive pass: 0545 
-
Debbie Harper
dharper@schizophrenia.ab.ca</t>
  </si>
  <si>
    <t>MNP LLP</t>
  </si>
  <si>
    <t>Curt Giacomoni</t>
  </si>
  <si>
    <t xml:space="preserve">Stephen Warde - SSD - Seagate Barracuda 2TB </t>
  </si>
  <si>
    <t>[7:56 AM] Stephen Warde
Good morning Curt. I'm looking for another SSD, same one as I ordered last time, Seagate BarraCuda 2 TB Solid State Drive 2.5"Internal SATA (SATA/600)
Curt Giacomoni
Project Estimator
PH.Â +1 7804246398
14505 114th Avenue NW
Edmonton, AB
T5M2Y8
Curt.Giacomoni@mnp.ca
mnp.ca[image]
[image]</t>
  </si>
  <si>
    <t>Peter Woloshyn</t>
  </si>
  <si>
    <t>FW: Attn: Peter - AvidXchange Upcoming Webinar - "Avid Create-A-Check + AvidPay: Power Over Your Pay</t>
  </si>
  <si>
    <t>Please block emails coming from anyone at @avidxchange.com
Thanks!
Peter
Â 
From: Reale Edgerton [mailto:REdgerton@avidxchange.com]
Sent: February 4, 2021 8:22 AM
To: Peter Woloshyn &lt;Peter.Woloshyn@nrcb.ca&gt;
Subject: Attn: Peter - AvidXchange Upcoming Webinar - "Avid Create-A-Check + AvidPay: Power Over Your Payables"
Hi Peter,
I hope you are able to attend our upcoming webinar, â€œAvidCreate-A-Check + AvidPay: Power Over Your Payablesâ€ on Thursday February 18th at 11:00am EST.
Here is a link to the registration page:https://automate.avidxchange.com/2021-02-03-CACUpsellWebinar-_LP-Registration.html
Enjoy a cup of coffee on us while we:
 Review existing functionality within your AvidCreate-A-Check instance
 Get highlights of our AvidPay product
 Hear from a customer who has experience using AvidCreate-A-Check and AvidPay
If you are unable to attend on Thursday February 18that 11:00am EST, you will receive a copy of the webinar for future viewing as long as you are registered.
If you would like to speak with your Account Executive about these solutions 1 on 1, please confirm the following:
The Accounting System that you are currently using â€“
Roughly the number of payments sent out each month â€“
We look forward to speaking with you,
RealeÂ Edgerton
|
MarketÂ OutreachÂ andÂ DevelopmentÂ Representative
AvidXchange,Â Inc.
1210Â AVIDXCHANGEÂ LN
Charlotte,Â NCÂ 28206
[image]
[image]
[image]
|
BookÂ aÂ timeÂ withÂ me
TÂ 9803090033
|
REdgerton@avidxchange.com
|
www.avidxchange.com
[image]</t>
  </si>
  <si>
    <t>Reactivating Deb Moore</t>
  </si>
  <si>
    <t>Hello MNP,
Deb Moore was our previous Executive Assistant.Â  She retired at the end of September, 2020.Â  She is going to volunteer her time to help us transition Judy Fortini into the EA role.
I started to do a new hire form, but I think itâ€™s a bit much in this case.Â  What we really need is just to have her access reactivated to what it was on her last day of work in September 31, 2020.
Will this suffice or do you need something more from me?
Thanks,
Leanna
[image]
Leanna Craig, MA, CCC, CPHR
HR Manager
T: 403.205.5243 |E: LeannaC@caryacalgary.ca| C: 403.830.3569
180, 839 5 Ave SW | Calgary, AB | T2P 3C8
[image]Â [image][instagram-1675670]Â [image]
carya (formerly Calgary Family Services)
Stay up to date with the latest carya news, programs, and events by signing up for ourmonthly newsletter.
In the spirit of our efforts to promote reconciliation, we acknowledge the traditional territories and oral practices of the Blackfoot, the Tsuut'ina, the Stoney Nakoda First Nations, the MÃ©tis Nation Region 3, and all people who make their homes in the Treaty 7 region of Southern Alberta. We also respectfully acknowledge that the province of Alberta is comprised of Treaty 6, Treaty 7, and Treaty 8 territory, the traditional lands of First Nations and MÃ©tis peoples.
No form of electronic communication is secure and may be intercepted by others. Carya cannot guarantee the receipt of electronic communication nor a timely response. Where communication is confidential or time sensitive we recommend you call 403-269-9888 during business hours (Monday-Friday, 8:30am-4:30pm). For immediate crisis response please contact the Distress Centre Crisis Line at 403-266-HELP (4537) and in case of an emergency dial 911.
This e-mail is intended solely for the person or entity to which it is addressed and may contain confidential and/or privileged information. Any review, dissemination, copying, printing, forwarding or other use of this e-mail by persons or entities other than the addressee is prohibited. If you have received this e-mail in error, please contact the sender immediately and delete the material from your computer.</t>
  </si>
  <si>
    <t>Palmer Orthodontics</t>
  </si>
  <si>
    <t>Brenda Wood</t>
  </si>
  <si>
    <t>Dell Server Renewal - Support Expires 20-MAR-2021</t>
  </si>
  <si>
    <t>Bob Troppmann</t>
  </si>
  <si>
    <t>Renewal - VMWare - 03/21/2021</t>
  </si>
  <si>
    <t>Sagar Kohli - Not Receiving Shoretel Voicemail via Email</t>
  </si>
  <si>
    <t>Hi,
Can you please look into why Sagar isnâ€™t receiving his voicemail through his email.
Thank you,
CARLA O'NEIL
```
D I R E C T O R  O F  C O R P O R A T E  S E R V I C E S
```
t.Â 403-266-5000 Ext. 213 |Â Â c.Â 403-463-9076
Suite 400, 1550 5 St SWÂ  
Calgary, Alberta T2R 1K3
```
arlingtonstreet.caFacebookÂ Â |Â Â TwitterÂ  |Â Â LinkedInÂ  |Â Â YouTube
```
Important COVID-19 Notice: Please note that we remain OPEN FOR BUSINESS but, as a result of COVID-19, our office is closed to the general public and open to clients by appointment only until further notice. With most of our staff now working remotely, please continue to contact us by email (preferably), or by phone, but note that there may be delays in checking voice messages remotely. We appreciate your continued business and patience during this unprecedented time.
The information in this email and any attachments is sent by ARLINGTON STREET INVESTMENTS and is intended to be confidential and for the use of only the individual or entity named above. The information may be protected by solicitor-client privilege, work product immunity or other legal principles. If the reader of this message is not the intended recipient, you are notified that unauthorized review, retention, dissemination, distribution, copying or other use of or taking any action in reliance upon this information is strictly prohibited. If you received this email in error, please notify us immediately by email reply and delete or destroy this message and any copies</t>
  </si>
  <si>
    <t>Cheryl Waldo - RE:  New User Request Attached</t>
  </si>
  <si>
    <t>Please see attached for new user request.
Thank you,
Cheryl Waldo
Senior Executive Assistant
Pilgrims Hospice Society
9808 â€“ 148 Street
Edmonton ABÂ  T5N 3E8
T. 780.413.9801 ext. 240 / T. 587.414.5043 (direct)
*Home of the new Roozen Family Hospice Centre
[image]</t>
  </si>
  <si>
    <t>Shawn Smith</t>
  </si>
  <si>
    <t>Shawn Smith - Create Sophos Account for CarePros</t>
  </si>
  <si>
    <t>### Summary of Issue_x000D_
Create Sophos Account for CarePros_x000D_
  _x000D_
### Details of Issue_x000D_
Carepros lists their AV and Spam Filter as Sophos, But there appears to be no Sophos Central login for the client_x000D_
  _x000D_
### Have you opened a ticket about this issue before?  _x000D_
 No  _x000D_
  _x000D_
### How many users are impacted by this issue?  _x000D_
 Some  _x000D_
  _x000D_
### How would you classify this issue?  _x000D_
 Minor Inconvenience</t>
  </si>
  <si>
    <t>Roger Lam</t>
  </si>
  <si>
    <t>Field Law CGY - Jillissa Willaims-Ondik her shoretel app is not working</t>
  </si>
  <si>
    <t>This is the message we get.
[image]
[Field Law]
Roger Lam | LVS-Deskside (Calgary)
T 1-844-483-4353| F | rlam@fieldlaw.com
400 â€“ 444 7 AVE SW, Calgary Alberta T2P 0X8
"Field Law" and the Field Law logo are registered trademarks of Field LLP. All rights reserved.
From: Roger Lam
Sent: February 3, 2021 10:06 AM
To: 'Dave Beharrell' &lt;Dave.Beharrell@mnp.ca&gt;
Subject: name change for Jwondik
Hi Dave,
I recently did a name change for Jillissa Willaims-Ondik her shoretel app is not working, her ext is 7758. Name is Jwilliams-Ondik changed from Jwondik.
Thanks,
Roger Lam
LVS-Deskside (Calgary)
Address |vCard
Â  Â 
T 1-844-483-4353
F 
rlam@fieldlaw.com
400 â€“ 444 7 AVE SW
Calgary Alberta T2P 0X8 Â Â Â Â  
fieldlaw.com
[Field Law]
This message (including any attachments) is for the addressee(s) only and may contain information that is privileged, confidential or exempt from disclosure. If you have received this message in error please immediately notify the sender and delete this email message and any attachments.
"Field Law," the logo andÂ â€œBecause Clarity Mattersâ€ are registered trademarks of Field LLP.Â  "Field Law" is a registered trade name of Field LLP</t>
  </si>
  <si>
    <t>Riccardo Francese - HeavyBid Archiving</t>
  </si>
  <si>
    <t>Can you please contact HCSS and look into archiving all HeavyBid file from before 2017 and including 2017?
We would like to get them off the list.
[image]Â Riccardo Francese
Business Process Manager
T:       +1 (780) 400-7487
C:       +1 (587) 990-0176
F:       +1 (780) 417-6496
E:       RFrancese@siterg.com
W:       WWW.SITERG.COM
#170, 120 Pembina Rd., Sherwood Park, AB, T8H 0M2
The information contained in this e-mail may       contain confidential or privileged material and is intended only for the       stated addressee(s). If you are not the valid addressee, the use,       disclosure, copying or distribution of this information is prohibited and       may be unlawful. If you have received this email message in error, please       notify the sender immediately and delete all copies of the message from       your computer. All information within or opinions expressed in this       message and/or any attachments are those of the author and are not       necessarily those of the Centurion Group.</t>
  </si>
  <si>
    <t>FW: E1 and E3 Licensing</t>
  </si>
  <si>
    <t>From: Riccardo Francese &lt;RFrancese@siterg.com&gt; 
Sent: Wednesday, February 3, 2021 4:18 PM
To: Sales - MNP IT Managed Services &lt;sales@mnptechnology.ca&gt;
Cc: Chris Ippolito &lt;Chris.Ippolito@mnp.ca&gt;
Subject: E1 and E3 Licensing
CAUTION:This email originated from outside of the MNP network. Be cautious of any embedded links and/or attachments.
MISE EN GARDE:Ce courriel ne provient pas du rÃ©seau de MNP. MÃ©fiez-vous des liens ou piÃ¨ces jointes quâ€™il pourrait contenir.
Hello,
Can we please get 48 more E3 licenses for availability on our system and decrease our E1 licenses by 82 (I believe we have 282)
Let me know.
Riccardo
[Image removed by sender.]
Riccardo Francese
Business Process Manager
T: +1 (780) 400-7487
C: +1 (587) 990-0176
F: +1 (780) 417-6496
E: RFrancese@siterg.com
W:WWW.SITERG.COM
#170, 120 Pembina Rd., Sherwood Park, AB, T8H 0M2
The information contained in this e-mail may contain confidential or privileged material and is intended only for the stated addressee(s). If you are not the valid addressee, the use, disclosure, copying or distribution of this information is prohibited and may be unlawful. If you have received this email message in error, please notify the sender immediately and delete all copies of the message from your computer. All information within or opinions expressed in this message and/or any attachments are those of the author and are not necessarily those of the Centurion Group.</t>
  </si>
  <si>
    <t>Angeli Alipio - Adefidipe, Grace - Return to Work, February 8, 2021</t>
  </si>
  <si>
    <t>Good afternoon,
Please be advised that Grace Adefidipe (formerly Ojekunle) will be returning from her Mat leave on Monday, February 8, 2021 â€“ please see attached form for details.
Please advise when her credentials are ready for computer/cloud and Penelope Live and Sandbox (please useC@rya2021!# as a temporary password).
If you have any questions, please let me know.
Thanks,
Angeli
[image]
Angeli AlipioBBA
HR Generalist
T: 403.205.5233 | E: AngeliA@caryacalgary.ca| F: 403.205.5281
180, 839 5 Ave SW | Calgary, AB | T2P 3C8
[image]Â [image]Â [image]
carya (formerly Calgary Family Services)
We are working remotely to help Calgarians through the COVID-19 pandemic. Please reach out to us if you need support.carya is here for you.
In the spirit of our efforts to promote reconciliation, we acknowledge the traditional territories and oral practices of the Blackfoot, the Tsuut'ina, the Stoney Nakoda First Nations, the MÃ©tis Nation Region 3, and all people who make their homes in the Treaty 7 region of Southern Alberta. We also respectfully acknowledge that the province of Alberta is comprised of Treaty 6, Treaty 7, and Treaty 8 territory, the traditional lands of First Nations and MÃ©tis peoples.
No form of electronic communication is secure and may be intercepted by others. Carya cannot guarantee the receipt of electronic communication nor a timely response. Where communication is confidential or time sensitive we recommend you call 403-269-9888 during business hours (Monday-Friday, 8:30am-4:30pm). For immediate crisis response please contact the Distress Centre Crisis Line at 403-266-HELP (4537) and in case of an emergency dial 911.
This e-mail is intended solely for the person or entity to which it is addressed and may contain confidential and/or privileged information. Any review, dissemination, copying, printing, forwarding or other use of this e-mail by persons or entities other than the addressee is prohibited. If you have received this e-mail in error, please contact the sender immediately and delete the material from your computer.</t>
  </si>
  <si>
    <t>Carie Campbell - FW: Landrex | Local Printing</t>
  </si>
  <si>
    <t>See below please!
Can this be done overnight?
From: Jesse Smith &lt;jesse.smith@tri-global.com&gt;
Sent: February 3, 2021 3:46 PM
To: Carie Campbell &lt;Carie@landrex.com&gt;
Subject: Landrex | Local Printing
ï»¿
EXTERNAL SENDER: Do not click any links or open any attachments unless you trust the sender and know the content is safe.
Hi Carie,
Please advise MNP to update default printer for all users to print locally instead of via the Printer Server in Azure.
IP for Konica Minolta Printer is 192.168.0.50.
Let me know if you need anything further details.
Thank you.
Jesse Smith, BCom
Managing Director
[Tri-global-Logo-(no-tagline-email-signature)]
Transformation through Business Improvement
Tri-global Solutions Group Inc.
Melton Building â€“ 3rd Floor
300, 10310 Jasper Avenue NW
Edmonton, AB T5J 2W4
Office:Â 780.421.1944 ext. 106
Mobile:Â 780.850.9633
Web:Â https://www.tri-global.com/
This email and any files transmitted with it are privileged, confidential, and intended solely for the use of the individual or entity to which they are addressed. Any unauthorized use or disclosure is prohibited. Please notify the sender if you have received this email in error.</t>
  </si>
  <si>
    <t>Codi Hiebert</t>
  </si>
  <si>
    <t>Hi David,
Can you guys look into the Loadout Scale script again?
The guys out in Loadout were having issues so I logged into the Scale FTP site and there were 20 or so tickets in the memory.
The script seems to be copying the tickets over for SAP but not always removing them from the scale memory.
Thanks,
Codi Hiebert
Engineer Technologist
Baymag Inc.
Plantsite Operations
Exshaw, Alberta
Canada
Phone: 403-673-3790 ext.245
From: David Stevens &lt;David.Stevens@mnp.ca&gt;
Sent: January 11, 2021 2:38 PM
To: Hiebert, Codi &lt;Codi.Hiebert@BAYMAG.COM&gt;; Jeff Meadows &lt;Jeff.Meadows@mnp.ca&gt;; Support - MNP IT Managed Services &lt;support@mnptechnology.ca&gt;
Cc: Lafond, Gilles &lt;Gilles.Lafond@BAYMAG.COM&gt;; Hunter, Jeff &lt;Jeff.Hunter@BAYMAG.COM&gt;; Masters, Kara &lt;Kara.Masters@baymag.com&gt;
Subject: RE: Bulk Scale Irregularities
CAUTION: This email originated from outside of Refratechnik and contains hyperlinks and attached files. Please do not open those files or click those links unless you are expecting this email and you know that it originates from a safe source.
WARNUNG: Diese E-Mail ist von ausserhalb der Refratechnik verschickt worden und enthaelt Dateianhaenge und Hyperlinks. Bitte oeffnen Sie die Dateien oder Links nur, wenn Sie sicher sind, dass die Email von einem vertrauenswuerdigen Absender stammt.
Hi Codi,
Iâ€™ll restart the service, and will review some sort of error recovery for this issu.e
Iâ€™ve included our support email so that a ticket can be opened for this..
Thank you,
David
David Stevens
Team Lead, Field Services Technician
PH.Â +1 4036864357
310 - 4000 4 St SE
Calgary, AB
T2G2W3
David.Stevens@mnp.ca
mnp.ca
[image]
[image]
From: Hiebert, Codi &lt;Codi.Hiebert@BAYMAG.COM&gt;
Sent: Monday, January 11, 2021 1:55 PM
To: Jeff Meadows &lt;Jeff.Meadows@mnp.ca&gt;; David Stevens &lt;David.Stevens@mnp.ca&gt;
Cc: Lafond, Gilles &lt;Gilles.Lafond@BAYMAG.COM&gt;; Hunter, Jeff &lt;Jeff.Hunter@BAYMAG.COM&gt;; Masters, Kara &lt;Kara.Masters@baymag.com&gt;
Subject: RE: Bulk Scale Irregularities
Hi Jeff &amp; David,
I was just notified we were having issues with our Loadout scale. I opened up the Scale FTP and it looks like the memory is filling up with tickets again.
When the scale FTP memory is maxed out the scale stops communicating to our PLC and we are unable to operate it properly.
Would you guys be able to take a look into why some tickets arenâ€™t being removed from the FTP after they are being copied over?
Thanks,
Codi Hiebert
Engineer Technologist
Baymag Inc.
Plantsite Operations
Exshaw, Alberta
Canada
Phone: 403-673-3790 ext.245
From: Jeff Meadows &lt;Jeff.Meadows@mnp.ca&gt;
Sent: Wednesday, December 16, 2020 3:46 PM
To: Masters, Kara &lt;Kara.Masters@baymag.com&gt;
Cc: Hiebert, Codi &lt;Codi.Hiebert@BAYMAG.COM&gt;; Lafond, Gilles &lt;Gilles.Lafond@BAYMAG.COM&gt;; Hunter, Jeff &lt;Jeff.Hunter@BAYMAG.COM&gt;; David Stevens &lt;David.Stevens@mnp.ca&gt;
Subject: RE: Bulk Scale Irregularities
CAUTION: This email originated from outside of Refratechnik and contains hyperlinks and attached files. Please do not open those files or click those links unless you are expecting this email and you know that it originates from a safe source.
WARNUNG: Diese E-Mail ist von ausserhalb der Refratechnik verschickt worden und enthaelt Dateianhaenge und Hyperlinks. Bitte oeffnen Sie die Dateien oder Links nur, wenn Sie sicher sind, dass die Email von einem vertrauenswuerdigen Absender stammt.
Hi Kara,
As per our discussion on the phone we have investigated and confirmed that the discrepancy does appear to originate with the scale itself. You mentioned that you and Codi work with an Avery programmer on these scales, this would be the next step to investigate why the scale is recording different values than it prints. Please let us know if youâ€™d like us to contact him to troubleshoot further or if you prefer to discuss it with him directly.
Thanks,
Jeff Meadows
Field Services Technician
PH.Â 587.273.5062
4922 - 53 St.
Red Deer, AB
T4N2E9
Jeff.Meadows@mnp.ca
mnp.ca
[image]
[image]
[image]
From: Masters, Kara &lt;Kara.Ma...</t>
  </si>
  <si>
    <t>2 Urgent Exchange Online (Plan 1)</t>
  </si>
  <si>
    <t>### What company is this quote for?_x000D_
Alberta Pulse Growers Commission_x000D_
  _x000D_
### Is there an existing ticket on another Connectwise board? If so what is the ticket number?_x000D_
1354886_x000D_
  _x000D_
### Add or Remove CSP licenses  _x000D_
 Add licenses  _x000D_
  _x000D_
### March 30, 2020 New Microsoft 365 offerings for small and medium-sized businesses. (https://www.microsoft.com/en-us/microsoft-365/blog/2020/03/30/new-microsoft-365-offerings-small-and-medium-sized-businesses/)  _x000D_
  _x000D_
### What Type of license  _x000D_
 Office 365 Exchange Online  _x000D_
  _x000D_
### How many licenses to add/remove?_x000D_
2_x000D_
  _x000D_
### Optional - What users are the licenses for?_x000D_
Urgent - client is disgruntled.</t>
  </si>
  <si>
    <t>jblumstock@tiap.ca added 1 new comment. Toronto Innovation Acceleration Partners/TIAP-1005 Judy blumstock @ TIAP - file/box cleanup 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
jblumstock@tiap.ca added 1 new comment.
Toronto Innovation Acceleration Partners
/Â Â   [image] Â  TIAP-1005
 Judy blumstock @ TIAP - file/box cleanup 
[image]  jblumstock@tiap.ca  5:16Â PMÂ EST
Hi â€“ Can we talk tomorrow (Thursday) late in the day Toronto time? 5:30 pm?
Thx
Judy
View issue
Get Jira notifications on your phone! Download the Jira Cloud app for Android or iOS.
Manage notifications   Â â€¢Â    Give feedback   Â â€¢Â    Privacy policy
[image]
[image]
[image]</t>
  </si>
  <si>
    <t>Jonathan Pruden</t>
  </si>
  <si>
    <t>Hi
Jonathan Pruden has been terminated from Calmont.
Please have his emails forwarded to Tonya Noseworthy for a period of 6 months.
Also, please provide her with full access to his email account.
Do not offboard him, but only change his user name and password for Windows.
Please provide this information to me.
With Thanks,
Cheryl Trenchard, PCP
Human Resources &amp; Payroll Manager
[cid:image001.jpg@01D407CC.BE04B790]
14610 Yellowhead Trail NW Edmonton, AB, T5L 3C5
Branch: 780-482-0281Â Â Â  Cell: 587-930-2091Â Â  Fax: 780-482-0278
Email:cheryl.trenchard@calmont.ca
Website:www.calmont.ca
This email, and any files transmitted with it, are confidential and are intended solely for the use of the individual or entity to which they are addressed. Any unauthorized use or disclosure is prohibited. Please notify the sender if you have received this email in error. Thank you for your co-operation.</t>
  </si>
  <si>
    <t>Scarborough Toyota</t>
  </si>
  <si>
    <t>Justin Griffin</t>
  </si>
  <si>
    <t>Scarborough Toyota - program change to Sales Work Groups</t>
  </si>
  <si>
    <t xml:space="preserve">Hi Dave,
Can we have our Scarborough Toyota phone banks updated to include just one work group for all incoming sales calls -- new and used:
Ray Sakin -- ext 4702
Matthew Demosthenous -- ext 1084
Shaizad Maknojia -- ext 4040
Victoria Leonardo -- ext 1082
Sanshia Fernando -- ext 1086
Abbas Sumra -- ext 4704
Daisy Chen -- ext 4700
George Chau -- ext 4119
Shahbaz Marediya -- ext 1047
Lito Santiago -- ext 4106
Pauline Kamin -- ext 4103
Aaron Buenaventura - ext 1023
Damien Nadarajah -- ext 4122
Thanks,
Justin Griffin
General Manager
Scarborough Toyota
1897 Eglinton Ave E
Scarborough, ON M1L 2L6
Phone: (416) 751-1530
Email: jgriffin@scarboroughtoyota.ca
</t>
  </si>
  <si>
    <t>Shannon Stilet - Call log report from February 2018 and December 2019</t>
  </si>
  <si>
    <t>Due date of Monday, Feb. 8
Chris Ippolito
Manager, Client Experience
PH.Â +1 7804246398       Ext 312
14505 114th Avenue NW
Edmonton,       AB
T5M2Y8
Chris.Ippolito@mnp.ca
mnp.ca [image]
[image]
From: Shannon Stilet &lt;Shannon@machine-o-matic.com&gt;
Sent: Wednesday, February 3, 2021 1:15 PM
To: Chris Ippolito &lt;Chris.Ippolito@mnp.ca&gt;
Subject: Issue Logs
CAUTION: This email originated from outside of the MNP network. Be cautious of any embedded links and/or attachments.
MISE EN GARDE:Ce courriel ne provient pas du rÃ©seau de MNP. MÃ©fiez-vous des liens ou piÃ¨ces jointes quâ€™il pourrait contenir.
Good Afternoon,
I am hoping you can help me locate from information in our file and sent it to me.
I need to know the number of calls/issues reported to Next Digital between February 2018 and December 2019 regarding internet disruption.Â We were using WiBand during this period and issues were to be reported through Next.
If you could send me the number of issues by month and a brief description, such as â€œno internet connectionâ€ or â€œoff and on connectionâ€ or whatever the case maybe.
I would appreciate your timely reply.Â Thanks, Chris.
[ShannonStilet-Esignature (2)] | Facebook</t>
  </si>
  <si>
    <t>Cheyanne Jones</t>
  </si>
  <si>
    <t>Cheyanne Jones - Granting access to McMurray Metis-IMC folder on shared drive</t>
  </si>
  <si>
    <t>We have a shared folder called McMurray Metis - IMC on our shared drive that we will have to add access permissions for Heidi Taves, her email is heidi.taves@infinitymetiscorp.com.  _x000D_
Can you please allow this to hapen.  _x000D_
  _x000D_
Thank you   _x000D_
Cheyanne</t>
  </si>
  <si>
    <t>NATG</t>
  </si>
  <si>
    <t>Ryan Arnold</t>
  </si>
  <si>
    <t>Ryan Arnold - Julian Ceramic Tile EDM - Service Order 47962</t>
  </si>
  <si>
    <t>Hi Dave,
We have a request coming up that requires a Tech on site at Julian Ceramic Tile in Edmonton. Tech will need to work with our NATG Tech Dave here at our office so we will need to coordinate together on this one to have same date/time. 
Currently our Tech, Dave, is doing a system install in Winnipeg right now and will be back Friday so I will know more then. We might be looking to book this for the later part of next week around February 11th or 12th. Or could be the week after. 
Are you open to helping us out with this request?
Ryan Arnold
Service Coordinator
T:Â Â Â  604.856.9155
TF:Â  877.856.9155
ServiceCoordinator@NATGisIT.ca 
NATGisIT.caÂ  
ITÂ Â  |Â Â  CommunicationsÂ Â  |Â Â  Security CamerasÂ Â  |Â Â  Network Cabling</t>
  </si>
  <si>
    <t>RE: VPN For Employees</t>
  </si>
  <si>
    <t>FYI I am connected now ðŸ˜Š
From: Corey Hobbs &lt;corey.hobbs@mcmurraymetis.org&gt; 
Sent: February 3, 2021 12:30 PM
To: Next Digital Support &lt;help@nextdigital.ca&gt;
Cc: Shawn Myers &lt;shawn.myers@infinitymetiscorp.com&gt;; heidi.taves@infinitymetiscorp.com; shannon.earle@infinitymetiscorp.com; myles@cacorp.ca
Subject: VPN For Employees 
Importance: High
Good afternoon,
We need to get the following employees (Shawn Myers, Heidi Taves &amp; Shannon Earle) set up and connected to our VPN.
They operate out of another office and are not based here at the Metis Local.
Can you please contact each employee, go on their computer and set up their VPN, show them how it works and test that the system is working.
Thanks Corey
[MM-logo-3 - Copy]
Corey Hobbs
Director, Communications and Government Relations
McMurray MÃ©tis (MNA Local 1935)
441 Sakitawaw Trail
Fort McMurray, Alberta
T9H 4P3
Phone:Â Â Â Â Â  780.743.2659
Email:Â Â Â Â Â Â  corey.hobbs@mcmurraymetis.org
Facebook: www.facebook.com/McMurrayMetis
Twitter:Â Â Â Â  www.twitter.com/McMurrayMetis
Website:Â Â  www.McMurrayMetis.org
P Please consider the environment before printing this email.
This message contains confidential information and is intended only for the named addressees.
If you believe that you received this email in error please notify the original sender and delete all copies.</t>
  </si>
  <si>
    <t>FW: Request for 2 Desktops</t>
  </si>
  <si>
    <t>From: Carie Campbell &lt;Carie@landrex.com&gt;
Sent: February 3, 2021 1:48 PM
To: Sales - MNP IT Managed Services &lt;sales@mnptechnology.ca&gt;
Subject: 2 Desktops
CAUTION:This email originated from outside of the MNP network. Be cautious of any embedded links and/or attachments.
MISE EN GARDE:Ce courriel ne provient pas du rÃ©seau de MNP. MÃ©fiez-vous des liens ou piÃ¨ces jointes quâ€™il pourrait contenir.
Good Afternoon,
I will be needing 2 more Lenovo desktops please.
Thanks,
Carie</t>
  </si>
  <si>
    <t>Metal Fabricators and Welding Ltd.</t>
  </si>
  <si>
    <t>Shubhneet Lotay</t>
  </si>
  <si>
    <t>Shubhneet Lotay - Email for Norm Belanger</t>
  </si>
  <si>
    <t>Good Afternoon
Can you please check and let me know if there is an active email account for Norm Belanger? He wonâ€™t have a user account, only email.
Shubhneet
Shubhneet Lotay, CPA
Intermediate Accountant
Metal Fabricators and Welding Ltd.
12509 124 Street
Edmonton, AB, T5L 0N6
P: 780-455-2186 (ext 764)
D: 780-453-9764
F: 780-455-8434</t>
  </si>
  <si>
    <t>Carie Campbell - Desktop change over</t>
  </si>
  <si>
    <t>Good Afternoon,
I have given Quentins desktop (10226) to Diana and it will need to have Great Plains and Prophix set up on it.Â  It will also need to be configured to print to the network printer if it isnâ€™t already.
This needs to be done ASAP.
Thanks,
Carie</t>
  </si>
  <si>
    <t>Email Functionality Missing</t>
  </si>
  <si>
    <t>Greetings,
When receiving HTML based emails in the past I had the option to download images in order to view emails from various vendors.Â  That functionality seems to have been removed and all HTML based emails appear black or are unreadable, see below.
I am not sure if this is part of the upgrade to 365 or is part of a new security update but it does impact most information coming from vendors or marketing tools (which we use and test internally first).
Sincerely,
Brian McBride
Brian McBridee4c 
Director of Culinary / Program Manager
The Hallway CafÃ© Program
BMcBride@hallway.cafe
T: 780-413-8060
M: 780-499-0115
[image]
This message is intended for the use of the individual or entity to which it is addressed and may contain information that is privileged and confidential. If you are not the intended recipient or the employee responsible for delivery of the message to the intended recipient, please be advised that any dissemination, distribution or copying of this message is strictly prohibited. If you have received this message in error, please notify us immediately by telephone and return the original email to us or destroy this message.
[image]e4c supports environmental conservation - please print wisely.
From: noreply@salesforce.com [mailto:noreply@salesforce.com]On Behalf Of Cody Hygaard
Sent: Tuesday, February 2, 2021 8:53 AM
To: Brian McBride &lt;bmcbride@hallway.cafe&gt;
Subject: Now Offering Canned Water!
&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
Caution! This message was sent from outside your organization.
Block sender
sophospsmartbannerend
[image]
[image]</t>
  </si>
  <si>
    <t>Lab Computer - Install PI DataLink</t>
  </si>
  <si>
    <t>Hi David,
When you are at the plant next Wednesday can you install PI DataLink on the downstairs lab computer?
I tried to test our Excel document that allows the Lab tech to enter data into the Historian but it failed since we donâ€™t have PI DataLink on that machine.
Thanks,
Codi Hiebert
Engineer Technologist
Baymag Inc.
Plantsite Operations
Exshaw, Alberta
Canada
Phone: 403-673-3790 ext.245</t>
  </si>
  <si>
    <t>Corey Hobbs - VPN For Employees</t>
  </si>
  <si>
    <t>Good afternoon,
We need to get the following employees (Shawn Myers, Heidi Taves &amp; Shannon Earle) set up and connected to our VPN.
They operate out of another office and are not based here at the Metis Local.
Can you please contact each employee, go on their computer and set up their VPN, show them how it works and test that the system is working.
Thanks Corey
[MM-logo-3 - Copy]
Corey Hobbs
Director, Communications and Government Relations
McMurray MÃ©tis (MNA Local 1935)
441 Sakitawaw Trail
Fort McMurray, Alberta
T9H 4P3
Phone:Â Â Â Â Â  780.743.2659
Email:Â Â Â Â Â Â corey.hobbs@mcmurraymetis.org
Facebook:www.facebook.com/McMurrayMetis
Twitter:Â Â Â Â www.twitter.com/McMurrayMetis
Website:Â Â www.McMurrayMetis.org
PPlease consider the environment before printing this email.
This message contains confidential information and is intended only for the named addressees.
If you believe that you received this email in error please notify the original sender and delete all copies.</t>
  </si>
  <si>
    <t>AJ Whitford - ND VPN</t>
  </si>
  <si>
    <t>### Summary of Issue_x000D_
ND VPN_x000D_
  _x000D_
### Details of Issue_x000D_
Please send me ND VPN Forticlient settings
Already have forticlient installed
Thanks_x000D_
  _x000D_
### Have you opened a ticket about this issue before?  _x000D_
 No  _x000D_
  _x000D_
### How many users are impacted by this issue?  _x000D_
 One  _x000D_
  _x000D_
### How would you classify this issue?  _x000D_
 Work Impacting</t>
  </si>
  <si>
    <t>Julie Nadeau - Disable Account</t>
  </si>
  <si>
    <t>### Summary of Issue_x000D_
Disable Account_x000D_
  _x000D_
### Details of Issue_x000D_
Catorina-Amanda Ryan
No longer employeed_x000D_
  _x000D_
### Have you opened a ticket about this issue before?  _x000D_
 No  _x000D_
  _x000D_
### How many users are impacted by this issue?  _x000D_
 One  _x000D_
  _x000D_
### How would you classify this issue?  _x000D_
 Other</t>
  </si>
  <si>
    <t>Susanne Staer added 1 new comment. Toronto Innovation Acceleration Partners/TIAP-1018 Skype not working - need help right away pls 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
Susanne Staer added 1 new comment.
Toronto Innovation Acceleration Partners
/Â Â   [image] Â  TIAP-1018
 Skype not working - need help right away pls 
[image]  Susanne Staer  1:44Â PMÂ EST
Please call me, thanks 647 991 2909
View issue
Get Jira notifications on your phone! Download the Jira Cloud app for Android or iOS.
Manage notifications   Â â€¢Â    Give feedback   Â â€¢Â    Privacy policy
[image]
[image]
[image]</t>
  </si>
  <si>
    <t>FW: Laptop for Plant</t>
  </si>
  <si>
    <t>From: Lafond, Gilles &lt;Gilles.Lafond@BAYMAG.COM&gt; 
Sent: Wednesday, February 3, 2021 11:18 AM
To: Sales - MNP IT Managed Services &lt;sales@mnptechnology.ca&gt;
Cc: David Stevens &lt;David.Stevens@mnp.ca&gt;
Subject: Laptop for Plant
Hello Curt
Please quote one only only HP 15.6 laptop (Probook 450 G7) and Elitebook equivelant.Â  Also quote one only docking station.
Gilles Lafond
Purchasing Manager
Baymag Inc
Plant #2
Exshaw AB
Canada
Phone 403-673-3790 x 230
Fax 403-673-3825
e-Mailgilles.lafond@baymag.com</t>
  </si>
  <si>
    <t>Angeli Alipio - Access to W Drive for Sajjad Ahmad</t>
  </si>
  <si>
    <t>Hi there,
This is a request to please grant Sajjad Ahmad access to a couple of folders on our W Drive:
-Â Â Â Â Â Â Â Â Â Shared-Leadership
-Â Â Â Â Â Â Â Â Â Shared-SFC
Thanks,
Angeli
[image]
Angeli AlipioBBA
HR Generalist
T: 403.205.5233 |C: 403.619.7126 | E: AngeliA@caryacalgary.ca| F: 403.205.5281
180, 839 5 Ave SW | Calgary, AB | T2P 3C8
[image]Â [image]Â [image]
carya (formerly Calgary Family Services)
We are working remotely to help Calgarians through the COVID-19 pandemic. Please reach out to us if you need support.carya is here for you.
In the spirit of our efforts to promote reconciliation, we acknowledge the traditional territories and oral practices of the Blackfoot, the Tsuut'ina, the Stoney Nakoda First Nations, the MÃ©tis Nation Region 3, and all people who make their homes in the Treaty 7 region of Southern Alberta. We also respectfully acknowledge that the province of Alberta is comprised of Treaty 6, Treaty 7, and Treaty 8 territory, the traditional lands of First Nations and MÃ©tis peoples.
No form of electronic communication is secure and may be intercepted by others. Carya cannot guarantee the receipt of electronic communication nor a timely response. Where communication is confidential or time sensitive we recommend you call 403-269-9888 during business hours (Monday-Friday, 8:30am-4:30pm). For immediate crisis response please contact the Distress Centre Crisis Line at 403-266-HELP (4537) and in case of an emergency dial 911.
This e-mail is intended solely for the person or entity to which it is addressed and may contain confidential and/or privileged information. Any review, dissemination, copying, printing, forwarding or other use of this e-mail by persons or entities other than the addressee is prohibited. If you have received this e-mail in error, please contact the sender immediately and delete the material from your computer.</t>
  </si>
  <si>
    <t>Fwd: [Advisory] TELUS Network maintenance Release #1860217 - March 11, 2021 at 01:01 Mountain time -</t>
  </si>
  <si>
    <t>Get Outlook for Android
From: Releases@TELUS.COM &lt;Releases@TELUS.COM&gt;
Sent: Wednesday, February 3, 2021, 11:35 a.m.
To: Amin Hirji
Cc: Releases@TELUS.COM
Subject: [Advisory] TELUS Network maintenance Release #1860217 - March 04, 2021 at 01:01 Mountain time - IGLOO BUILDING SUPPLIES GROUP LTD.
[image]
[Advisory] - Network maintenance affecting IGLOO BUILDING SUPPLIES GROUP LTD.'s TELUS services starting March 04, 2021 at 01:01 Mountain time
Dear IGLOO BUILDING SUPPLIES GROUP LTD.,
Please note this is a system generated message. The TELUS team would like to advise you of an upcoming impact to your TELUS services between March 04, 2021 at 01:01 Mountain time - March 04, 2021 at 05:00 Mountain time. Every effort will be taken to minimize this service interruption. We apologize for any inconvenience this may cause.
[image]
Maintenance window: March 04, 2021 at 01:01 Mountain time - March 04, 2021 at 05:00 Mountain time
Change reference number: 1860217
Reason for release
 TELUS needs to perform ahardware upgrade change activity on the infrastructure that impacts your services with us. The activity is needed due tonetwork modernization/evolution
 This maintenance will help ensure your service continues to work how and when you want it to
 This outage could occur at any time during the window and last for periods of up to90 Minutes per service
 Please note that services without a redundant connection will experience a loss of service during the maintenance window above
 The services with a redundant connection will experience reconvergence hits rather than interruption to service
 TELUS has made every effort to select a time which is a low usage time for all customers affected by this activity
Services affected
Customer nameCSIDCustomer servicesNotesAddress
--- --- --- --- --- 
IGLOO BUILDING SUPPLIES GROUP LTD.1503210IBSG_EDTNAB_12832 184 ST NW_Business Internet 20-100 Mbps_0001Â 12832 184 ST NW, EDMONTON, AB
IGLOO BUILDING SUPPLIES GROUP LTD.1503211IBSG_EDTNAB_12832 184 ST NW_BI/WAN L3 VPN Wireless Resiliency_0001Â 12832 184 ST NW, EDMONTON, AB
Contact information
General inquiries: If you have any questions about this advisory please contact TELUS National Change Management:
 Email:releases@telus.com
 Phone: 1-800-516-3777 (08:00 - 16:30 MT Monday to Friday)
Service issues: If a problem with your service is found upon completion of this work activity report it to:
 Your TELUS support desk / general repair / assurance number (if applicable); or,
 The TELUS National Customer Support Centre (NCSC) at 1-800-706-1745
Let them know your call is related to this change advisory and provide the above change reference number.
Thank you,
TELUS National Change Management
TELUS Privileged and Confidential [Restricted Use only - This message may contain privileged or confidential information and is intended solely for the above-mentioned recipient(s). If you have received this message in error, please notify the sender immediately and delete the original. Any unauthorized use, copying or distribution of the contents of this message is strictly prohibited. Thank-you for your co-operation.]</t>
  </si>
  <si>
    <t>John Rivard</t>
  </si>
  <si>
    <t>FW: Invoice #20550812 Due **spam email**</t>
  </si>
  <si>
    <t>Please mark as SPAM
John Rivard, BBA
Business Manager
[image]
11403 â€“ 174 Street Edmonton, AB T5S 2P4
Branch: 780-451-2680 Â Â Â Â Â Â Â Â Â Â Â Â  Toll Free: 1-800-252-7902Â Â Â Â Â Â  Direct: 780-451-2680 ext. 1409
Cell: 780-720-2288
Email: john.rivard@calmont.ca
Website: www.calmont.ca
This email, and any files transmitted with it, are confidential and are intended solely for the use of the individual or entity to which they are addressed. Any unauthorized use or disclosure is prohibited. Please notify the sender if you have received this email in error. Thank you for your co-operation.
From: Kristin Anderson &lt;kanderson1@usa.edu&gt; 
Sent: February 3, 2021 11:20 AM
To: John Rivard &lt;John.Rivard@calmont.ca&gt;
Subject: Invoice #20550812 Due
Attention john.rivard@calmont.ca;
Kindly find your Invoice Â #20550812 due as requested. Provide an ETA for this order ASAP.
View Document 
If you have any questions, please let us know.
Kristin Anderson
Purchasing &amp; Marketing
Accent Metal Finishing Inc
www.accentmetal.com
Office: Â (847) 678-7429
Fax: Â (847) 678-7450</t>
  </si>
  <si>
    <t>Machine-o-Matic - Manufacturing2 user needs to move to new RDS</t>
  </si>
  <si>
    <t>### Summary of Issue_x000D_
Machine-o-Matic - Manufacturing2 user needs to move to new RDS_x000D_
  _x000D_
### Details of Issue_x000D_
Manufacturing2 user needs to move to new RDS_x000D_
  _x000D_
### Have you opened a ticket about this issue before?  _x000D_
 No  _x000D_
  _x000D_
### How many users are impacted by this issue?  _x000D_
 One  _x000D_
  _x000D_
### How would you classify this issue?  _x000D_
 Minor Inconvenience</t>
  </si>
  <si>
    <t>Lisa Pruden</t>
  </si>
  <si>
    <t>Lisa Pruden - Teams and Google Meetings</t>
  </si>
  <si>
    <t>Hi there,
Martin has been having trouble with meetings held of Teams and Google meets. He is able to hear everyone in the meeting, but they cannot hear him.
Weâ€™ve gone through and adjusted the mic settings to ensure it is connecting to his headset, and that noise cancellation is off. The mic icons show that it is picking up his voice, but others in the meeting still canâ€™t hear him. This problem does not happen during zoom meetings.
Do you have any thoughts for further trouble shooting we can do?
Thanks!
Lisa
Lisa Pruden
Executive Assistant to Martin Garber-Conrad
Chief Executive Officer
lpruden@ecfoundation.org
[cid:image004.png@01D5FE99.19870C70]
9910 103 ST NW
EdmontonÂ  ABÂ  T5K 2V7
780.426.0015Â  x103
www.ecfoundation.org
Visit ECF on Facebook
or follow us on Twitter!
[http://www.bing.com/th?id=AwChYGrkW01o08g110x110&amp;amp;w=110&amp;amp;h=110&amp;amp;c=6&amp;amp;qlt=95&amp;amp;pid=RichNav]Â Â [http://www.bing.com/th?id=A%252bYlgJhNfybf7cw136x110&amp;amp;w=110&amp;amp;h=110&amp;amp;c=6&amp;amp;qlt=95&amp;amp;pid=RichNav]Â Â Â www.ECFoundation.org
DISCLAIMER
This communication is intended for the use of the recipient to whom it is addressed, and may contain confidential, personal or privileged information.Â  Please contact us immediately if you are not the intended recipient of this communication, and do not copy, distribute or take action relying on it.Â  Any communication received in error, or subsequent reply should be deleted or destroyed.
If you no longer wish to receive electronic communication from Edmonton Community Foundation, please send an email to:
I do NOT give consent to receive emails from Edmonton Community Foundation</t>
  </si>
  <si>
    <t>Request for Quote to be sent to Partners Eugene Erler &amp; Robert Simpson and to Office Manager Anastas</t>
  </si>
  <si>
    <t>Good morning,
One of the partners Eugene Erler has asked that I email MNP to request a quote for purchasing the Adobe Professional or Adobe program where we can bookmark our Adobe documents to send for filing to the courts.Â  I believe it would be the same Adobe program Joseph Nagy in our office inquired of for him and his staff here in the office.Â  His assistant advised me it was called Adobe Professional but Iâ€™m not sure if that is the correct name?
When you email the quote please forward it to:
Reception â€“ reception@dursim.com
Office Manager â€“ Anastasiya Horan - Anastasia (nastya.bazanova@gmail.com)
Eugene Erler &amp; Robert Simpson as Partners â€“Eerler@dursim.com &amp; RSimpson@dursim.com
Thank you.
Linette Rasmussen
Assistant to Robert Simpson
LRasmussen@dursim.com
Durocher Simpson Koehli &amp; Erler LLP
7904 Gateway Blvd.
Edmonton, AB T6E 6C3
Ph:Â  780-420-6850
Fax:Â 780-425-9185</t>
  </si>
  <si>
    <t>Erin Ries</t>
  </si>
  <si>
    <t>Erin Ries - computer sound is not coming through my headset</t>
  </si>
  <si>
    <t>### Summary of Issue_x000D_
computer sound is not coming through my headset_x000D_
  _x000D_
### Details of Issue_x000D_
computer sound is not coming through my headset_x000D_
  _x000D_
### Have you opened a ticket about this issue before?  _x000D_
 No  _x000D_
  _x000D_
### How many users are impacted by this issue?  _x000D_
 One  _x000D_
  _x000D_
### How would you classify this issue?  _x000D_
 Work Impacting</t>
  </si>
  <si>
    <t>Roger Lam - RE: name change for Jwondik</t>
  </si>
  <si>
    <t>FW: Quote on Surface with Accessories</t>
  </si>
  <si>
    <t>From: Carie Campbell &lt;Carie@landrex.com&gt; 
Sent: Wednesday, February 3, 2021 9:04 AM
To: Sales - MNP IT Managed Services &lt;sales@mnptechnology.ca&gt;
Subject: Quote on Surface with all the things
CAUTION:This email originated from outside of the MNP network. Be cautious of any embedded links and/or attachments.
MISE EN GARDE:Ce courriel ne provient pas du rÃ©seau de MNP. MÃ©fiez-vous des liens ou piÃ¨ces jointes quâ€™il pourrait contenir.
Good Morning,
We need another MS Surface package.
Can I please get a quote as per our other orders in the past.
Thanks,
Carie Campbell
Office Manager
T:
F:
780.459.5263
780.459.1220
carie@landrex.com
220Â SummitÂ PlazaÂ 190Â BoudreauÂ RoadÂ St.Â AlbertÂ ABÂ T8NÂ 6B9Â //Â landrex.com
[image]
PrivateÂ andÂ confidentialÂ â€‘Â TheÂ informationÂ transmittedÂ isÂ intendedÂ onlyÂ forÂ theÂ personÂ orÂ entityÂ toÂ whichÂ itÂ isÂ addressedÂ andÂ mayÂ containÂ proprietary,Â businessâ€‘confidentialÂ and/orÂ 
privilegedÂ material.Â IfÂ youÂ areÂ notÂ theÂ intendedÂ recipientÂ ofÂ thisÂ messageÂ youÂ areÂ herebyÂ notifiedÂ thatÂ anyÂ use,Â review,Â retransmission,Â dissemination,Â distribution,Â reproductionÂ orÂ anyÂ 
actionÂ takenÂ inÂ relianceÂ uponÂ thisÂ messageÂ isÂ prohibited.Â IfÂ youÂ receivedÂ thisÂ inÂ error,Â pleaseÂ contactÂ theÂ senderÂ andÂ deleteÂ theÂ messageÂ andÂ anyÂ relatedÂ attachmentsÂ orÂ copies.</t>
  </si>
  <si>
    <t>Joanne Chaloner - Prep L-11019 for new user</t>
  </si>
  <si>
    <t>### Summary of Issue_x000D_
Prep L-11019 for new user_x000D_
  _x000D_
### Details of Issue_x000D_
Our prior CEO removed her files from this MacBook, and had it factory re-set.  Please set this up for new user Erika Scott.  Please ensure that it has VPN, Zoom and all of the office programs on the local machine._x000D_
  _x000D_
### Have you opened a ticket about this issue before?  _x000D_
 No  _x000D_
  _x000D_
### How many users are impacted by this issue?  _x000D_
 One  _x000D_
  _x000D_
### How would you classify this issue?  _x000D_
 Other</t>
  </si>
  <si>
    <t>FW: PC</t>
  </si>
  <si>
    <t>From: Julie Nadeau &lt;Julie-Nadeau@poundmaker.org&gt; 
Sent: Wednesday, February 3, 2021 9:33 AM
To: Sales - MNP IT Managed Services &lt;sales@mnptechnology.ca&gt;
Cc: Brad Cardinal &lt;Brad-Cardinal@poundmaker.org&gt;
Subject: PC
CAUTION:This email originated from outside of the MNP network. Be cautious of any embedded links and/or attachments.
MISE EN GARDE:Ce courriel ne provient pas du rÃ©seau de MNP. MÃ©fiez-vous des liens ou piÃ¨ces jointes quâ€™il pourrait contenir.
Hello,
Can I please receive a quote for a computer with installation for the 9th counsellors' desk?
Please advise on where we are on the two previous computer orders
January 18th, 2021 and the January 27th, 2021 computer orders
Julie Nadeau
Executive Assistant | (780) 983-5529
Poundmakerâ€™s Lodge Treatment Centre</t>
  </si>
  <si>
    <t>Home Printer Once Again Not Accessible Through Remote Access</t>
  </si>
  <si>
    <t>Good Morning
My Versa Link Printer is once again not connected via Remote Accessâ€¦..this has happened a few times since April of 2020.Â  Thanks for giving me call to reconnect itâ€¦..
Barb
BarbSpencer e4c
Chief Executive Officer
BSpencer@e4calberta.org
T780.424.7543 ext 165
9321 Jasper Avenue, Edmonton AB T5H 3T7
e4calberta.org
[image]
This message is intended for the use of the individual or entity to which it is addressed and may contain information that is privileged and confidential. If you are not the intended recipient or the employee responsible for delivery of the message to the intended recipient, please be advised that any dissemination, distribution or copying of this message is strictly prohibited. If you have received this message in error, please notify us immediately by telephone and return the original email to us or destroy this message.
[image]e4c supports environmental conservation - please print wisely.</t>
  </si>
  <si>
    <t>FW: Mail 1 of 1: Your Order 10-P1-695704 (SO:1010631724)</t>
  </si>
  <si>
    <t>Hi Team,
When we went to register the renewal license we got this response in regards to SN:FL200D3A15001432 not being accepted by Fortinet due to it being less than 12 months of support. They are looking for us to do a co-term on the unit for the remaining duration of the end of support which is 2022-01-17. We have no problem doing this but we would require an RMA. Can you please let us know of next steps?
Thanks,
Cori
Cori Davidge
Consultant, Technology Solutions
PH.Â +1 4036864357
310 - 4000 4 St SE
Calgary, AB
T2G2W3
Cori.Davidge@mnp.ca
mnp.ca[image]
[image]
From: ITMS Registrations &lt;itms.registrations@mnp.ca&gt;
Sent: February 3, 2021 9:03 AM
To: Cori Davidge &lt;Cori.Davidge@mnp.ca&gt;; ITMS Registrations &lt;itms.registrations@mnp.ca&gt;
Cc: Shawn Kubiski &lt;Shawn.Kubiski@mnp.ca&gt;
Subject: RE: Mail 1 of 1: Your Order 10-P1-695704 (SO:1010631724)
There is a problem with the contract for FL200D3A15001432, it canâ€™t be applied as per Fortigate:
Please note the End of support date for the FortiAnalyzer-200D is 2022-01-17. After this date which Fortinet, will not sell, manufacture or improve the product and is under no obligation to provide support services.
We would request you to contact your point of purchase and check if you can cancel these contracts and purchase a co-term contract till 2022-01-17 for serial number FL200D3A15001432.
Fortigate ticket Ticket Number: 4666114
From: Cori Davidge &lt;Cori.Davidge@mnp.ca&gt;
Sent: February 2, 2021 10:40 AM
To: ITMS Registrations &lt;itms.registrations@mnp.ca&gt;
Subject: FW: Mail 1 of 1: Your Order 10-P1-695704 (SO:1010631724)
For NRCB
FL200D3A15001432
FG100D3G12809675
FG100D3G13815224
Cori Davidge
Consultant, Technology Solutions
PH.Â +1 4036864357
310 - 4000 4 St SE
Calgary, AB
T2G2W3
Cori.Davidge@mnp.ca
mnp.ca
[image]
[image]
From: do-not-reply-contract@FORTINET.COM &lt;do-not-reply-contract@FORTINET.COM&gt;
Sent: January 19, 2021 11:59 AM
To: fortinetlicensing@techdata.ca;SCAMPBELL@FORTINET.COM; khurram.haider@techdata.ca; Cori Davidge &lt;Cori.Davidge@mnp.ca&gt;;CSD@NRCB.CA
Subject: Mail 1 of 1: Your Order 10-P1-695704 (SO:1010631724)
CAUTION:This email originated from outside of the MNP network. Be cautious of any embedded links and/or attachments.
MISE EN GARDE:Ce courriel ne provient pas du rÃ©seau de MNP. MÃ©fiez-vous des liens ou piÃ¨ces jointes quâ€™il pourrait contenir.
Dear Customer,
Attached is/are Support Contract/s for your order 10-P1-695704 ( Fortinet sales order No. 1010631724 ).
Ship To:
INC.
14505 114 AVENUE
EDMONTON, AB, T5M 2Y8, CA,
Reseller PO / Additional Ship to info : PO L011521NRCB L011521NRCB
You can also download attached file/s from our website at any time by clicking here
Best regards,
Fortinet, Inc
US Headquarters, 899 Kifer Road,
Sunnyvale, CA, 94086, USA</t>
  </si>
  <si>
    <t>Sabrina Tabak</t>
  </si>
  <si>
    <t>Hi,
I have access to everything but Used Trucks, Admin, and Winnipeg.
Regards,
Sabrina Tabak
Sales Coordinator
[New Calmont Group Volvo Truck Centre logo]
Calmont Volvo Truck Centre Edmonton
11403 174 Street, Edmonton, Alberta, T5S 2P4
Tel: 780-451-2680
Fax: 780-454-5096
Toll Free: 800-252-7902
From: Kristi Perkins
Sent: February 3, 2021 10:02 AM
To: Support - MNP IT Managed Services &lt;support@mnptechnology.ca&gt;
Cc: Sabrina Tabak &lt;Sabrina.Tabak@calmont.ca&gt;
Subject: S Drive Access
Good morning,
Please give Sabrina Tabak access to the S Drive.
Thanks,
Kristi Perkins, CPA, CGA
Controller
[cid:image001.jpg@01D46A27.105D5D50]
14610 Yellowhead Trail NW Edmonton, AB, T5L 3C5
Branch: 780-454-0491Â Â Â Â  Toll Free: 1-800-363-7819Â Â Â Â  Direct: 780-482-0275Â Â Â Â  Cell: 780-233-6362Â Â Â Â  Fax: 780-451-5768
Email:kristi.perkins@calmont.ca
Website:www.calmont.ca
This email, and any files transmitted with it, are confidential and are intended solely for the use of the individual or entity to which they are addressed. Any unauthorized use or disclosure is prohibited. Please notify the sender if you have received this email in error. Thank you for your co-operation.</t>
  </si>
  <si>
    <t>Kristi Perkins - S Drive Access, Sabrina Tabak</t>
  </si>
  <si>
    <t>Good morning,
Please give Sabrina Tabak access to the S Drive.
Thanks,
Kristi Perkins, CPA, CGA
Controller
[cid:image001.jpg@01D46A27.105D5D50]
14610 Yellowhead Trail NW Edmonton, AB, T5L 3C5
Branch: 780-454-0491Â Â Â Â  Toll Free: 1-800-363-7819Â Â Â Â  Direct: 780-482-0275Â Â Â Â  Cell: 780-233-6362Â Â Â Â  Fax: 780-451-5768
Email:kristi.perkins@calmont.ca
Website:www.calmont.ca
This email, and any files transmitted with it, are confidential and are intended solely for the use of the individual or entity to which they are addressed. Any unauthorized use or disclosure is prohibited. Please notify the sender if you have received this email in error. Thank you for your co-operation.</t>
  </si>
  <si>
    <t>[image]
A low-severity alert has been triggered
âš Creation of forwarding/redirect rule
Severity:â—Low
Time:2/3/2021 5:00:00 PM (UTC)
Activity:MailRedirect
User:bschneider@youracsa.ca
Details: MailRedirect. This alert is triggered whenever someone gets access to read your user's email.
                        View alert details                    
Thank you, 
The Office 365 Team
[image]
One Microsoft Way
Redmond, WA
98052-6399 USA
Privacy | Legal</t>
  </si>
  <si>
    <t>Tracy Kuehnemuth - FW: CSR Meeting - January 27, 2021</t>
  </si>
  <si>
    <t>I sent this message from outside the cloud last week. It appears that people are just getting them now. Is there a way to recall/stop them?
Tracy
*******************************
[image]
Tracy Kuehnemuth
Office Coordinator
401-11010 142 St NW
Edmonton, ABÂ  T5N 2R1
780-455-2164
From: d simmons &lt;shadstoker315@gmail.com&gt; 
Sent: Wednesday, February 3, 2021 9:32 AM
To: Tracy Kuehnemuth &lt;tracy.kuehnemuth@edpub.org&gt;
Subject:Re: CSR Meeting - January 27, 2021
This is last month. Am I missing something?
On Wed., Feb. 3, 2021, 9:16 a.m. Tracy Kuehnemuth, &lt;tracy.kuehnemuth@edpub.org&gt; wrote:
shadstoker315@gmail.com
Deanna Simmons
January 27, 2021
Good afternoon,
You have registered for the Council of School Representativesâ€™ (CSR) meeting beginning at 5:00 pm. Here is the link to access the Zoom meeting: https://edpub-org.zoom.us/j/83006675442.
Please note that you must change your screen name to LAST NAME â€“ SCHOOL (ie, KUEHNEMUTH â€“ LOCAL OFFICE).
This will assist us in confirming who is in attendance and who will be reimbursed for attending the meeting.
We encourage you to log in early to avoid wait times. Staff will be checking reps in beginning at 4:00 pm. You will be placed in the waiting room until staff have confirmed that you are on the list. Please be patient as this takes some time. If we canâ€™t determine who you are from your screen name you will not be permitted into the meeting or paid for your attendance.
At this time, we are also missing 70 staff lists. If your school is listed below, please forward an updated staff list to the me so I can update our records.
Academy at King Edward
Amiskwaciy
Athlone
Avonmore
Belmead
Belmont
Braemar
Crestwood
Daly Grove
Delwood
Earl Buxton
Eastglen
Edmonton Christian High
Edmonton Christian NE
EPSB â€“ Communications &amp; Inclusive Learning
EPSB â€“ Curriculum and Resource Support
EPSB â€“ FNMI
EPSB â€“ Research and Innovation for Students
EPSB â€“ Strategic District Supports
Esther Starkman
Forest Heights
Fraser
Gold Bar
Grandview Heights
Greenview
Highlands
Hillcrest
Hillview
Homesteader
Hospital School Campuses â€“ CASA Ties
Hospital School Campuses â€“ Glenrose
Inclusive Learning â€“ Waverley
Ivor Dent
Jasper Place
John D. Bracco
Kameyosek
Kate Chegwin
Lansdowne
Laurier Heights
Learning Store Northgate
Learning Store Whyte
Learning Store West Ed
Lee Ridge
Londonderry
Lorelei
Meadowlark
Metro Continuing
Meyokumin
Michael Strembitsky
Millwoods Christian
Mount Royal
Nellie Carlson
New Directions/Transitions at Park Plaza
Old Scona
Patricia Heights
Queen Elizabeth
Riverbend
Roberta MacAdams
Rosslyn
S. Bruce Smith
Spruce Avenue
Steele Heights
Stratford
Thorncliffe
W. P. Wagner
WaverleyWestbrook
Westglen
Council of School Reps (CSR) - Local 37 is inviting you to a scheduled Zoom meeting.
Topic: CSR January 27, 2021 Meeting
Time: This is a recurring meeting Meet anytime
Join Zoom Meeting
https://edpub-org.zoom.us/j/83006675442
Meeting ID: 830 0667 5442
One tap mobile
+12042727920,,83006675442# Canada
+14388097799,,83006675442# Canada
Dial by your location
+1 204 272 7920 Canada
+1 438 809 7799 Canada
+1 587 328 1099 Canada
+1 647 374 4685 Canada
+1 647 558 0588 Canada
+1 778 907 2071 Canada
Meeting ID: 830 0667 5442
Find your local number:  https://edpub-org.zoom.us/u/kA7WubNGp
Join by Skype for Business
https://edpub-org.zoom.us/skype/83006675442</t>
  </si>
  <si>
    <t>Anna Opryshko</t>
  </si>
  <si>
    <t>Anna Opryshko - install 3CX Phone for Windows</t>
  </si>
  <si>
    <t>Good morning,
Iâ€™m getting an increasing amount of calls at work while working from home, but I am unable to respond to the without the 3CX Phone for Windows. I know that my colleagues have the system installed on their computer for their phone lines. Would it be possible to get that install on my laptop as well? My work number and extension are 780.426.0015Â  ext. 107 ( though I canâ€™t answer it currently as I am working from home)
Thanks,
Anna Opryshko MLIS
Student Awards Associate
(pronouns: she/her)
[Logo for signature]
9910 103 St NW
Edmonton AB Â T5K 2V7
780.426.0015Â  ext. 107
780.425.0121 Â (fax)
[image]Â Â [image]Â Â Â www.ECFoundation.org</t>
  </si>
  <si>
    <t>Casino Dene LP</t>
  </si>
  <si>
    <t>Bill Walkhouse</t>
  </si>
  <si>
    <t>Casino Dene - Internet Connections for Fire &amp; Intrusion Alarm Monitoring Panels (Paladin)</t>
  </si>
  <si>
    <t>### Summary of Issue_x000D_
Static IPs needed for Casino Dene_x000D_
  _x000D_
### Details of Issue_x000D_
Got an email from Bill about alarm setup:
Hello Mike,
We are working with Casino Dene to get some new Alarm monitoring set up and it is possible that weâ€™ll need to have 2 dedicated IP connections from the panels out to our monitoring station.
Weâ€™ll be at site next week and could assist with running the CAT6, but will definitely need your help assuring that our connection is working. I do have some recommendations for a firewall rule from our Alarms team if that is helpful.
Thanks,
Bill Walkhouse CET PMP
Project Manager
Paladin Technologies
D: 780-395-7782 C: 780-919-6105
bwalkhouse@paladintechnologies.com
104-4103 97 St NW, Edmonton AB, T6E6E9
paladintechnologies.com_x000D_
  _x000D_
### Have you opened a ticket about this issue before?  _x000D_
 No  _x000D_
  _x000D_
### How many users are impacted by this issue?  _x000D_
 Some  _x000D_
  _x000D_
### How would you classify this issue?  _x000D_
 Minor Inconvenience</t>
  </si>
  <si>
    <t>Priscilla Dahdona</t>
  </si>
  <si>
    <t>Hi
Could you please disable and remove the forwarding on the email of Priscilla Dahdona.
This will no longer be needed.
With Thanks,
Cheryl Trenchard, PCP
Human Resources &amp; Payroll Manager
[cid:image001.jpg@01D407CC.BE04B790]
14610 Yellowhead Trail NW Edmonton, AB, T5L 3C5
Branch: 780-482-0281Â Â Â  Cell: 587-930-2091Â Â  Fax: 780-482-0278
Email:cheryl.trenchard@calmont.ca
Website:www.calmont.ca
This email, and any files transmitted with it, are confidential and are intended solely for the use of the individual or entity to which they are addressed. Any unauthorized use or disclosure is prohibited. Please notify the sender if you have received this email in error. Thank you for your co-operation.</t>
  </si>
  <si>
    <t>Sara Kinsella</t>
  </si>
  <si>
    <t>Toshiba printer is still jamming please send tech back to look at it</t>
  </si>
  <si>
    <t>Toshiba studio6550C  _x000D_
10.10.100.211 needs a service please</t>
  </si>
  <si>
    <t>Please forward Alisha Androschuk's DID/Ext  to MHK Reception</t>
  </si>
  <si>
    <t>MNP,
As soon as possible, please forward Alishaâ€™s number, 587.525.6006 to 780.454.9363 so our reception team can redirect her calls for the time being.
Thanks.
Michelle
Michelle Rose       BA
Manager, Communications &amp; Corporate Relations/Human Resources
EÂ Â Â Â Â  mrose@mhkinsurance.com
DÂ Â Â Â  587.525.6047Â 
CÂ Â Â Â  780.983.2976
12316-107 Avenue, Edmonton, AB  T5M 1Z1
www.mhkinsurance.com
[image]
[image]
We're here to help with your insurance needs. Emails       and phone calls are still encouraged. Appointments are required for       in-office broker meetings. Please wear a mask when       visiting.
MHK welcomes       e-Transfer payments to banking@mhkinsurance.â€‰com.
If you       receive this email in error, please notify us by reply email and destroy       this message. MHK complies with Canada's Anti-Spam and Alberta's PIPA       Legislations. If you no longer wish to receive emails from MHK, please       reply with 'Unsubscribe' in the subject   line.</t>
  </si>
  <si>
    <t>Joanne Chaloner - Prep Surface Pro X-7799 and Phone 403-312-1262 for Grace Ojekunle</t>
  </si>
  <si>
    <t>### Summary of Issue_x000D_
Prep Surface Pro X-7799 and Phone 403-312-1262 for Grace Ojekunle_x000D_
  _x000D_
### Details of Issue_x000D_
We have a prior staff that will be returning from Maternity Leave shortly.  Please prep Surface Pro X-7799 and Phone 403-312-1262 for Grace Ojekunle.  
Thanks,
Joey_x000D_
  _x000D_
### Have you opened a ticket about this issue before?  _x000D_
 No  _x000D_
  _x000D_
### How many users are impacted by this issue?  _x000D_
 One  _x000D_
  _x000D_
### How would you classify this issue?  _x000D_
 Other</t>
  </si>
  <si>
    <t>Hewes OHI workstation display</t>
  </si>
  <si>
    <t>Hello MNP IT,
Last Friday Oarrie helped me with display setting on the Hewes OHI workstation.
This includes a presentation monitor on the left and the primary monitor on the right.
Now all RDS users at this workstation, logged in, have the primary monitor set at the left on the presentation monitor.
This is opposite of the workstation settings. Can this please be reviewed while in an RDS session during the remote site visit tomorrow?
Thanks,
Mel
Melody Baldry
Manager &amp; Privacy Officer
Align Orthodontics
Edmonton, Alberta, Canada
Direct: 780.395.2999
Edmonton Main: 780.463.5141
Sherwood Park Main: 780.449.6597
www.alignortho.com
[Email Logo Template]
Confidentiality Notice: This message and any attachments are solely for the intended recipient and may contain confidential or privileged information. If you are not the intended recipient, any disclosure, copying, use, or distribution of the information included in this message and any attachment is prohibited. If you have received this communication in error, please notify myself, by reply email and immediately and permanently delete this message and any attachments.</t>
  </si>
  <si>
    <t>Courtney Holick - FoxIT Phantom PDF for Caitlin Schulte</t>
  </si>
  <si>
    <t>From: Courtney Holick &lt;Courtney.Holick@calmont.ca&gt; 
Sent: Wednesday, February 3, 2021 8:13 AM
To: Sales - MNP IT Managed Services &lt;sales@mnptechnology.ca&gt;
Subject: FoxIT
CAUTION:This email originated from outside of the MNP network. Be cautious of any embedded links and/or attachments.
MISE EN GARDE:Ce courriel ne provient pas du rÃ©seau de MNP. MÃ©fiez-vous des liens ou piÃ¨ces jointes quâ€™il pourrait contenir.
Hi,
Can you please get FoxIt for Caitlin?
Courtney Holick, CPA, CMA
Chief Financial Officer
[image]
14610 Yellowhead Trail NW Edmonton, AB, T5L 3C5
Branch: 780-454-0491Â Â Â Â  Toll Free: 1-800-363-7819Â Â Â Â  Direct: 780-409-3359Â Â Â Â  Cell: 780-916-7296
Email:courtney.holick@calmont.ca
Website:www.calmont.ca
This email, and any files transmitted with it, are confidential and are intended solely for the use of the individual or entity to which they are addressed. Any unauthorized use or disclosure is prohibited. Please notify the sender if you have received this email in error. Thank you for your co-operation.</t>
  </si>
  <si>
    <t>Murray Hill Developments</t>
  </si>
  <si>
    <t>Alex Ettinger</t>
  </si>
  <si>
    <t>Fortinet Renewal - Support Expires 20-MAR-2021</t>
  </si>
  <si>
    <t>Automation for Jira made 1 update.Â Susanne Staer added 1 new comment.Â  Toronto Innovation Acceleration Partners/TIAP-1010 Kristi Steed - miworkerbees 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
Automation for Jira made 1 update.Â Susanne Staer added 1 new comment.Â 
Toronto Innovation Acceleration Partners
/Â Â   [image] Â  TIAP-1010
 Kristi Steed - miworkerbees 
Updates
[image]  Automation for Jira  9:47Â AMÂ EST
Status: Waiting for customer [â†’] Waiting for support
Comments
[image]  Susanne Staer  9:47Â AMÂ EST
Hmm, ok â€“ it is correct then. Maybe Kristi just doesnâ€™t accept her invites LOL. Thanks â€“ we can close this ticket then.
View issue
Get Jira notifications on your phone! Download the Jira Cloud app for Android or iOS.
Manage notifications   Â â€¢Â    Give feedback   Â â€¢Â    Privacy policy
[image]
[image]
[image]</t>
  </si>
  <si>
    <t>RDS stuck</t>
  </si>
  <si>
    <t>Good morning,
My computer wonâ€™t log onto the Cloud, it keeps trying to log on?Â  Thank you.Â  Linette Rasmussen
[image]</t>
  </si>
  <si>
    <t>Tiffany Cavner</t>
  </si>
  <si>
    <t>Queue Groups</t>
  </si>
  <si>
    <t>Good Morning,
We will be testing our IVR system on Friday as we havenâ€™t used in close to a year. With that I was looking at our agents and noticed some of them are not assigned to the correct groups for taking calls in queue. Can we please ensure the following agents are assigned to only the groups listed below:
Registration Group and Tech Group:
Alexander Shayne- Extension 1861
Christina Chen- Extension 1891
Chantelle Emmelkemp- Extension 1879
Faduma Ali- Extension 1892
Holly Slade- Extension 1876
Karen Deveau- Extension 1875
Kim Mellow- Extension 1871
Katie Todd- Extension 1857
COR Group:
Asha Atkin:-Extension 1898
Josh Kim â€“ Extension 1810
Jessica Mihaly-Lassonde 1852
Misty Musial- Extension 1872
Thank you!
TIFFANY CAVNER |Â Client Services Team Lead
Alberta Construction Safety Association
225 Parsons Road SW |Â Edmonton ABÂ |Â T6X 0W6
TÂ 780.453.3311 ext. 7950 |Â FÂ 780.455.1120 |Â TFÂ 1.800.661.ACSA (2272)
www.youracsa.ca
[2021 ACSA Conference email signature_FINAL]
[cid:image001.png@01D32174.409ADC10][cid:image002.png@01D32174.409ADC10][cid:image003.png@01D32174.409ADC10][cid:image004.png@01D32174.409ADC10]</t>
  </si>
  <si>
    <t>Buy a subscription to keep using your product</t>
  </si>
  <si>
    <t>Your trial will be disabled on February 10, 2021Â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[Microsoft]
--- ---
---
Your trial is endingâ€”buy a subscription to keep using your product
You have 1 expired trial that will be disabled on February 10, 2021. To continue using your products, buy a paid subscription in the Microsoft 365 admin center.
--- ---
--- 
Buy now &gt;
--- ---
--- 
If your trial is disabled on February 10, 2021:
 Your users will no longer be able to access any of the services associated with this subscription.
 Your admins will be able to access the admin center, but theyâ€™ll no longer be able to assign licenses to users.
--- ---
--- 
More information
 How to extend a trial.
 How to cancel a trial.
--- ---
--- 
Your trial that will be disabled:
ProductTotal licensesStart date
--- --- --- 
MICROSOFT TEAMS COMMERCIAL CLOUD500000November 12, 2019
--- ---
---
Account information
Organization name: Alberta Construction Safety Association
Domain: youracsa.ca
--- ---
---
This is a mandatory service communication. To set your contact preferences or to unsubscribe from other communications , visit the Promotional Communications Manager. Privacy Statement. 
Il sâ€™agit de communications obligatoires. Pour configurer vos prÃ©fÃ©rences de contact pour dâ€™autres communications, accÃ©dez au gestionnaire de communications promotionnelles. DÃ©claration de confidentialitÃ©..
Microsoft Corporation,One Microsoft Way, Redmond, WA 98052
[Microsoft]
--- ---
---
[image]</t>
  </si>
  <si>
    <t>Install Webcams/Speakers</t>
  </si>
  <si>
    <t>Hi Cheryl,
I am pretty sure that we do not have any of your stock at our office but I will check the bench in the morning and we will send a quote if we do not.
Thanks,
Shawn
From: Cheryl Waldo &lt;cherylw@pilgrimshospice.com&gt; 
Sent: Tuesday, February 2, 2021 2:50 PM
To: Sales - MNP IT Managed Services &lt;sales@mnptechnology.ca&gt;
Subject: RE: Quote Required
CAUTION:This email originated from outside of the MNP network. Be cautious of any embedded links and/or attachments.
MISE EN GARDE:Ce courriel ne provient pas du rÃ©seau de MNP. MÃ©fiez-vous des liens ou piÃ¨ces jointes quâ€™il pourrait contenir.
Hi Shawn
Could I have you confirm if we have any spare PHS computers / webcams / speakers in MNPâ€™s possession.Â  If not, can you please provide a quote for a webcam / speakers for Sean Younâ€™s computer.
Thank you,
Cheryl Waldo
Senior Executive Assistant
Pilgrims Hospice Society
9808 â€“ 148 Street
Edmonton ABÂ  T5N 3E8
T. 780.413.9801 ext. 240 / T. 587.414.5043 (direct)
*Home of the new Roozen Family Hospice Centre
[image]</t>
  </si>
  <si>
    <t>Ken Cowie - Igloo VPN ART Notifications</t>
  </si>
  <si>
    <t>### Which application has a problem or bug?  _x000D_
 ConnectWise Automate  _x000D_
  _x000D_
### What is the URL or Ticket Number where you are experiencing this problem?_x000D_
1356846_x000D_
  _x000D_
### If this is a problem with a Monitor or Alert, please paste the "Initial Description" from the Manage ticket, as posted by the "Automate API" user._x000D_
IBSG - Los Cabos - VPN Tunnel FAILED on Igloo Building Supplies Group\IBSGEDMDC01 at Edmonton Main for  result PING FAIL 192.168.30.1 - Packet loss = 100%.._x000D_
  _x000D_
### Describe the issue._x000D_
Does this monitor take into account that the Fortigate is now part of a HA cluster?  We can still ping workstations on the internal subnet and the second FG is online at 192.168.30.250.</t>
  </si>
  <si>
    <t>Bryce Johnston - Surgery Printers Issues</t>
  </si>
  <si>
    <t>Hi there,
Our computer PVC-D-7096 still canâ€™t print to the surgery printer.
Can you please fix this and set it as the default printer for this workstation.
Thank-you
Bryce Johnston, BComm, CPA
Hospital Director
Pulse Veterinary Specialists &amp; Emergency
450 Ordze Road, Unit #320
Sherwood Park, AB T8B 0C5
Ph: (780) â€“ 570-9999
[image]</t>
  </si>
  <si>
    <t>Alex Gervais</t>
  </si>
  <si>
    <t>Office Wifi Issues</t>
  </si>
  <si>
    <t>Richard Ignacz
Project Specialist
PH.Â +1 7804246398
14505 114th Avenue NW
Edmonton,       AB
T5M2Y8
Richard.Ignacz@mnp.ca
mnp.ca [image]
[image]
From: Alex Gervais &lt;alex@CarePros.ca&gt;
Sent: February 2, 2021 3:22 PM
To: Richard Ignacz &lt;Richard.Ignacz@mnp.ca&gt;
Subject: Office Wifi Issues
CAUTION:This email originated from outside of the MNP network. Be cautious of any embedded links and/or attachments.
MISE EN GARDE:Ce courriel ne provient pas du rÃ©seau de MNP. MÃ©fiez-vous des liens ou piÃ¨ces jointes quâ€™il pourrait contenir.
Hey Richard, Are you able to assist us with diagnosing our office wifi issues. We are getting 20mbps down max and we are on the 1gbps shaw plan. The shaw rep is saying to unplug our WAPs to diagnose the issue but I was curious if youâ€™d be able to help us get our wifi up to par. Causing issues with video calls currently.
Thanks,
[A picture containing person, person, suit, posing Description automatically generated]
[Logo Description automatically generated]
[Icon Description automatically generated][Icon Description automatically generated]
Alex Gervais, BCom(Pronouns: He/Him)
Manager, Marketing, Technology &amp; Asset Management
[signature_1801703609]
[A picture containing text, sign Description automatically generated]
Direct: (780) 667-7778
[signature_899692147]
Office:(587) 800-3727
[Icon Description automatically generated]
alex@carepros.ca
[Icon Description automatically generated]
[Icon Description automatically generated]
carepros.ca</t>
  </si>
  <si>
    <t>Natasha Moyan</t>
  </si>
  <si>
    <t>Natasha Moyan - Computer for Barb Corsini in Edmonton</t>
  </si>
  <si>
    <t>[image]
Hey there Barb will be coming down from Calgary the week of February 15th and will need to use the transport computer to access her computer in Calgary as well as her files. Can you assist in getting this done for her please?
Thank you
Natasha Moyan
Capital Paper Recycling Ltd.
Edmonton Branch
Dispatch-edm@capital-paper.com
15003 -128 ave NW ,
Edmonton ,Alberta t5v 1a5
Tel:780-453-2010
Fax:780-482-2472
"Leaders in paper recoveryâ€
Effective immediately, due to the unsecured nature, we cannot accept Interac E-Transfers. *Unless Authorized by Kim Burns.
The information in this email and any attachments is sent by Capital Paper Recycling LTD. and is intended to be confidential and for the use of only the individual or entity named above. The information may be protected by solicitor-client privilege, work product immunity or other legal principles. If the reader of this message is not the intended recipient, you are notified that unauthorized review, retention, dissemination, distribution, copying or other use of or taking any action in reliance upon this information is strictly prohibited. 
If you received this email in error, please notify us immediately by email reply and delete or destroy this message and any copies.
Darryl Burkhardt
Field Services Technician
PH.Â +1 7804246398
14505 114th Avenue NW
Edmonton,       AB
T5M2Y8
Darryl.Burkhardt@mnp.ca
mnp.ca [image]
[image]</t>
  </si>
  <si>
    <t>Could you also delete, Cassieâ€™s and Carina email
Thanks
Shelley Rines, CPA, CA
Controller
2808 58th Ave SE
Calgary, AB T2C 0B3
C:Â  403.874.1159
D:Â  403.984.0840
M: 403.243.7567
www.total-r.com
[Total-R_Silvercote Logo 2021_COLOR_RGB]</t>
  </si>
  <si>
    <t>Emails</t>
  </si>
  <si>
    <t>Could you please delete Tommy, Michelle, Vernon, Errin, Jon Young, Cecileâ€™s emails and the forwarding email boxes as well.
Thanks
Shelley Rines, CPA, CA
Controller
2808 58th Ave SE
Calgary, AB T2C 0B3
C:Â  403.874.1159
D:Â  403.984.0840
M: 403.243.7567
www.total-r.com
[Total-R_Silvercote Logo 2021_COLOR_RGB]</t>
  </si>
  <si>
    <t>FW: IDEXX Data Backup &amp; Recovery Offline</t>
  </si>
  <si>
    <t>Hi there,
Can you please call Idexx and grant them access to the server so that they can trouble shoot the failed backups.
Thank-you,
Bryce
From: Eau Claire Support Web Address &lt;ecwebaddress@idexx.com&gt; 
Sent: February 2, 2021 11:11 AM
To: Bryce Johnston &lt;Bryce@pulseveterinary.ca&gt;
Subject: IDEXX Data Backup &amp; Recovery Offline
Bryce,
Please have your IT contact us to troubleshoot the serverâ€™s data backup program.
1-800-695-2877 option2 then option3
Case# 01626997
Thank you,
Nick
Cornerstone Hardware Support</t>
  </si>
  <si>
    <t>Dora Jones - Email Not Received</t>
  </si>
  <si>
    <t>Hi there,
We have not been receiving emails from one of our insurers in several months and nothing has appeared in my junk or quarantined mail.Â  Is it possible to see if any emails from â€œsendgrid.netâ€ are blocked?Â  Â Â I donâ€™t believe anyone on my team is receiving the emails.
I was only told the email is coming from @sendgrid.net so let me know if you require anything else.
ThanksÂ  Dora
Dora Jones       CAIB, CIP
Assistant Manager, Personal Lines
EÂ Â Â Â Â  djones@mhkinsurance.com
DÂ Â Â Â  587.525.6034Â 
CÂ Â Â Â  780.667.4609
12316-107 Avenue, Edmonton, AB T5M 1Z1
www.mhkinsurance.com
[image]
[image]
We're here to help with your insurance needs. Emails       and phone calls are still encouraged. Appointments are required for       in-office broker meetings. Please wear a mask when       visiting.
MHK welcomes       e-Transfer payments to banking@mhkinsurance.â€‰com.
If you       receive this email in error, please notify us by reply email and destroy       this message. MHK complies with Canada's Anti-Spam and Alberta's PIPA       Legislations. If you no longer wish to receive emails from MHK, please       reply with 'Unsubscribe' in the subject   line.</t>
  </si>
  <si>
    <t>New employee Setup required - DARLENE CHHINA</t>
  </si>
  <si>
    <t>Hi there,
Could you please assist me with setting up a new employee by this Friday, February 5, at noon? She should be set up the exact same way as my colleague Samantha Lamoureux, same permissions, etc.
Here name is Darlene Chhina (yes two Hâ€™s in her last name).
Please let me know if you require any documentation or information from me in order to set her up.
Thanks,
Jana
Jana Lumsden       CPA, CMA
Chief Financial Officer
EÂ Â Â Â Â  jlumsden@mhkinsurance.com
DÂ Â Â Â  587.525.6029Â 
CÂ Â Â Â  780.999.7111
12316-107 Avenue, Edmonton, AB  T5M 1Z1
www.mhkinsurance.com
[image]
[image]
We're here to help with your insurance needs. Emails       and phone calls are still encouraged. Appointments are required for       in-office broker meetings. Please wear a mask when       visiting.
MHK welcomes       e-Transfer payments to banking@mhkinsurance.â€‰com.
If you       receive this email in error, please notify us by reply email and destroy       this message. MHK complies with Canada's Anti-Spam and Alberta's PIPA       Legislations. If you no longer wish to receive emails from MHK, please       reply with 'Unsubscribe' in the subject   line.</t>
  </si>
  <si>
    <t>Julie Nadeau - Cannot connect to the PML admission Xerox C8045</t>
  </si>
  <si>
    <t>### Summary of Issue_x000D_
PRINTER ISSUE_x000D_
  _x000D_
### Details of Issue_x000D_
Cannot connect to the PML admission Xerox C8045???_x000D_
  _x000D_
### Have you opened a ticket about this issue before?  _x000D_
 Yes  _x000D_
  _x000D_
### How many users are impacted by this issue?  _x000D_
 Some  _x000D_
  _x000D_
### How would you classify this issue?  _x000D_
 Unable to Work</t>
  </si>
  <si>
    <t>FW: Laptop and Docking Station for Bethany</t>
  </si>
  <si>
    <t>From: M.Luiza Coelho &lt;mlcoelho@e4calberta.org&gt; 
Sent: Tuesday, February 2, 2021 2:13 PM
To: Sales - MNP IT Managed Services &lt;sales@mnptechnology.ca&gt;
Subject: FW: Laptop for Bethany
CAUTION:This email originated from outside of the MNP network. Be cautious of any embedded links and/or attachments.
MISE EN GARDE:Ce courriel ne provient pas du rÃ©seau de MNP. MÃ©fiez-vous des liens ou piÃ¨ces jointes quâ€™il pourrait contenir.
Hi there,
I need to order a laptop and docking station, please send me the quote.
Thanks
M.LuizaCoelho e4c
Senior Manager
mlcoelho@e4calberta.org
T
780.424.7543 ext 132
9321 Jasper Avenue, Edmonton AB T5H 3T7
e4calberta.org
[image]
This message is intended for the use of the individual or entity to which it is addressed and may contain information that is privileged and confidential. If you are not the intended recipient or the employee responsible for delivery of the message to the intended recipient, please be advised that any dissemination, distribution or copying of this message is strictly prohibited. If you have received this message in error, please notify us immediately by telephone and return the original email to us or destroy this message.
[image]e4c supports environmental conservation - please print wisely.
From: Shannon Donogh 
Sent: Tuesday, February 02, 2021 11:50 AM
To: M.Luiza Coelho &lt;mlcoelho@e4calberta.org&gt;
Cc: Bethany Sauve &lt;BSauve@e4calberta.org&gt;
Subject: Laptop for Bethany
Hi Luiza,
Bethany has been working off of a personal laptop since the beginning of the pandemic. Her laptop is older and has been struggling to keep up with the updates.
As the pandemic wears on, I would like to order her a laptop in order to complete her work. If possible, Iâ€™d also like to purchase her a docking station for when she returns to the office.
Please let me know the next steps to get this off the ground!
Warm regards,
Shannon
ShannonDonogh, (she/her)e4c
Communications Lead 
e4c Communications
SDonogh@e4calberta.org
T
780.424.7543 ext 116
9321 Jasper Avenue, Edmonton AB T5H3T7
e4calberta.org
[image]
This message is intended for the use of the individual or entity to which it is addressed and may contain information that is privileged and confidential. If you are not the intended recipient or the employee responsible for delivery of the message to the intended recipient, please be advised that any dissemination, distribution or copying of this message is strictly prohibited. If you have received this message in error, please notify us immediately by telephone and return the original email to us or destroy this message.
[image]e4c supports environmental conservation - please print wisely.</t>
  </si>
  <si>
    <t>FW: new email address request</t>
  </si>
  <si>
    <t>Please disable Michele Dowlingâ€™s email account, she is no longer employed by e4c,
Thanks
Â 
M.LuizaCoelho e4c
Senior Manager
mlcoelho@e4calberta.org
T780.424.7543 ext 132
9321 Jasper Avenue, Edmonton AB T5H 3T7
e4calberta.org
[image]
This message is intended for the use of the individual or entity to which it is addressed and may contain information that is privileged and confidential. If you are not the intended recipient or the employee responsible for delivery of the message to the intended recipient, please be advised that any dissemination, distribution or copying of this message is strictly prohibited. If you have received this message in error, please notify us immediately by telephone and return the original email to us or destroy this message.
[image]e4c supports environmental conservation - please print wisely.
From: Jaimie Clements 
Sent: Tuesday, February 02, 2021 11:40 AM
To: Catherine Parent &lt;CParent@e4calberta.org&gt;; M.Luiza Coelho &lt;mlcoelho@e4calberta.org&gt;
Cc: Katie Maxwell &lt;KMaxwell@e4calberta.org&gt;
Subject: new email address request
Hi Catherine &amp; Luiza,
I am hoping you can help guide me on the process for requesting a new email address.Â  It is for Kimberly Bussey in the role of Community Engagement Coordinator at The Lodge (Elizabeth House).
Also, Michele Dowlingâ€™s email address can be discontinued.Â  She was the previous Community Engagement Coordinator and is no longer working at e4c.
I will redistribute the work phone Michele used and give it to Kim.
Please let me know if you have any questions or if there is another process I need to follow.
Many thanks!
Jaimie
JaimieClements e4c
Site Manager 
The Lodge at Elizabeth House
JClements@e4calberta.org
T
780.479.1609
C
780.909.8957
Edmonton AB
e4calberta.org
[image]
This message is intended for the use of the individual or entity to which it is addressed and may contain information that is privileged and confidential. If you are not the intended recipient or the employee responsible for delivery of the message to the intended recipient, please be advised that any dissemination, distribution or copying of this message is strictly prohibited. If you have received this message in error, please notify us immediately by telephone and return the original email to us or destroy this message.
[image]e4c supports environmental conservation - please print wisely.</t>
  </si>
  <si>
    <t xml:space="preserve">ATTN: Terry/Dave - Field Law New Hire - Service Ticket #INC0025947 - USER ONBOARDING - Lyle Guard - </t>
  </si>
  <si>
    <t>Hello,
Please see attached form:
1.Â Â Â Â Â Â Â Â Â Full name of staff member, as well as the AD name:Lyle Guard // lguard
2.Â Â Â Â Â Â Â Â Â Location of staff member (Edm/ Cal/ Ykn):Cal
3.Â Â Â Â Â Â Â Â Â User Group: (Lawyer / Manager / Staff):Lawyer
4.Â Â Â Â Â Â Â Â Â Do they need to be part of any hunt group: (Reception or Central Services etc):N/A
5.Â Â Â Â Â Â Â Â Â Do they need mobility? What is the userâ€™s mobile number?No
6.Â Â Â Â Â Â Â Â Â Do they need a DID? (Yes / No)Yes (this will be yes 99/100 times)
7.Â Â Â Â Â Â Â Â Â If they are taking over an DID, what is the DID. N/A (usually a special request)
8.Â Â Â Â Â Â Â Â Â MAC address of the phone that the user needs to be assigned to.N/A (not required)
9.Â Â Â Â Â Â Â Â Â Is Scribe feature required? (Yes/No)***YES***
10.Â Â Â Â Â Date Due By: Jan 31, 2021</t>
  </si>
  <si>
    <t>Justin Wiebe</t>
  </si>
  <si>
    <t>Justin Wiebe - Access to VPN</t>
  </si>
  <si>
    <t>### Summary of Issue_x000D_
Access to VPN_x000D_
  _x000D_
### Details of Issue_x000D_
While doing an onboarding I found myself needing access to my mapped drives for Network Detective to work. Can I get access for this please._x000D_
  _x000D_
### Have you opened a ticket about this issue before?  _x000D_
 No  _x000D_
  _x000D_
### How many users are impacted by this issue?  _x000D_
 One  _x000D_
  _x000D_
### How would you classify this issue?  _x000D_
 Minor Inconvenience</t>
  </si>
  <si>
    <t>Helen Moore-Parkhouse</t>
  </si>
  <si>
    <t>Quote Request - Calgary Arts Development - 2x Apple Computers - Sara and Sable</t>
  </si>
  <si>
    <t>### End User Hardware  _x000D_
  _x000D_
### What company is this quote for?_x000D_
Calgary Arts Development_x000D_
  _x000D_
### Who made this request and why?_x000D_
Helen Moore-Parkhouse - 2021 evergreening - 2 new Apple machines to be ordered for Sara and Sable._x000D_
  _x000D_
### Give this request a name_x000D_
2x Apple Computers - Sara and Sable_x000D_
  _x000D_
### Who should the quote be addressed to?  _x000D_
 The primary contact in Connectwise  _x000D_
  _x000D_
### Which location is the product for?_x000D_
Calgary_x000D_
  _x000D_
### Which ND location is it needed at?  _x000D_
 Next Digital Calgary  _x000D_
  _x000D_
### When is it needed by OR when is the next site visit for the client's location?  _x000D_
Tue 9 Feb, 2021  _x000D_
  _x000D_
### Do you need labour quoted?  _x000D_
 Yes  _x000D_
  _x000D_
### What products do you need on this quote?  _x000D_
 Laptop/Ultrabook/Tablet Computer  _x000D_
  _x000D_
### Laptop/Ultrabook/Tablet Computer  _x000D_
  _x000D_
### Which tier of computer do you want quoted?  _x000D_
 Recommended Tier Laptop - i5, 8GB RAM, 256GB SSD, 14", MilSpec tested (Lenovo Only), 3 year warranty  _x000D_
  _x000D_
### Quantity?_x000D_
2_x000D_
  _x000D_
### Comments_x000D_
As part of CADAs 2021 evergreening strategy, Sara Bateman and Sable Sweetgrass have been selected for an upgrade (Apple computers).
CADA machines mostly consist of MacBook Air, however please connect with Sara and Sable to identify their specifications and generate a quote for CADA, to be presented to Helen._x000D_
  _x000D_
### Video Adapter(s)  _x000D_
  _x000D_
### Do you need video adapter(s)?  _x000D_
 Yes  _x000D_
  _x000D_
### Video port(s) on computer  _x000D_
 The computer is part of this quote request  _x000D_
  _x000D_
### Video port(s) on monitor(s)  _x000D_
 The monitor(s) to be connected are part of this quote request  _x000D_
  _x000D_
### Comment_x000D_
Additional monitors/adapters may not be needed, however please identify what will be required for home usage and at the office (i.e docking stations etc.)</t>
  </si>
  <si>
    <t>QuoteValet: ACCEPTED: #AAAQ19917 Next Digital Inc. - Thursday, January 7, 2021 - TEST</t>
  </si>
  <si>
    <t>CAUTION: This email originated from outside of the MNP network. Be cautious of any embedded links and/or attachments.
MISE EN GARDE: Ce courriel ne provient pas du rÃ©seau de MNP. MÃ©fiez-vous des liens ou piÃ¨ces jointes quâ€™il pourrait contenir.
[image]
780-424-6398
14505 114th Avenue NW, Edmonton, AB, T5M 2Y8
Dear Shawn Kubiski,
This is an automated notification from the QuoteValet system.
****QUOTE ACCEPTED****Acceptance Details:
Name: SK on behalf of customer
Email Address: kgsinkins@gmail.com
Signature: *****************
From IP Address: 209.90.171.71
Acceptance Key: 97e05503b6a8c771843139450ea03b05
Quote #AAAQ19917 Next Digital Inc. - Thursday, January 7, 2021 - TEST
Internal Review Quote Link: https://www.quotevalet.com/concierge.aspx?TenantId=cea2edee-e401-4b8b-9e82-d745c217b9a3&amp;DocumentId=069fd0b5-0cbd-4825-9329-1cdda0d49487&amp;internal=1
This email was created using QuoteValet - The online quote delivery and acceptance vehicle forQuoteWerks.</t>
  </si>
  <si>
    <t>Skocdopole Construction Ltd</t>
  </si>
  <si>
    <t>Wes Skocdopole</t>
  </si>
  <si>
    <t>FW: Issues printing a file</t>
  </si>
  <si>
    <t>Please assign to me.
Jeff Meadows
Field Services Technician
PH.Â 587.273.5062
4922 - 53 St.
Red Deer,       AB
T4N2E9
Jeff.Meadows@mnp.ca
mnp.ca [image]
[image]
From: Wes Skocdopole &lt;Wes@skocdopole.com&gt; 
Sent: Monday, February 1, 2021 9:21 AM
To: Jeff Meadows &lt;Jeff.Meadows@mnp.ca&gt;
Subject: Issues printing a file
CAUTION:This email originated from outside of the MNP network. Be cautious of any embedded links and/or attachments.
MISE EN GARDE:Ce courriel ne provient pas du rÃ©seau de MNP. MÃ©fiez-vous des liens ou piÃ¨ces jointes quâ€™il pourrait contenir.
Jeff, I keep trying to print this attached file to 11x17 paper to Ricoh 2500 printer and it keeps telling me there is an error. I had Apex check their file to see if it was locked and it is not. First attempt it prints first page then I get the error. 2ndattempt it wonâ€™t print anything just gives me an error. Not sure what else to do.
Wes Skocdopole, C.E.T.
Project Manager
o: 403-746-5744
c: 403-396-1724
toll free: 1-877-755-5744
email:wes@skocdopole.com
[image]</t>
  </si>
  <si>
    <t>Chuck Hopkins</t>
  </si>
  <si>
    <t>TechTool activation</t>
  </si>
  <si>
    <t>Can someone call Chuck â€“ this is an issue with his computer.      
Courtney Holick, CPA, CMA
CFO
Calmont
780-409-3359
From: Karen Hooper 
Sent: Tuesday, February 2, 2021 12:48 PM
To: Courtney Holick &lt;Courtney.Holick@calmont.ca&gt;
Cc: Chuck Hopkins &lt;Charly.Hopkins@calmont.ca&gt;
Subject: FW: Ticket #1307468/Karen Hooper - LAPTOP Waiting on Client
Hi Courtney,
Chuck asked me to send you the case regarding the laptop that we sent to Next digital.
Thanks, Karen
From: Support - MNP IT Managed Services &lt;support@mnptechnology.ca&gt; 
Sent: November 12, 2020 4:20 PM
To: Karen Hooper &lt;Karen.Hooper@calmont.ca&gt;
Subject: Ticket #1307468/Karen Hooper - LAPTOP Waiting on Client
[Image removed by sender. MNP]
Hello Karen,
You have a ticket that has been in the Waiting on Client status for 2 days. Please review the ticket details below and reply to this email at your earliest convenience.
If you require immediate assistance please call us using the numbers at the bottom of this message.
Ticket Details
Ticket Number:
Incident Summary:
1307468
Karen Hooper - LAPTOP
For new service requests, send a new email to support@mnptechnology.ca, or call us at:
Calgary
403-686-4357
Edmonton
780-424-6398
Red Deer
587-273-5062
Toll Free
1-888-224-5770
Full ticket details
Ticket #1307468
Ticket:
Karen Hooper - LAPTOP
Status:
Waiting on Client
Company:
Calmont Group
Contact:
Karen Hooper
Phone:
403-320-6089
Address:
1009 41 Street N
Lethbridge, AB T1H-6J3
Discussion:
Tue 11/10/2020/2:15 PM MST/ James Anderson (time)-
- spoke with Chuck
- Chuck will be able to send the laptop to our Calgary location
- sent the shipping address to Chuck
Mon 11/9/2020/9:44 AM MST/ James Anderson (time)-
- spoke with Karen
- lines are appearing from the center of the screen to the left
- this has been happening for the last week
- x-2514
- Chuck is the foreman
- checking warranty status
- serial # R90A9MZ3
- laptop warranty expired back in 2017
- checking if we have a resource in the area, will update once I know
Fri 11/6/2020/3:12 PM MST/ DeskDirector
### Summary of Issue
LAPTOP
### Details of Issue
I have a laptop that has lines through the screen. The keyboard and mouse do not work on the laptop
### Have you opened a ticket about this issue before? 
No 
### How many users are impacted by this issue? 
One 
### How would you classify this issue? 
Work Impacting
This email and any accompanying attachments contain confidential information intended only for the individual or entity named above. Any dissemination or action taken in reliance on this email or attachments by anyone other than the intended recipient is strictly prohibited. If you believe you have received this message in error, please delete it and contact the sender by return email. In compliance with Canada's Anti-spam legislation (CASL), if you do not wish to receive further electronic communications from MNP, please reply to this email with "REMOVE ME" in the subject line.</t>
  </si>
  <si>
    <t>Jeffrey Meadows</t>
  </si>
  <si>
    <t>Jeffrey Meadows - Cannot email from Connectwise Manage on Firefox</t>
  </si>
  <si>
    <t>### Summary of Issue_x000D_
Cannot email from Connectwise Manage on Firefox_x000D_
  _x000D_
### Details of Issue_x000D_
When using CW Manage in Firefox using the Email button/function I cannot actually click on/type in the main body of the message dialog. I have to switch to Chrome with the ticket URL and it works there. Somewhat disruptive to my workflow as I usually use Firefox exclusively for CW._x000D_
  _x000D_
### Have you opened a ticket about this issue before?  _x000D_
 No  _x000D_
  _x000D_
### How many users are impacted by this issue?  _x000D_
 One  _x000D_
  _x000D_
### How would you classify this issue?  _x000D_
 Minor Inconvenience</t>
  </si>
  <si>
    <t>Hello
When I connect to CW Automate (webserver nextvision.nextdigital.ca), I am supposed to be able to enter my email and password one time, but it asks for the email address two times. This is an issue with myÂ dburkhardt@nextdigital.caaccount, which is required for use this tool. It asks once for Connectwise, and then another for Microsoft. My understanding is that it should only ask the one time. This has been going on for a few months now.
Regards
Darryl Burkhardt
Field Services Technician
PH.Â +1 7804246398
14505 114th Avenue NW
Edmonton,       AB
T5M2Y8
Darryl.Burkhardt@mnp.ca
mnp.ca [image]
[image]</t>
  </si>
  <si>
    <t>RE: Completion: Ticket#1333897/AlbertaPulseGrowers/JWatson desktop client portal -- has been updated</t>
  </si>
  <si>
    <t xml:space="preserve">Hello!
Can someone call me about this ticket.
Call 780-621-1292 my cell
I need to understand this a bit better.Â Â  I had this email order@albertapulse.com killed on ticket# #1354888
As I understood we didnâ€™t need it anymore coming in from website.
Can this be escalated as priority 1 thank you!
Rhonda Lafreniere
</t>
  </si>
  <si>
    <t>Corey Hobbs - New Request - 2 Computer</t>
  </si>
  <si>
    <t>Hello,
We will need two new computers for our new audio video systems.
1. Username: BabyBoardroom
2. Username: IMCBoardroom
The computer should have full Microsoft products on them.
Thanks Corey
[MM-logo-3 - Copy]
Corey Hobbs
Director, Communications and Government Relations
McMurray MÃ©tis (MNA Local 1935)
441 Sakitawaw Trail
Fort McMurray, Alberta
T9H 4P3
Phone:Â Â Â Â Â  780.743.2659
Email:Â Â Â Â Â Â corey.hobbs@mcmurraymetis.org
Facebook:www.facebook.com/McMurrayMetis
Twitter:Â Â Â Â www.twitter.com/McMurrayMetis
Website:Â Â www.McMurrayMetis.org
PPlease consider the environment before printing this email.
This message contains confidential information and is intended only for the named addressees.
If you believe that you received this email in error please notify the original sender and delete all copies.</t>
  </si>
  <si>
    <t>Janelle Brenner</t>
  </si>
  <si>
    <t>Janelle Brenner - Auto reply - INSPECTIONS email/inbox</t>
  </si>
  <si>
    <t>Hello,
Can you please create an auto reply from our inspections email/inbox which is active until March 31st, 2021? After that, it can be removed.
The message should say:
This email is not monitored regularly from October to March. If your matter is urgent, please emailinfo@maclabdevelopment.com
Thank you,
[image]
Janelle Brenner | Executive Associate Human Resources &amp; Corporate Marketing
Suite #1005 |10104 103 Avenue NW| Edmonton, AB | T5J 0H8
Tel 780.420.4018 |Cell 780.913.2885 |www.maclabdevelopment.com</t>
  </si>
  <si>
    <t>Ivanna Babic</t>
  </si>
  <si>
    <t>FW: DNS changes for Calmontleasing.ca</t>
  </si>
  <si>
    <t>Note: Ticket #1357152
Spoke with Ken regarding this ticket.
From: Ivanna Babic 
Sent: February 2, 2021 8:02 AM
To: 'Roque Oliva' &lt;Roque.Oliva@trader.ca&gt;
Subject: RE: DNS changes for Calmontleasing.ca
Good morning Roque,
Iâ€™m sorry I donâ€™t understand what you mean by that. Iâ€™m not sure what or how to do this.
From: Roque Oliva &lt;Roque.Oliva@trader.ca&gt; 
Sent: February 2, 2021 5:29 AM
To: Marc-Alexandre Piette &lt;Marc-Alexandre.Piette@trader.ca&gt;; Support &lt;Support@trader.ca&gt;; Bianca Bannister &lt;Bianca.Bannister@trader.ca&gt;; Ivanna Babic &lt;Ivanna.Babic@calmont.ca&gt;
Subject: DNS changes for Calmontleasing.ca
Good morning Ivanna,
Could you please have your team to add the two following CNAME's into the DNS zone file of calmontleasing.ca
calmontleasing.ca
host:
_ac4e884dcd938688f801abff732babb4
value:
_cad4705482aec52c953f8e572d71af79.vtqfhvjlcp.acm-validations.aws
host:
_d5a867ce2418deb5ea52787a471d3072.www
value:
_e7ef60b66e11a9eddaa37e14962c8f9e.vtqfhvjlcp.acm-validations.aws
Thanks
roque
Roque Oliva
Project Administrator &amp; Domain Name Specialist, 
Service Operations
[image]
[image]
[image]416-789-3311 extÂ 3868
[image]roque.oliva@trader.ca
[image]go.trader.caÂ âÂ autoTRADER.ca
From: Marc-Alexandre Piette &lt;Marc-Alexandre.Piette@trader.ca&gt;
Sent: Monday, February 1, 2021 5:41 PM
To: Support &lt;Support@trader.ca&gt;; Roque Oliva &lt;Roque.Oliva@trader.ca&gt;
Cc: Ivanna Babic &lt;Ivanna.Babic@calmont.ca&gt;
Subject: Calmontleasing.ca
Hello team,
https://www.calmontedm.ca/ will become calmontleasing.ca. Calmont and their 3rd party (MNP) currently have ownership of that domain.
Can we please send them step by step of what they will need to do to make sure that Calmontleasing.ca will now replace calmontedm.ca?
Once completed, can we please apply a 301 redirect from calmontedm.ca to Calmontleasing.ca/Edmonton please? 
Adding Ivanna to the thread, she will be in charge of making sure these demands will be sent to the right person in charge of the domain.
Please reach out to me if you have any question.
Thanks,
Marc-Alex Piette
Online Strategy Consultant
Consultant NumÃ©rique
[A picture containing drawing Description automatically generated]
[cidimage002.png@01D62844.DA3B60E0]
[cidimage004.png@01D62844.DA3B60E0]514-707-4827
[cidimage005.png@01D62844.DA3B60E0]marc-alexandre.piette@trader.ca
[cidimage006.png@01D62844.DA3B60E0]go.trader.caÂ âÂ autoTRADER.ca</t>
  </si>
  <si>
    <t>RE: Infinity Metis Corp 365 licences</t>
  </si>
  <si>
    <t>Hi Myles and Corey,
To be clear, youâ€™d like us to add 4 additional Business Premium licenses to our existing O365 tenant for Infinity MÃ©tis Corporation? We have a credit card on file and licenses are billed monthly so this can be added quickly. Corey, do you approve this? It will add an extra $102.20/month.
Myles, Iâ€™m unclear what you want to do with the free licenses in your screenshot: it looks like theyâ€™re on a separate O365 tenant? You can call me directly at 587-273-5062 ext 501 if youâ€™d like to discuss it with me directly.
Thanks,
Jeff Meadows
Field Services Technician
PH.Â 587.273.5062
4922 - 53 St.
Red Deer,       AB
T4N2E9
Jeff.Meadows@mnp.ca
mnp.ca [image]
[image]
From: myles@cacorp.ca &lt;myles@cacorp.ca&gt; 
Sent: Tuesday, February 2, 2021 9:55 AM
To: Jeff Meadows &lt;Jeff.Meadows@mnp.ca&gt;
Cc: Corey Hobbs &lt;corey.hobbs@mcmurraymetis.org&gt;; Support - MNP IT Managed Services &lt;support@mnptechnology.ca&gt;; Shawm Myers &lt;shawn.myers@infinitymetiscorp.com&gt;
Subject: RE: Infinity Metis Corp 365 licences
CAUTION:This email originated from outside of the MNP network. Be cautious of any embedded links and/or attachments.
MISE EN GARDE:Ce courriel ne provient pas du rÃ©seau de MNP. MÃ©fiez-vous des liens ou piÃ¨ces jointes quâ€™il pourrait contenir.
thank you,
can you please allocate these to the current 365 admin console, as it stands right now infinity will need a total of 7 business premium.
admin credentials have no changed.
-----Original Message-----
From: "Jeff Meadows" &lt;Jeff.Meadows@mnp.ca&gt;
Sent: Tuesday, February 2, 2021 10:47am
To: "myles@cacorp.ca" &lt;myles@cacorp.ca&gt;
Cc: "Corey Hobbs" &lt;corey.hobbs@mcmurraymetis.org&gt;, "Support - MNP IT Managed Services" &lt;support@mnptechnology.ca&gt;, "Shawm Myers" &lt;shawn.myers@infinitymetiscorp.com&gt;
Subject: RE: Infinity Metis Corp 365 licences
Hi Myles,
The current Office365 tenant has:
 3 Microsoft 365 Business Premium
 1 Microsoft 365 Audio Conferencing
 1 OneDrive for Business (Plan 1)
Thanks,
Jeff Meadows
Field Services Technician
PH.Â 587.273.5062
4922 - 53 St.
Red Deer, AB
T4N2E9
Jeff.Meadows@mnp.ca
mnp.ca
[image]
[image]
From:myles@cacorp.ca &lt;myles@cacorp.ca&gt;
Sent: Tuesday, February 2, 2021 8:43 AM
To: Jeff Meadows &lt;Jeff.Meadows@mnp.ca&gt;
Cc: Corey Hobbs &lt;corey.hobbs@mcmurraymetis.org&gt;; Support - MNP IT Managed Services &lt;support@mnptechnology.ca&gt;; Shawm Myers &lt;shawn.myers@infinitymetiscorp.com&gt;
Subject: RE: Infinity Metis Corp 365 licences
CAUTION:This email originated from outside of the MNP network. Be cautious of any embedded links and/or attachments.
MISE EN GARDE:Ce courriel ne provient pas du rÃ©seau de MNP. MÃ©fiez-vous des liens ou piÃ¨ces jointes quâ€™il pourrait contenir.
So how we doing on the licences, I'm unsure if you have any as of yet to provision to infinity or not.
On Feb. 1, 2021 3:40 p.m., Jeff Meadows &lt;Jeff.Meadows@mnp.ca&gt; wrote:
Hi Myles,
Infinitymetiscorp.com is primarily hosted on Google/Gmail, although there is a small Office365 tenant set up for it that we have access to. What kind of information are you looking for?
Thanks,
Jeff Meadows
Field Services Technician
PH.Â 587.273.5062
4922 - 53 St.
Red Deer, AB
T4N2E9
Jeff.Meadows@mnp.ca
mnp.ca
[image]
[image]
From:myles@cacorp.ca &lt;myles@cacorp.ca&gt;
Sent: Monday, February 1, 2021 2:33 AM
To: support@mnptechnology.ca
Cc: Corey Hobbs &lt;corey.hobbs@mcmurraymetis.org&gt;
Subject: Infinity Metis Corp 365 licences
Good morning all,
After speaking with Corey last week , he informed me that next digital is responsible for the office 365 licences as a third party vendor.
Looking for information regarding licences for infinity Metis Corp.
Thank you
This email and any accompanying attachments contain confidential information intended only for the individual or entity named above. Any dissemination or action taken in reliance on this email or attachments by anyone other than the intended recipient is strictly prohibited. If you believe you have received this message in error, please delete it and contact the sender by return ...</t>
  </si>
  <si>
    <t>Yasmin Tejpar</t>
  </si>
  <si>
    <t>Yasmin Tejpar - FW: RE: Question about Adobe Flash Player</t>
  </si>
  <si>
    <t>Good morning
I get this message when I start up my computer.
Not sure if I should uninstall it.
Your direction is appreciated.
Yasmin
Yasmin Tejpar
Intern AdministratorÂ 
The Alberta Association of Architects
780.432.0224 ext. 252
Please note that all AAA staff are working remotely, and the office at Duggan House is closed to the public until further notice. We strive to maintain a high level of service and will respond to your email within 3 business days. Please visitwww.aaa.ab.ca for further updates. Thank you for your patience during this time.
From: Yasmin Tejpar
Sent: February 2, 2021 10:45 AM
To: Helen Wong &lt;hwong@aaa.ab.ca&gt;
Subject: RE: Question about Adobe Flash Player
Hi Helen
Not sure if I should uninstall this:
[image]
Yasmin
Yasmin Tejpar
Intern AdministratorÂ 
The Alberta Association of Architects
780.432.0224 ext. 252
Please note that all AAA staff are working remotely, and the office at Duggan House is closed to the public until further notice. We strive to maintain a high level of service and will respond to your email within 3 business days. Please visitwww.aaa.ab.ca for further updates. Thank you for your patience during this time.</t>
  </si>
  <si>
    <t>Travis Blake</t>
  </si>
  <si>
    <t>Renewal - SSL - 02/26/2021</t>
  </si>
  <si>
    <t>Royal Caretaking Supplies</t>
  </si>
  <si>
    <t>Zach Mudryk</t>
  </si>
  <si>
    <t>Renewal - SSL - 02/05/2021</t>
  </si>
  <si>
    <t>Lifestyles Financial Services</t>
  </si>
  <si>
    <t>Danielle Villeneuve</t>
  </si>
  <si>
    <t>Renewal - SSL - 03/07/2021</t>
  </si>
  <si>
    <t>Super 8 - Sherwood Park</t>
  </si>
  <si>
    <t>Pedro Guzman</t>
  </si>
  <si>
    <t>Renewal - SSL - 03/11/2021</t>
  </si>
  <si>
    <t>Renewal - SSL - 03/14/2021</t>
  </si>
  <si>
    <t>Renewal - SSL - 02/15/2021</t>
  </si>
  <si>
    <t>S&amp;M Diesel and Mechanical Inc.</t>
  </si>
  <si>
    <t>Shalina Milligan</t>
  </si>
  <si>
    <t>Renewal - SSL - 02/06/2021</t>
  </si>
  <si>
    <t>Renewal - Domain - 03/11/2021</t>
  </si>
  <si>
    <t>K-Bro Linen Ltd.</t>
  </si>
  <si>
    <t>Tim Holmes</t>
  </si>
  <si>
    <t>Jordan Crerar</t>
  </si>
  <si>
    <t>Renewal - SSL - 03/10/2021</t>
  </si>
  <si>
    <t>Anderson James McCall Barristers</t>
  </si>
  <si>
    <t>Brad Findlater</t>
  </si>
  <si>
    <t>Renewal - Domain - 03/14/2021</t>
  </si>
  <si>
    <t>Technology Solutions International Ltd</t>
  </si>
  <si>
    <t>Cheryl Hicks</t>
  </si>
  <si>
    <t>Renewal - Domain - 03/06/2021</t>
  </si>
  <si>
    <t>Broadview Networks Ltd.</t>
  </si>
  <si>
    <t>Glenn Smith</t>
  </si>
  <si>
    <t>Renewal - SSL - 03/03/2021</t>
  </si>
  <si>
    <t>Signet Monitoring and Analysis Inc.</t>
  </si>
  <si>
    <t>Teresa Clark</t>
  </si>
  <si>
    <t>Renewal - Domain - 03/13/2021</t>
  </si>
  <si>
    <t>Cheryl Thomas</t>
  </si>
  <si>
    <t>Renewal - Domain - 03/04/2021</t>
  </si>
  <si>
    <t>Renewal - Domain - 03/10/2021</t>
  </si>
  <si>
    <t>Renewal - Domain - 02/08/2021</t>
  </si>
  <si>
    <t>Now Real Estate</t>
  </si>
  <si>
    <t>Danelle Bolinski</t>
  </si>
  <si>
    <t>Garibaldi Technology Partners Inc.</t>
  </si>
  <si>
    <t>Andrew Bilawey</t>
  </si>
  <si>
    <t>La Cite Francophone d'Edmonton</t>
  </si>
  <si>
    <t>Daniel Cournoyer</t>
  </si>
  <si>
    <t>Renewal - SSL - 02/21/2021</t>
  </si>
  <si>
    <t>National Neon Displays Ltd.</t>
  </si>
  <si>
    <t>Ryan Sander</t>
  </si>
  <si>
    <t>Renewal - SSL - 03/02/2021</t>
  </si>
  <si>
    <t>Terredon Environmental Ltd</t>
  </si>
  <si>
    <t>Don White</t>
  </si>
  <si>
    <t>Renewal - Software - 03/12/2021</t>
  </si>
  <si>
    <t>Gerry Baert</t>
  </si>
  <si>
    <t>Lenovo Managed Server Renewal -  Expires 05-MAR-2021 - Has Reached EOL</t>
  </si>
  <si>
    <t>Steve Dockum</t>
  </si>
  <si>
    <t>Renewal Notice - Managed Network Firewall - 02/04/2021</t>
  </si>
  <si>
    <t>Firewall/Router - 03/15/2021</t>
  </si>
  <si>
    <t>Managed Network WiFi Access - 02/16/2021</t>
  </si>
  <si>
    <t>Managed Network WiFi Access - 02/18/2021</t>
  </si>
  <si>
    <t>Renewal Notice - Managed Network WiFi Access - 02/18/2021</t>
  </si>
  <si>
    <t>Renewal - SSL - 02/08/2021</t>
  </si>
  <si>
    <t>Appliance - 02/03/2021</t>
  </si>
  <si>
    <t>Firewall/Router - 03/02/2021</t>
  </si>
  <si>
    <t>CatchAll Contact</t>
  </si>
  <si>
    <t>Renewal - Fortinet - 02/07/2021</t>
  </si>
  <si>
    <t>Firewall/Router - 02/08/2021</t>
  </si>
  <si>
    <t>Jules Lefebvre</t>
  </si>
  <si>
    <t>Firewall/Router - 02/21/2021</t>
  </si>
  <si>
    <t>Renewal - Fortinet - 03/05/2021</t>
  </si>
  <si>
    <t>Renewal - Fortinet - 02/02/2021</t>
  </si>
  <si>
    <t>Renewal - Domain - 02/26/2021</t>
  </si>
  <si>
    <t>Licensing - 02/12/2021</t>
  </si>
  <si>
    <t>Renewal - Domain - 02/27/2021</t>
  </si>
  <si>
    <t>Alberta Dental Association &amp; College</t>
  </si>
  <si>
    <t>Denise Thompson</t>
  </si>
  <si>
    <t>Renewal - Software - 03/05/2021</t>
  </si>
  <si>
    <t>Renewal - Fortinet - 02/08/2021</t>
  </si>
  <si>
    <t>Renewal - Fortinet - 02/13/2021</t>
  </si>
  <si>
    <t>Renewal - Fortinet - 02/03/2021</t>
  </si>
  <si>
    <t>Renewal - Fortinet - 02/16/2021</t>
  </si>
  <si>
    <t>Renewal - Domain - 03/16/2021</t>
  </si>
  <si>
    <t>Renewal - Fortinet - 03/11/2021</t>
  </si>
  <si>
    <t>Renewal - Domain - 02/05/2021</t>
  </si>
  <si>
    <t>Renewal - Fortinet - 03/02/2021</t>
  </si>
  <si>
    <t>Renewal - VMWare - 03/17/2021</t>
  </si>
  <si>
    <t>Renewal - VMWare - 03/14/2021</t>
  </si>
  <si>
    <t>Renewal - Domain - 02/10/2021</t>
  </si>
  <si>
    <t>James Armitage</t>
  </si>
  <si>
    <t>James Armitage - MNP SSS - Add Mike and Kulvinder to unifi controller</t>
  </si>
  <si>
    <t>### Summary of Issue_x000D_
MNP SSS - Add Mike and Kulvinder to unifi controller_x000D_
  _x000D_
### Details of Issue_x000D_
Mike and Kulvinder don't have admin accounts on the Unifi controller. Other SSS's are configured. SSS's are super admins._x000D_
  _x000D_
### Have you opened a ticket about this issue before?  _x000D_
 No  _x000D_
  _x000D_
### How many users are impacted by this issue?  _x000D_
 Some  _x000D_
  _x000D_
### How would you classify this issue?  _x000D_
 Minor Inconvenience</t>
  </si>
  <si>
    <t>Cheryl Trenchard - Add Shamir Shaikh to the group email CTCE Parts</t>
  </si>
  <si>
    <t>Hi
Can you please add Shamir Shaikh to the group email CTCE Parts?
With Thanks,
Cheryl Trenchard, PCP
Human Resources &amp; Payroll Manager
[cid:image001.jpg@01D407CC.BE04B790]
14610 Yellowhead Trail NW Edmonton, AB, T5L 3C5
Branch: 780-482-0281Â Â Â  Cell: 587-930-2091Â Â  Fax: 780-482-0278
Email:cheryl.trenchard@calmont.ca
Website:www.calmont.ca
This email, and any files transmitted with it, are confidential and are intended solely for the use of the individual or entity to which they are addressed. Any unauthorized use or disclosure is prohibited. Please notify the sender if you have received this email in error. Thank you for your co-operation.</t>
  </si>
  <si>
    <t>Cheryl Waldo - RE:  Email Name Change Request</t>
  </si>
  <si>
    <t>Good morning,
Can you please change the following email, cherylsr@pilgrimshospice.com to chysr@pilgrimshospice.com, effective immediately. Â We will also need to make sure that all email directed to the original Cherylsr goes to the new email at this time.Â  Please confirm when complete.
Thank you
Cheryl Waldo
Senior Executive Assistant
Pilgrims Hospice Society
9808 â€“ 148 Street
Edmonton ABÂ  T5N 3E8
T. 780.413.9801 ext. 240 / T. 587.414.5043 (direct)
*Home of the new Roozen Family Hospice Centre
[image]</t>
  </si>
  <si>
    <t>Coral Collins</t>
  </si>
  <si>
    <t>Coral Collins - Change in primary contact - CARIE CAMPBELL</t>
  </si>
  <si>
    <t>Good morning
Please note that the primary contact for Landrex Inc. has changed.Â  Effective immediately, Carie Campbell will be our primary contact for all network issues.Â  I am leaving Landrex effective February 15th.Â  Please remove me from all contact lists.
Thanks
CoralÂ Collins
CorporateÂ Controller
T:
F:
780.460.4128
780.459.1220
coral@landrex.com
220Â SummitÂ PlazaÂ 190Â BoudreauÂ RoadÂ St.Â AlbertÂ ABÂ T8NÂ 6B9Â //Â landrex.com
[image]
PrivateÂ andÂ confidentialÂ â€‘Â TheÂ informationÂ transmittedÂ isÂ intendedÂ onlyÂ forÂ theÂ personÂ orÂ entityÂ toÂ whichÂ itÂ isÂ addressedÂ andÂ mayÂ containÂ proprietary,Â businessâ€‘confidentialÂ and/orÂ Â privilegedÂ material.Â IfÂ youÂ areÂ notÂ theÂ intendedÂ recipientÂ ofÂ thisÂ messageÂ youÂ areÂ herebyÂ notifiedÂ thatÂ anyÂ use,Â review,Â retransmission,Â dissemination,Â distribution,Â reproductionÂ orÂ anyÂ Â actionÂ takenÂ inÂ relianceÂ uponÂ thisÂ messageÂ isÂ prohibited.Â IfÂ youÂ receivedÂ thisÂ inÂ error,Â pleaseÂ contactÂ theÂ senderÂ andÂ deleteÂ theÂ messageÂ andÂ anyÂ relatedÂ attachmentsÂ orÂ copies.</t>
  </si>
  <si>
    <t>Erika Scott - Support accessing sharepoint</t>
  </si>
  <si>
    <t>Hello,
I am trying to open sharepoint links shared with me by my predecessor and they seem to be blocked, as are most links I try to open in outlook. Hoping I can get some help with a few of these items. I understand someone will be delivering a new surface pro to my office later today â€“ perhaps they could help address these issues then too?
Thanks.
[image]
Erika Scott
Pronouns: she/her
Director of Philanthropy &amp; Community Relations
T: 587-573-3467 |E: ErikaS@caryacalgary.ca
180, 839 5 Ave SW | Calgary, AB | T2P 3C8
[image]Â [image][instagram-1675670]Â [image]
carya (formerly Calgary Family Services)
Stay up to date with the latest carya news, programs, and events by signing up for ourmonthly newsletter.
In the spirit of our efforts to promote reconciliation, we acknowledge the traditional territories and oral practices of the Blackfoot, the Tsuut'ina, the Stoney Nakoda First Nations, the MÃ©tis Nation Region 3, and all people who make their homes in the Treaty 7 region of Southern Alberta. We also respectfully acknowledge that the province of Alberta is comprised of Treaty 6, Treaty 7, and Treaty 8 territory, the traditional lands of First Nations and MÃ©tis peoples.
No form of electronic communication is secure and may be intercepted by others. Carya cannot guarantee the receipt of electronic communication nor a timely response. Where communication is confidential or time sensitive we recommend you call 403-269-9888 during business hours (Monday-Friday, 8:30am-4:30pm). For immediate crisis response please contact the Distress Centre Crisis Line at 403-266-HELP (4537) and in case of an emergency dial 911.
This e-mail is intended solely for the person or entity to which it is addressed and may contain confidential and/or privileged information. Any review, dissemination, copying, printing, forwarding or other use of this e-mail by persons or entities other than the addressee is prohibited. If you have received this e-mail in error, please contact the sender immediately and delete the material from your computer.</t>
  </si>
  <si>
    <t>CTS Industries</t>
  </si>
  <si>
    <t>Tim Clark</t>
  </si>
  <si>
    <t>FW: RE: Phoenix Support Systems - Price Increase Effective February 15th, 2021</t>
  </si>
  <si>
    <t>Hi team, can you please look at the attached e-mail and see why the bounceback and reference to Tritech?
Please connect with Tim to make sure this is corrected.
Thank you,
Amin Esmaeili
Client Experience Manager
PH.Â +1 4036864357       Ext 415
310 - 4000 4 St SE
Calgary,       AB
T2G2W3
Amin.Esmaeili@mnp.ca
mnp.ca [image]
[image]
From: Tim Clark &lt;Tim.Clark@cts-industries.com&gt;
Sent: February 1, 2021 12:02 PM
To: Amin Esmaeili &lt;Amin.Esmaeili@mnp.ca&gt;
Cc: Kenny Herman &lt;Kenny.Herman@cts-industries.com&gt;
Subject: FW: RE: Phoenix Support Systems - Price Increase Effective February 15th, 2021
CAUTION:This email originated from outside of the MNP network. Be cautious of any embedded links and/or attachments.
MISE EN GARDE:Ce courriel ne provient pas du rÃ©seau de MNP. MÃ©fiez-vous des liens ou piÃ¨ces jointes quâ€™il pourrait contenir.
Hi Amin,
I replied to an email that had Kenny ccâ€™d and I got the attached back. Not sure what was different about the email address in the cc from the one in this email, they look the same to me.
Also, I am not sure why it or anything is still tied to Tritech?
Can you please review and advise.
Thank you,
[image]
tim clark Â  Â _director, sales &amp; marketing
d:780.784.1813 Â | Â p: 780.465.9645Â  | Â c: 780.902.0720
tim.clark@cts-industries.com Â | Â cts-industries.com
[Linkedin]</t>
  </si>
  <si>
    <t>Quote Request - CTS Industries - New Surface Laptop for James Wheeler</t>
  </si>
  <si>
    <t>### End User Hardware  _x000D_
  _x000D_
### What company is this quote for?_x000D_
CTS Industries_x000D_
  _x000D_
### Who made this request and why?_x000D_
Tim Clark - New Hire needs workstation_x000D_
  _x000D_
### Give this request a name_x000D_
New Surface Laptop for James Wheeler_x000D_
  _x000D_
### Who should the quote be addressed to?  _x000D_
 The primary contact in Connectwise  _x000D_
  _x000D_
### Which location is the product for?_x000D_
Vancouver_x000D_
  _x000D_
### Which ND location is it needed at?  _x000D_
 Dropshipped to client site directly from distribution  _x000D_
  _x000D_
### What is the ship-to address?_x000D_
Please check with Tim Clark on preference for delivery._x000D_
  _x000D_
### When is it needed by OR when is the next site visit for the client's location?  _x000D_
Tue 9 Feb, 2021  _x000D_
  _x000D_
### Do you need labour quoted?  _x000D_
 Yes  _x000D_
  _x000D_
### What products do you need on this quote?  _x000D_
 Laptop/Ultrabook/Tablet Computer  _x000D_
  _x000D_
### Laptop/Ultrabook/Tablet Computer  _x000D_
  _x000D_
### Which tier of computer do you want quoted?  _x000D_
 Recommended Tier Tablet - i5, 8GB RAM, 256GB SSD, 12" Touchscreen, 3 year warranty with Accidental Damage Protection  _x000D_
  _x000D_
### Quantity?_x000D_
1_x000D_
  _x000D_
### Accessories?  _x000D_
 Docking Station  _x000D_
 Other  _x000D_
  _x000D_
### What Accessory?_x000D_
Please include dual monitor setup, docking station and necessary cables/adapters as an option on the quote._x000D_
  _x000D_
### Comments_x000D_
Tim Clark has requested a quote for a Surface Laptop that is to be setup for a new CTS hire James Wheeler._x000D_
  _x000D_
### Video Adapter(s)  _x000D_
  _x000D_
### Do you need video adapter(s)?  _x000D_
 Yes  _x000D_
  _x000D_
### Video port(s) on computer  _x000D_
 The computer is part of this quote request  _x000D_
  _x000D_
### Video port(s) on monitor(s)  _x000D_
 The monitor(s) to be connected are part of this quote request</t>
  </si>
  <si>
    <t>All NRCB - Power Shutdown at Edmonton office affecting servers on February 15, 2021</t>
  </si>
  <si>
    <t>### Summary of Issue_x000D_
Power Shutdown at Edmonton office affecting servers on February 7, 2020_x000D_
  _x000D_
### Details of Issue_x000D_
Please note that there is a power outage at Sterling Place on Sunday, February 7 from 8:00 am until 4:00 pm.
1.	IT needs to send a notification to all staff informing them of the shutdown as it affects the Edmonton server.
2.	I will be at the office on Friday February 5 to shut down the Xerox machine, air conditioning unit at the server, the CSD printers, CSD computers, spare computers and other computers that are still on. 
3.	IT should power off the servers on Saturday evening (February 6) at around 8:00 pm.
4.	IT will come onsite to power the servers back on Sunday (February 7) at around 5:00 pm. Please also turn on the AC unit at the server room and the CSD computers at the same time. 
5.	I will take care of the alarm with the Sheriff Office. 
6.	I will be at the Edmonton office on Monday afternoon and can change it to morning if required. 
Please coordinate these with me.
Please note that there is a power outage at Sterling Place on Sunday, February 7 from 8:00 am until 4:00 pm.
1.	IT needs to send a notification to all staff informing them of the shutdown as it affects the Edmonton server.
2.	I will be at the office on Friday February 5 to shut down the Xerox machine, air conditioning unit at the server, the CSD printers, CSD computers, spare computers and other computers that are still on. 
3.	IT should power off the servers on Saturday evening (February 6) at around 8:00 pm.
4.	IT will come onsite to power the servers back on Sunday (February 7) at around 5:00 pm. Please also turn on the AC unit at the server room and the CSD computers at the same time. 
5.	I will take care of the alarm with the Sheriff Office. 
6.	I will be at the Edmonton office on Monday afternoon and can change it to morning if required. 
Please coordinate these with me.
Thanks_x000D_
  _x000D_
### Have you opened a ticket about this issue before?  _x000D_
 No  _x000D_
  _x000D_
### How many users are impacted by this issue?  _x000D_
 Everyone  _x000D_
  _x000D_
### How would you classify this issue?  _x000D_
 Work Impacting</t>
  </si>
  <si>
    <t>Fernando Lau - Quickbooks Issues</t>
  </si>
  <si>
    <t>Hi,
I have the same problem again on the QuickBooks after I log in to the RDS. The message â€œ This action requires Windows administrator permissionsâ€ comes back again.
Fernando Lau, CPA, CGA
Caskey &amp; Company LLP |www.ccllp.ca
T 780 487 7135 |F 780 487 7197
EÂ flau@ccllp.ca
#205 10441 178 Street, Edmonton AB, T5S 1R5</t>
  </si>
  <si>
    <t>Darryl Burkhardt - Password not working for The Loop</t>
  </si>
  <si>
    <t>### Summary of Issue_x000D_
Password not working for The Loop_x000D_
  _x000D_
### Details of Issue_x000D_
Can I get "The Loop" password reset please? I am unable to login anymore._x000D_
  _x000D_
### Have you opened a ticket about this issue before?  _x000D_
 No  _x000D_
  _x000D_
### How many users are impacted by this issue?  _x000D_
 One  _x000D_
  _x000D_
### How would you classify this issue?  _x000D_
 Minor Inconvenience</t>
  </si>
  <si>
    <t>Failed backup jobs for E4C</t>
  </si>
  <si>
    <t>### Which application has a problem or bug?  _x000D_
 Other  _x000D_
  _x000D_
### Other_x000D_
Not seeing a ticket for failed backup jobs for E4C (Feb 2, 2021)_x000D_
  _x000D_
### If your bug report is for the Next Ticket Dashboard, please use the "Submit a Bug" feature built into the dashboard, provided it's functioning.  _x000D_
The "Submit a Bug" feature is in the debugger. Click the orange X in the title of the "Your Next Ticket" module to load the debugger.  "Submit a Bug" is in the top row.  This is helpful as it automatically includes a massive snapshot of data that makes it easier to debug data issues.  _x000D_
  _x000D_
### Describe the issue._x000D_
I received the email alert for E4C backup jobs failed. I am not sure if a ticket was generated, although I did receive the email. That email does cc ITMS Board Backups. 
Just sending this your way just in case a ticket did not get generated.</t>
  </si>
  <si>
    <t>Lina Fan</t>
  </si>
  <si>
    <t>Lina Fan - Hide Network printer and Adobe Acrobat installation on RDS</t>
  </si>
  <si>
    <t>Good Monring,  _x000D_
can you please hide my printer from the list?   _x000D_
in addition, I would like to install an Adobe on my computer.   _x000D_
  _x000D_
can you please ontact me at 780-458-1884 ext 126   _x000D_
  _x000D_
thank you,  _x000D_
  _x000D_
Lina</t>
  </si>
  <si>
    <t>[MEDIUM] Alert for Sophos Central [E4C]</t>
  </si>
  <si>
    <t>CAUTION: This email originated from outside of the MNP network. Be cautious of any embedded links and/or attachments.
MISE EN GARDE: Ce courriel ne provient pas du rÃ©seau de MNP. MÃ©fiez-vous des liens ou piÃ¨ces jointes quâ€™il pourrait contenir.
This email alert was generated by Sophos Central. Do not reply to this email.
[Sophos Central]
Sophos Central Event Details for E4C
What happened: PUA 'Generic ML PUA' detected in network location '\nc-e4c-fs01\Home$\support\Downloads\YourTemplateFinder.f436aa3ad24d4cee83e62889e68edef1 (1).exe' requires attention
Where it happened: NC-E4C-RDS03
Path: \nc-e4c-fs01\Home$\support\Downloads\YourTemplateFinder.f436aa3ad24d4cee83e62889e68edef1 (1).exe
What was detected: Generic ML PUA
User associated with device: E4C-Support
How severe it is: Medium
Help sources:
Sophos Central specific articles: https://community.sophos.com/kb?TopicId=9000.
Sophos Central Frequently Asked Questions (FAQ) - https://community.sophos.com/kb/en-us/119598.
Sign in to https://central.sophos.com/ for more information
Note: Depending on the alert email frequency setting you choose, we will either send one email for one alert of each type (for example, an alert for a protection-failed event) in any 24-hour period, or send one email for each alert. You might have more alerts of the same type in the dashboard of the Sophos Central console.</t>
  </si>
  <si>
    <t>Adena Papaianni</t>
  </si>
  <si>
    <t>Adena Papaianni - Internet Issues</t>
  </si>
  <si>
    <t>Hello,
I am currently on Calmont Business WIFI since Saturday and not sure why and it has slowed down all my RBC and CIBC and Bobcat access.
Should I not maybe be on another other then? The only other option on my computer is Calmont Guest?
Regards,
Adena Papaianni
Collection Clerk
[cid:image003.jpg@01D6AEA0.6E3696C0]
14610 Yellowhead Trail NW Edmonton, AB, T5L 3C5
Branch: 780-454-0491 ext. 3607Â Â  Toll Free: 1-800-363-7819Â Â Â Â  Fax: 780-451-5768Â Â Â  Direct: 780-409-3607
Email:adena.papaianni@calmont.ca
Website:www.calmont.ca
This email, and any files transmitted with it, are confidential and are intended solely for the use of the individual or entity to which they are addressed. Any unauthorized use or disclosure is prohibited. Please notify the sender if you have received this email in error. Thank you for your co-operation.
|^^^^^^^^^^^^^^^^^^^^|_||
|Â CÂ A L M O N TÂ Â Â Â | ||Â |"\,___Â Â Â Â Â Â Â Â Â Â Â Â 
|_..._...__________==|=||_|__|..;]
"(@)'(@)"""""""""|(@)(@)*****(@)
PPlease consider the environment before printing this e-mail
[cid:image002.jpg@01D6A94A.B7F81050][The Mulching Specialists][cid:image004.png@01D6A94A.B7F81050]
Weâ€™re Customer Driven
14566 Yellowhead Trail, Edmonton, Alberta, T5L 3C5
Tel:Â 780-448-4522Â  Fax: 780-452-1816
Visit Our Website at:Â www.calmont.ca</t>
  </si>
  <si>
    <t>Vicki Quintero - disconnected from the cloud</t>
  </si>
  <si>
    <t>### Summary of Issue_x000D_
disconnected from the cloud_x000D_
  _x000D_
### Details of Issue_x000D_
I keep getting disconnected from the ssa cloud, the past few days it's been worse then ever, it seems like when I log on it shuts down in a couple of minutes to 30 mins each time I log on. It shuts down due to network conectivity. This has been an ongoing issue._x000D_
  _x000D_
### Have you opened a ticket about this issue before?  _x000D_
 Yes  _x000D_
  _x000D_
### How many users are impacted by this issue?  _x000D_
 One  _x000D_
  _x000D_
### How would you classify this issue?  _x000D_
 Work Impacting</t>
  </si>
  <si>
    <t>Tracy Kuehnemuth - Sage 50 Updates</t>
  </si>
  <si>
    <t>Please install the waiting update for Sage 50 on both the Edmonton Public and Edmonton Catholic systems.
Thanks!
Sharon Thorn
Edmonton Public Teachers</t>
  </si>
  <si>
    <t>Hi Myles,
The current Office365 tenant has:
 3 Microsoft 365 Business Premium
 1 Microsoft 365 Audio Conferencing
 1 OneDrive for Business (Plan 1)
Thanks,
Jeff Meadows
Field Services Technician
PH.Â 587.273.5062
4922 - 53 St.
Red Deer,       AB
T4N2E9
Jeff.Meadows@mnp.ca
mnp.ca [image]
[image]
From: myles@cacorp.ca &lt;myles@cacorp.ca&gt; 
Sent: Tuesday, February 2, 2021 8:43 AM
To: Jeff Meadows &lt;Jeff.Meadows@mnp.ca&gt;
Cc: Corey Hobbs &lt;corey.hobbs@mcmurraymetis.org&gt;; Support - MNP IT Managed Services &lt;support@mnptechnology.ca&gt;; Shawm Myers &lt;shawn.myers@infinitymetiscorp.com&gt;
Subject: RE: Infinity Metis Corp 365 licences
CAUTION:This email originated from outside of the MNP network. Be cautious of any embedded links and/or attachments.
MISE EN GARDE:Ce courriel ne provient pas du rÃ©seau de MNP. MÃ©fiez-vous des liens ou piÃ¨ces jointes quâ€™il pourrait contenir.
So how we doing on the licences, I'm unsure if you have any as of yet to provision to infinity or not.
On Feb. 1, 2021 3:40 p.m., Jeff Meadows &lt;Jeff.Meadows@mnp.ca&gt; wrote:
Hi Myles,
Infinitymetiscorp.com is primarily hosted on Google/Gmail, although there is a small Office365 tenant set up for it that we have access to. What kind of information are you looking for?
Thanks,
Jeff Meadows
Field Services Technician
PH.Â 587.273.5062
4922 - 53 St.
Red Deer, AB
T4N2E9
Jeff.Meadows@mnp.ca
mnp.ca
[image]
[image]
From: myles@cacorp.ca &lt;myles@cacorp.ca&gt; 
Sent: Monday, February 1, 2021 2:33 AM
To: support@mnptechnology.ca
Cc: Corey Hobbs &lt;corey.hobbs@mcmurraymetis.org&gt;
Subject: Infinity Metis Corp 365 licences
Good morning all,
After speaking with Corey last week , he informed me that next digital is responsible for the office 365 licences as a third party vendor.
Looking for information regarding licences for infinity Metis Corp.
Thank you
This email and any accompanying attachments contain confidential information intended only for the individual or entity named above. Any dissemination or action taken in reliance on this email or attachments by anyone other than the intended recipient is strictly prohibited. If you believe you have received this message in error, please delete it and contact the sender by return email. In compliance with Canada's Anti-spam legislation (CASL), if you do not wish to receive further electronic communications from MNP, please reply to this email with "REMOVE ME" in the subject line.</t>
  </si>
  <si>
    <t>Faizel Janmohamed - D Drive on NC-PGH-BE01 needs to be expanded by 30 GB</t>
  </si>
  <si>
    <t>### Summary of Issue_x000D_
D Drive on NC-PGH-BE01 needs to be expanded by 30 GB_x000D_
  _x000D_
### Details of Issue_x000D_
D Drive on NC-PGH-BE01 needs to be expanded by 30 GB, OPAL approval given on 1356591_x000D_
  _x000D_
### Have you opened a ticket about this issue before?  _x000D_
 No  _x000D_
  _x000D_
### How many users are impacted by this issue?  _x000D_
 Everyone  _x000D_
  _x000D_
### How would you classify this issue?  _x000D_
 Work Impacting</t>
  </si>
  <si>
    <t>So how we doing on the licences, I'm unsure if you have any as of yet to provision to infinity or not.
On Feb. 1, 2021 3:40 p.m., Jeff Meadows &lt;Jeff.Meadows@mnp.ca&gt; wrote:
Hi Myles,
Infinitymetiscorp.com is primarily hosted on Google/Gmail, although there is a small Office365 tenant set up for it that we have access to. What kind of information are you looking for?
Thanks,
Jeff Meadows
Field Services Technician
PH.Â 587.273.5062
4922 - 53 St.
Red Deer, AB
T4N2E9
Jeff.Meadows@mnp.ca
mnp.ca[image]
[image]
From: myles@cacorp.ca &lt;myles@cacorp.ca&gt; 
Sent: Monday, February 1, 2021 2:33 AM
To: support@mnptechnology.ca
Cc: Corey Hobbs &lt;corey.hobbs@mcmurraymetis.org&gt;
Subject: Infinity Metis Corp 365 licences
Good morning all,
After speaking with Corey last week , he informed me that next digital is responsible for the office 365 licences as a third party vendor.
Looking for information regarding licences for infinity Metis Corp.
Thank you
This email and any accompanying attachments contain confidential information intended only for the individual or entity named above. Any dissemination or action taken in reliance on this email or attachments by anyone other than the intended recipient is strictly prohibited. If you believe you have received this message in error, please delete it and contact the sender by return email. In compliance with Canada's Anti-spam legislation (CASL), if you do not wish to receive further electronic communications from MNP, please reply to this email with "REMOVE ME" in the subject line.</t>
  </si>
  <si>
    <t>Issues with Outlook</t>
  </si>
  <si>
    <t>Apparently there are issues with Outlook and folks cannot get onto Outlook.Â  Please advise ASAP.Â  Thanks.
Thank you and Best Regards,
W. Mark Simpson
Chief Financial &amp; Operating Officer
(CFO &amp; COO)
O 780-417-1955C 587-341-4016
[cid:ii_iq2kwc921_155a254f2c0782f5]
Mark.Simpson@keymay.com
www.keymay.com
53169 Range Road 225
Sherwood Park, AB T8H 4T7
IMPORTANT NOTICE: This message is intended for the individual or entity to which it is addressed and may contain information that is privileged, confidential, and/or exempt from disclosure under applicable law. If you are not the intended recipient, you are hereby notified that copying, forwarding or other dissemination or distribution of this message is prohibited and that taking any action in reliance on the content of this message is to be avoided. Should you receive this e-mail in error, please notify the sender immediately via e-mail or call (780) 417-1955 and delete this message from your system. Thank you.
************************************************************</t>
  </si>
  <si>
    <t>Mount Calvary Lutheran Church</t>
  </si>
  <si>
    <t>Debbie Schroderus</t>
  </si>
  <si>
    <t>HPE Managed Server Renewal - Support Expires 19-MAR-2021</t>
  </si>
  <si>
    <t>Renewal - Fortinet</t>
  </si>
  <si>
    <t>Renewal Notice - Firewall/Router - 03/19/2021</t>
  </si>
  <si>
    <t>Remote Desktop Connection not connecting</t>
  </si>
  <si>
    <t>Good morning,
I canâ€™t log onto the remote desktop this morning even after shutting down for a couple mins and restarting my computer six times.Â  Iâ€™m not sure what to do now?
[image]
Linette Rasmussen
Assistant to Robert Simpson
LRasmussen@dursim.com
Durocher Simpson Koehli &amp; Erler
7904 Gateway Blvd.
Edmonton, ABÂ Â  T6E 6C3
Ph:Â  780-420-6850
Fax:Â 780-425-9185</t>
  </si>
  <si>
    <t>Kyla Nuttall</t>
  </si>
  <si>
    <t>Kyla Nuttall - RDS is not available on my computer</t>
  </si>
  <si>
    <t>### Summary of Issue_x000D_
RDS is not available on my computer_x000D_
  _x000D_
### Details of Issue_x000D_
Can't log in to the server; working from home_x000D_
  _x000D_
### Have you opened a ticket about this issue before?  _x000D_
 No  _x000D_
  _x000D_
### How many users are impacted by this issue?  _x000D_
 One  _x000D_
  _x000D_
### How would you classify this issue?  _x000D_
 Unable to Work  _x000D_
  _x000D_
### If your callback number is different than what's on record, please provide it below._x000D_
780-812-6845</t>
  </si>
  <si>
    <t>Breann Lamnek</t>
  </si>
  <si>
    <t>Scansnap online udate?</t>
  </si>
  <si>
    <t>Good day,
Please see below my inquiry regarding a ScanSnap online update on my ACSA desktop.
Thanks
Breann
BREANN LAMNEK Â AT/QPÂ | Instructor,Â Course Design &amp; Delivery
Alberta Construction Safety Association
225 Parsons Road SW |Â Edmonton ABÂ |Â T6X 0W6
TÂ 780.453.3311 |Â FÂ 780.455.1120 |Â TFÂ 1.800.661.ACSA (2272)
www.youracsa.ca
[image][image][image][image]
[image]
From: Sean Berg &lt;sberg@youracsa.ca&gt;
Sent: February 1, 2021 3:50 PM
To: Breann Lamnek &lt;BLamnek@youracsa.ca&gt;
Subject: RE: Scansnap online udate?
Sorry, I donâ€™t know what that is. Maybe e-mail tech support and ask them?
Support - MNP IT Managed Services &lt;support@mnptechnology.ca&gt;
-Sean
From: Breann Lamnek &lt;BLamnek@youracsa.ca&gt;
Sent: February 1, 2021 3:48 PM
To: Sean Berg &lt;sberg@youracsa.ca&gt;
Subject: Scansnap online udate?
Hey Sean,
I have a note popping up on my desktop saying the latest version of ScanSnap Online update is available? I have no idea what this is or if I should run it. Iâ€™ve got an ACSA desktop now.
Thanks for any guidance
Breann
BREANN LAMNEK Â AT/QPÂ | Instructor,Â Course Design &amp; Delivery
Alberta Construction Safety Association
225 Parsons Road SW |Â Edmonton ABÂ |Â T6X 0W6
TÂ 780.453.3311 |Â FÂ 780.455.1120 |Â TFÂ 1.800.661.ACSA (2272)
www.youracsa.ca
[image][image][image][image]
[image]</t>
  </si>
  <si>
    <t>John Mclaughlin</t>
  </si>
  <si>
    <t>John Mclaughlin - Sales RDS Freezing after 20 seconds</t>
  </si>
  <si>
    <t>### Summary of Issue_x000D_
Sales RDS Freezing after 20 seconds_x000D_
  _x000D_
### Details of Issue_x000D_
RDS keeps crashing on me.  I can log in and it works for about 20 seconds and then freezes on me and I get the RDS stopped working popup and prompts me to click to close it._x000D_
  _x000D_
### Have you opened a ticket about this issue before?  _x000D_
 No  _x000D_
  _x000D_
### How many users are impacted by this issue?  _x000D_
 One  _x000D_
  _x000D_
### How would you classify this issue?  _x000D_
 Unable to Work  _x000D_
  _x000D_
### If your callback number is different than what's on record, please provide it below._x000D_
You can call me on Teams or my cell 780-905-7573</t>
  </si>
  <si>
    <t>Douglas Haines</t>
  </si>
  <si>
    <t>Blue screen - error</t>
  </si>
  <si>
    <t>Hi MNP,
What to do next?
Appreciate your help.
[image]
Douglas HainesÂ |Â VerticalÂ Development Manager
Maclab Development Group
Suite 1005Â | 10104 103 AvenueÂ | Edmonton, ABÂ | T5J 0H8
Tel:Â 780.420. 4063Â | cell:Â Â 780.919.0458
dhaines@maclabdevelopment.com
www.maclabdevelopment.com
Sent from my iPad</t>
  </si>
  <si>
    <t>SSL Certificate Renewal Notice</t>
  </si>
  <si>
    <t xml:space="preserve">Please quote a renewal for the attached SSL Certificate, config attached, which expires within 90 days. 
</t>
  </si>
  <si>
    <t>Escalation</t>
  </si>
  <si>
    <t>Domain Renewal Notice - Expires 04-MAR-2021</t>
  </si>
  <si>
    <t xml:space="preserve">Please quote a renewal for the attached domain, config attached, which expires within 90 days. 
</t>
  </si>
  <si>
    <t>Nikki Julien</t>
  </si>
  <si>
    <t>Need File copied in error removed</t>
  </si>
  <si>
    <t>Good day,
I was getting ready for month end and accidentally copies a folder in error:Â  Can you please remove:Â  S:\FA&amp;A\Business Operations\BSI FA&amp;A\Bear Access and Enviro 2021\1. January\2.6 Work In Progress\12. December.Â  It will not let me delete due the â€˜thumbsâ€™ folder and I tried to restore previous version and it would not remove it.Â  Had this issue previously in different folder.
Thank you
[image]Â Nikki Julien
Divisional Controller
T: +1 (780) 826-8048
C: +1 (780) 815-3680
F: +1 (780) 826-1913
E: Nikki@bearaccessenviro.com
W: WWW.BEARACCESSENVIRO.COM
PO Box 7610 / 7402 - 50 Avenue, Bonnyville, AB,       T9N 2H9
The information contained in this e-mail       may contain confidential or privileged material and is intended only for       the stated addressee(s). If you are not the valid addressee, the use,       disclosure, copying or distribution of this information is prohibited and       may be unlawful. If you have received this email message in error, please       notify the sender immediately and delete all copies of the message from       your computer. All information within or opinions expressed in this       message and/or any attachments are those of the author and are not       necessarily those of the Centurion Group.</t>
  </si>
  <si>
    <t>Log in for pay stubs</t>
  </si>
  <si>
    <t>I have yet to set up my log in for pay stubs. If someone could assist it would be much appreciated.
Thanks
Chris.</t>
  </si>
  <si>
    <t>Charles Wong</t>
  </si>
  <si>
    <t>Care Pros - Protection for desktop</t>
  </si>
  <si>
    <t>From: Vito Filippi &lt;Vito.Filippi@mnp.ca&gt; 
Sent: Monday, February 1, 2021 2:45 PM
To: Sales - MNP IT Managed Services &lt;sales@mnptechnology.ca&gt;
Cc: Brian Ryu &lt;Brian.Ryu@mnp.ca&gt;
Subject: Price quote please
Importance: High
Hello,
Our client Care Pros has requested the following for their operations:
Options to secure computer, monitor, mouse, keyboard so they do not get damaged or vandalized. The client operates group homes and has asked for solutions to secure or protect the expensive items from clients grabbing and throwing them in a crisis. Is there a security box or something that we could mount the computer to?
Please provide several options if available, so we can provide feed back to the client.
Thanks!
Vito
Vito Filippi
Strategic Advisor
PH.Â +1 7804246398 Ext 334
14505 114th Avenue NW
Edmonton, AB
T5M2Y8
Vito.Filippi@mnp.ca
mnp.ca
[image]
[image]</t>
  </si>
  <si>
    <t>Eye Health Centre</t>
  </si>
  <si>
    <t>Don Swanson</t>
  </si>
  <si>
    <t>Don Swanson - Kensington Eye Health Centre - No internet</t>
  </si>
  <si>
    <t xml:space="preserve">Something else is going on now, thereâ€™s been no internet at Kensington since 2:30 PM. I called Shaw, they tell me the modem is up. There appears to e a problem with the firewall.
</t>
  </si>
  <si>
    <t xml:space="preserve">Julie Nadeau - Disable Account, Catorina-Amanda Ryan </t>
  </si>
  <si>
    <t>### Summary of Issue_x000D_
Disable Account_x000D_
  _x000D_
### Details of Issue_x000D_
please disable Catorina-Amanda Ryan no longer at PML_x000D_
  _x000D_
### Have you opened a ticket about this issue before?  _x000D_
 No  _x000D_
  _x000D_
### How many users are impacted by this issue?  _x000D_
 One  _x000D_
  _x000D_
### How would you classify this issue?  _x000D_
 Unable to Work</t>
  </si>
  <si>
    <t>Chris Ippolito</t>
  </si>
  <si>
    <t>Create a new email account to allow Marketing Manager to send emails</t>
  </si>
  <si>
    <t>### Is this request for something new, or to improve something that already exists?  _x000D_
 New Idea or Request  _x000D_
  _x000D_
### What type of solution is this?  _x000D_
 Other  _x000D_
  _x000D_
### Please estimate how many people would use or directly benefit from this solution._x000D_
Anyone who does a use creation_x000D_
  _x000D_
### How often would you estimate this solution would be used or triggered?  _x000D_
 Daily  _x000D_
  _x000D_
### Please estimate the time or cost savings this solution provides each user or case._x000D_
Not sure_x000D_
  _x000D_
### In the field below, provide some details. Try to focus on your vision of the end result. Don't worry about getting it all perfect - we're going to call you before we start work.  _x000D_
TIP: If this is for a new dashboard or report, you could sketch up a concept on a napkin, in Paint, or Excel, and attach it to this request.</t>
  </si>
  <si>
    <t>Leanna Craig</t>
  </si>
  <si>
    <t>Leanna Craig - Search function not working</t>
  </si>
  <si>
    <t>Hi MNP
I seem to be having issues with the search functionâ€¦I took a snip below.Â  I know that I send Rachel something last week, but it does not pull it up, as an example.
Leanna
[image]
[image]
Leanna Craig, MA, CCC, CPHR
HR Manager
T: 403.205.5243 |E: LeannaC@caryacalgary.ca| C: 403.830.3569
180, 839 5 Ave SW | Calgary, AB | T2P 3C8
[image]Â [image][instagram-1675670]Â [image]
carya (formerly Calgary Family Services)
Stay up to date with the latest carya news, programs, and events by signing up for ourmonthly newsletter.
In the spirit of our efforts to promote reconciliation, we acknowledge the traditional territories and oral practices of the Blackfoot, the Tsuut'ina, the Stoney Nakoda First Nations, the MÃ©tis Nation Region 3, and all people who make their homes in the Treaty 7 region of Southern Alberta. We also respectfully acknowledge that the province of Alberta is comprised of Treaty 6, Treaty 7, and Treaty 8 territory, the traditional lands of First Nations and MÃ©tis peoples.
No form of electronic communication is secure and may be intercepted by others. Carya cannot guarantee the receipt of electronic communication nor a timely response. Where communication is confidential or time sensitive we recommend you call 403-269-9888 during business hours (Monday-Friday, 8:30am-4:30pm). For immediate crisis response please contact the Distress Centre Crisis Line at 403-266-HELP (4537) and in case of an emergency dial 911.
This e-mail is intended solely for the person or entity to which it is addressed and may contain confidential and/or privileged information. Any review, dissemination, copying, printing, forwarding or other use of this e-mail by persons or entities other than the addressee is prohibited. If you have received this e-mail in error, please contact the sender immediately and delete the material from your computer.</t>
  </si>
  <si>
    <t>Cheryl Trenchard - New User, Stephanie Seguin</t>
  </si>
  <si>
    <t>Hi
Please set up an email, user name and password for Stephanie Seguin.Â She will be working out of Calmont Leasing, Edmonton.Â  Please set her up the same as Adena Papaianni
Her start date is February 8, 2021.
With Thanks,
Cheryl Trenchard, PCP
Human Resources &amp; Payroll Supervisor
[cid:image001.jpg@01D407CC.BE04B790]
14610 Yellowhead Trail NW Edmonton, AB, T5L 3C5
Branch: 780-482-0281Â Â Â  Cell: 587-930-2091Â Â  Fax: 780-482-0278
Email:cheryl.trenchard@calmont.ca
Website:www.calmont.ca
This email, and any files transmitted with it, are confidential and are intended solely for the use of the individual or entity to which they are addressed. Any unauthorized use or disclosure is prohibited. Please notify the sender if you have received this email in error. Thank you for your co-operation.</t>
  </si>
  <si>
    <t>Melissa Tuplin</t>
  </si>
  <si>
    <t>Melissa Tuplin - Issues accessing VPN</t>
  </si>
  <si>
    <t>### Summary of Issue_x000D_
Issues accessing VPN_x000D_
  _x000D_
### Details of Issue_x000D_
I forgot my password to the VPN (Again). (Sorry.)_x000D_
  _x000D_
### Have you opened a ticket about this issue before?  _x000D_
 Yes  _x000D_
  _x000D_
### How many users are impacted by this issue?  _x000D_
 One  _x000D_
  _x000D_
### How would you classify this issue?  _x000D_
 Minor Inconvenience  _x000D_
  _x000D_
### If your callback number is different than what's on record, please provide it below._x000D_
4036084439</t>
  </si>
  <si>
    <t>Luiza Coelho - Email receiving issue</t>
  </si>
  <si>
    <t>Hi there, 
Apparently Iâ€™m not receiving emails from david.atha@wcb.ab.ca, he works at WCB and time to time he sends me update on staff status, I looked at Sophos but did not see his emailthere. 
Can MNP look into ? thanks 
M.Luiza Coelho e4c
Senior Manager 
mlcoelho@e4calberta.org
T 780.424.7543 ext 132Â  
9321 Jasper Avenue, Edmonton AB T5H 3T7 
e4calberta.org
--------------------------------------------------------------------------------------------
This message is intended for the use of the individual or entity to which
it is addressed and may contain information that is privileged and 
confidential. If you are not the intended recipient or the employee 
responsible for delivery of the message to the intended recipient, please 
be advised that any dissemination, distribution or copying of this message 
is strictly prohibited. If you have received this message in error, please 
notify us immediately by telephone and return the original email to us or 
destroy this message.
--------------------------------------------------------------------------------------------
e4c supports environmental conservation - please print wisely.</t>
  </si>
  <si>
    <t>Angela Blakely-Elliott</t>
  </si>
  <si>
    <t>Angela Blakely-Elliott - Support needed re: locked document</t>
  </si>
  <si>
    <t>Hi,
Thereâ€™s a document on the w:drive called the CARYA CURRENT PHONE LIST and itâ€™s saying no one else can edit it because I have it open however I donâ€™t. I also just tried to open it and I couldnâ€™t edit it because it said it was locked for editing by me. Can you fix this? Thanks,
Angela
[image]
Angela Blakely-Elliott, MSW, RSW
She/Her
Manager, Strong Families in Community
P: 403-205-5257 |E: Angelab@caryacalgary.ca|F: 403-205-5281
180, 839 5 Ave SW | Calgary, AB | T2P 3C8
[image][image]Â [image]Â [image]
carya (formerly Calgary Family Services)
We are working remotely to help Calgarians through the COVID-19 pandemic. Please reach out to us if you need support.carya is here for you.
In the spirit of our efforts to promote reconciliation, we acknowledge the traditional territories and oral practices of the Blackfoot, the Tsuut'ina, the Stoney Nakoda First Nations, the MÃ©tis Nation Region 3, and all people who make their homes in the Treaty 7 region of Southern Alberta. We also respectfully acknowledge that the province of Alberta is comprised of Treaty 6, Treaty 7, and Treaty 8 territory, the traditional lands of First Nations and MÃ©tis peoples.
No form of electronic communication is secure and may be intercepted by others. Carya cannot guarantee the receipt of electronic communication nor a timely response. Where communication is confidential or time sensitive we recommend you call 403-269-9888 during business hours (Monday-Friday, 8:30am-4:30pm). For immediate crisis response please contact the Distress Centre Crisis Line at 403-266-HELP (4537) and in case of an emergency dial 911.
This e-mail is intended solely for the person or entity to which it is addressed and may contain confidential and/or privileged information. Any review, dissemination, copying, printing, forwarding or other use of this e-mail by persons or entities other than the addressee is prohibited. If you have received this e-mail in error, please contact the sender immediately and delete the material from your computer.</t>
  </si>
  <si>
    <t>Mark Mieila</t>
  </si>
  <si>
    <t>Pilgrims Hospice - Roozen Center PGH-SW05 Port</t>
  </si>
  <si>
    <t>Hi Support,
Over at Pilgrims Hospice, we need Port 24 on switch "PGH-SW05" enabled and connectedÂ to the internet. This will be used for the front entrance display, so it will likely need to go on a public use VLAN or something like that.
Thanks,
Mark Mieila, P.Eng
Electrical Engineer
MMCI Safety Systems Inc.
10311 174 St NWÂ |Â Edmonton | AB | T5S 1H1
587 987 1243 c
780 448 1025 o
mark@mmcisafety.com</t>
  </si>
  <si>
    <t>Trent Threadkell</t>
  </si>
  <si>
    <t>Trent Threadkell - Window Credentials Invalid or Expired</t>
  </si>
  <si>
    <t>Hello,
Iâ€™ve recently re-joined SITE and when I open outlook, the following message appears. Please address if there is an issue. Thank you - Trent
[image]
[image]Â Trent Threadkell CGA
Corporate Development Manager
T:       +1 (403) 662-2037
C:       +1 (403) 461-5087
F:       +1 (403) 662-2035
E:       TThreadkell@siterg.com
W:       WWW.SITERG.COM
1402, 500-4th Avenue SW, Calgary, AB, T2P 2V6
The information contained in this e-mail may       contain confidential or privileged material and is intended only for the       stated addressee(s). If you are not the valid addressee, the use,       disclosure, copying or distribution of this information is prohibited and       may be unlawful. If you have received this email message in error, please       notify the sender immediately and delete all copies of the message from       your computer. All information within or opinions expressed in this       message and/or any attachments are those of the author and are not       necessarily those of the Centurion Group.</t>
  </si>
  <si>
    <t>Apple Schools Foundation</t>
  </si>
  <si>
    <t>Magdalena Pawlowski</t>
  </si>
  <si>
    <t>Re: Ticket #1331940/Marisa Orfei - Email spam showing up Marisa name with an email from gmail accoun</t>
  </si>
  <si>
    <t>Hello Mike!
I have sent an electronic newsletter from Mailchimp to my staff, and no one has received it. We send a newsletter every 2 weeks, and this is the first time it's not showing up in our inboxes.Â 
I decided to do a test, and sent a copy to my personal email and it worked. I'm guessing that the recent workÂ to increase securityÂ is blocking these newsletters toÂ only our staff. I checked the spam folder and there is nothing there. My staff said the same thing.Â 
Furthermore, since this work has been done, people suddenlyÂ can't open Word documents on our resource website, which are only the attachments called Announcements, like the ones here. We need to keep these in Word format, as our audience makes edits to them to suit their needs. We have been receivingÂ a LOT of emails that people can't access them. Robert, our website person, can't figure it out and sees nothing on his end. Can this be something that's solvable on your end? I know that's a long shot.Â 
Thank you in advance!
Magdalena
On Fri, 29 Jan 2021 at 11:27, Support - MNP IT Managed Services &lt;support@mnptechnology.ca&gt; wrote:</t>
  </si>
  <si>
    <t>Mike's email added to Office</t>
  </si>
  <si>
    <t>Can you please add mikeh@r3demo.com to the Office group, Thanks?
Cathy Hawryluk
R3 Deconstruction and Demolition Inc.
RELATIONSHIPS â€“ RESULTS â€“ REPUTATION
#100-18215 114 Avenue NW, Edmonton
PH: 780-453-3326
[R3 Banner]</t>
  </si>
  <si>
    <t>Chris Quinn</t>
  </si>
  <si>
    <t>Chris Quinn - Locking all computers after 10 minutes of inactivity</t>
  </si>
  <si>
    <t>### Summary of Issue_x000D_
Locking all computers after 10 minutes of inactivyt_x000D_
  _x000D_
### Details of Issue_x000D_
I would like it applied accross all ECF computers that they get locked after 10 minutes of inactivity._x000D_
  _x000D_
### Have you opened a ticket about this issue before?  _x000D_
 No  _x000D_
  _x000D_
### How many users are impacted by this issue?  _x000D_
 Everyone  _x000D_
  _x000D_
### How would you classify this issue?  _x000D_
 Minor Inconvenience</t>
  </si>
  <si>
    <t>Hope Neufeld</t>
  </si>
  <si>
    <t>Brenda Wood (on behalf of Brenda Neufeld) - Emailing Panorex films</t>
  </si>
  <si>
    <t>Good Afternoon,
Just a quick note in regards to our e-mail. I tried 6 times to send a film to an oral surgeon it wouldnâ€™t send.
I restarted my computer 2 times. Â I was able to finally send it there was a pop up about an anti virus. I wonder if this is blocking from my e-mails being sent.
Thank you
Hope</t>
  </si>
  <si>
    <t>New HP printer/scanner issue</t>
  </si>
  <si>
    <t>Hi,
When trying to scan a document I get the following error message:
You cannot use this function because it has been disabled.
To turn on Webscan, from the Settings tab, click Security, click Administrator Settings, select Enable for Webscan, and then click Apply.
Could you help me with this please?
Karl Ivarson, B. Sc.
Inspector, NRCB,
Email: karl.ivarson@nrcb.ca
Cell (403) 331-8952</t>
  </si>
  <si>
    <t>Cheryl Trenchard - New User, Alyssa Windrim</t>
  </si>
  <si>
    <t>Hi
Please set up an email, user name and password for Alyssa Windrim.Â She will be working out of Calmont Leasing, Edmonton.Â  Please set her up the same as Adena Papaianni
Her start date is February 3, 2021.
With Thanks,
Cheryl Trenchard, PCP
Human Resources &amp; Payroll Supervisor
[cid:image001.jpg@01D407CC.BE04B790]
14610 Yellowhead Trail NW Edmonton, AB, T5L 3C5
Branch: 780-482-0281Â Â Â  Cell: 587-930-2091Â Â  Fax: 780-482-0278
Email:cheryl.trenchard@calmont.ca
Website:www.calmont.ca
This email, and any files transmitted with it, are confidential and are intended solely for the use of the individual or entity to which they are addressed. Any unauthorized use or disclosure is prohibited. Please notify the sender if you have received this email in error. Thank you for your co-operation.</t>
  </si>
  <si>
    <t>Darlene Cocks</t>
  </si>
  <si>
    <t>Darlene Cocks - CANNOT PRINT</t>
  </si>
  <si>
    <t>### Summary of Issue_x000D_
CANNOT PRINT_x000D_
  _x000D_
### Details of Issue_x000D_
this computer was remotely set up by a IT on friday
I cannot print and I NEED TO BE ABLE TO PRINT my reports as soon as possible
it requires an accounting user ID #_x000D_
  _x000D_
### Have you opened a ticket about this issue before?  _x000D_
 Yes  _x000D_
  _x000D_
### How many users are impacted by this issue?  _x000D_
 Some  _x000D_
  _x000D_
### How would you classify this issue?  _x000D_
 Unable to Work</t>
  </si>
  <si>
    <t>Sara Kinsella - Need our Toshiba printer looked at, keeps jamming and  requesting a service</t>
  </si>
  <si>
    <t>Ryan Dejong</t>
  </si>
  <si>
    <t>Ryan Dejong - Folder on "Edmonton Rentals" Drive - Access restrictions</t>
  </si>
  <si>
    <t>Hi,
I need to make the folder on â€œEdmonton Rentalsâ€ drive labelled BD - Accessible to only myself and Chris McCabe. Both read/write permissions.
[image]</t>
  </si>
  <si>
    <t>Corey Hobbs - Admin Permissions</t>
  </si>
  <si>
    <t>Hello all
Can you please ensure that Myles Chambers has admin permission with McMurray Metis at MNP.
Thanks Corey
[MM-logo-3 - Copy]
Corey Hobbs
Director, Communications and Government Relations
McMurray MÃ©tis (MNA Local 1935)
441 Sakitawaw Trail
Fort McMurray, Alberta
T9H 4P3
Phone:Â Â Â Â Â  780.743.2659
Email:Â Â Â Â Â Â corey.hobbs@mcmurraymetis.org
Facebook:www.facebook.com/McMurrayMetis
Twitter:Â Â Â Â www.twitter.com/McMurrayMetis
Website:Â Â www.McMurrayMetis.org
PPlease consider the environment before printing this email.
This message contains confidential information and is intended only for the named addressees.
If you believe that you received this email in error please notify the original sender and delete all copies.</t>
  </si>
  <si>
    <t>TJ Tokariuk</t>
  </si>
  <si>
    <t>TJ Tokariuk - RE: Ticket#1249436/Keymay/SMTP Info -- has been updated</t>
  </si>
  <si>
    <t xml:space="preserve">Hi Guys,
We are finally testing the SMTP at Keymay and are getting an errorâ€¦ Unable to connect to SMTP serverâ€¦
I believe the issue is that the SMTP emails are coming from the KM-APP-02 server rather than KM-APP-01 server as we had initially planned. We will have SMTP email coming from both servers. If you could setup to allow SMTP from KM-APP-02 that would be great!
TJ Tokariuk
Senior Consultant
Cell: 403-892-0083
Office: 1-587-410-4389
tj@tmlsystems.ca
</t>
  </si>
  <si>
    <t>Vanessa Pierce</t>
  </si>
  <si>
    <t>Vanessa Pierce - Outlook, unmerge personal and work emails in TEAMS/Outlook</t>
  </si>
  <si>
    <t>Hi There,
We have a few colleagues who use Teams on their personal laptops and their work email has now just merged into their personal email on their laptop. Do you have instructions on how to unmerge the two accounts?
Thanks,
Jana
Jana Lumsden       CPA, CMA
Chief Financial Officer
EÂ Â Â Â Â  jlumsden@mhkinsurance.com
DÂ Â Â Â  587.525.6029Â 
CÂ Â Â Â  780.999.7111
12316-107 Avenue, Edmonton, AB  T5M 1Z1
www.mhkinsurance.com
[image]
[image]
We're here to help with your insurance needs. Emails       and phone calls are still encouraged. Appointments are required for       in-office broker meetings. Please wear a mask when       visiting.
MHK welcomes       e-Transfer payments to banking@mhkinsurance.â€‰com.
If you       receive this email in error, please notify us by reply email and destroy       this message. MHK complies with Canada's Anti-Spam and Alberta's PIPA       Legislations. If you no longer wish to receive emails from MHK, please       reply with 'Unsubscribe' in the subject   line.</t>
  </si>
  <si>
    <t>Mark Holmgren</t>
  </si>
  <si>
    <t>Mark Holmgren - Domain List and Expiry Dates</t>
  </si>
  <si>
    <t>Effective today at 5 pm, Matt Steringa is no longer with us and his access to Office 365 should be cancelled. I would like access to his outlook.
Also, I believe my Admin Asst asked about your management of our Domains. I want an update on these domains, when they are due for registration. I was not happy with the lack of communication on this from ND so hoping you will do better!
Mark HolmgrenÂ Â 
Executive DirectorÂ Â 
Edmonton Community Development CompanyÂ Â 
Phone: 780.306.4456 (ext. 1)Â Â 
There is lots going on at the CDC. Find out more athttp://www.edmontoncdc.orgÂ 
[image][image][image][image].</t>
  </si>
  <si>
    <t>Leanna Craig - Cannot Access HR Mailbox</t>
  </si>
  <si>
    <t>Hi MNP,
I seem to be having issues getting in to the HR Mailbox, can you please help? 
Much thanks,
Leanna
[image]
[image]
Leanna Craig, MA, CCC, CPHR
HR Manager
T: 403.205.5243 |E: LeannaC@caryacalgary.ca| C: 403.830.3569
180, 839 5 Ave SW | Calgary, AB | T2P 3C8
[image]Â [image][instagram-1675670]Â [image]
carya (formerly Calgary Family Services)
Stay up to date with the latest carya news, programs, and events by signing up for ourmonthly newsletter.
In the spirit of our efforts to promote reconciliation, we acknowledge the traditional territories and oral practices of the Blackfoot, the Tsuut'ina, the Stoney Nakoda First Nations, the MÃ©tis Nation Region 3, and all people who make their homes in the Treaty 7 region of Southern Alberta. We also respectfully acknowledge that the province of Alberta is comprised of Treaty 6, Treaty 7, and Treaty 8 territory, the traditional lands of First Nations and MÃ©tis peoples.
No form of electronic communication is secure and may be intercepted by others. Carya cannot guarantee the receipt of electronic communication nor a timely response. Where communication is confidential or time sensitive we recommend you call 403-269-9888 during business hours (Monday-Friday, 8:30am-4:30pm). For immediate crisis response please contact the Distress Centre Crisis Line at 403-266-HELP (4537) and in case of an emergency dial 911.
This e-mail is intended solely for the person or entity to which it is addressed and may contain confidential and/or privileged information. Any review, dissemination, copying, printing, forwarding or other use of this e-mail by persons or entities other than the addressee is prohibited. If you have received this e-mail in error, please contact the sender immediately and delete the material from your computer.</t>
  </si>
  <si>
    <t>Marisa Orfei (Inactive)</t>
  </si>
  <si>
    <t>Issue with Check scanner</t>
  </si>
  <si>
    <t>Adebola Adeneye
Field Services Technician
PH.Â +1 7804246398
14505 114th Avenue NW
Edmonton,       AB
T5M2Y8
Adebola.Adeneye@mnp.ca
mnp.ca [image]
[image]
From: Marisa Orfei &lt;marisa.orfei@appleschools.ca&gt;
Sent: February 1, 2021 11:08 AM
To: Adebola Adeneye &lt;Adebola.Adeneye@mnp.ca&gt;
Subject: Re: Re:
CAUTION:This email originated from outside of the MNP network. Be cautious of any embedded links and/or attachments.
MISE EN GARDE:Ce courriel ne provient pas du rÃ©seau de MNP. MÃ©fiez-vous des liens ou piÃ¨ces jointes quâ€™il pourrait contenir.
Good morning Ade!Â  Hope you areÂ doing well!
Ade, I'm having issues with the bank machine again.Â  In the past we resolved that there are times when I would have to use the 'Restart Webclient Driver'.Â  This time I get an error message about the mac not being able to identify malware. I've attached the screen shot.
Can you please advise what I can do?Â  I have some deposits that I need to make.
Thanks, Marisa
On Mon, 30 Nov 2020 at 10:39, Adebola Adeneye &lt;Adebola.Adeneye@mnp.ca&gt; wrote:
Thatâ€™s ok, let me know when you are available.
Adebola Adeneye
Field Services Technician
PH.Â +1 7804246398
14505 114th Avenue NW
Edmonton, AB
T5M2Y8
Adebola.Adeneye@mnp.ca
mnp.ca
[image]
[image]
[image]
From: Marisa Orfei &lt;marisa.orfei@appleschools.ca&gt;
Sent: November 30, 2020 10:36 AM
To: Adebola Adeneye &lt;Adebola.Adeneye@mnp.ca&gt;
Subject: Re: Re:
CAUTION:This email originated from outside of the MNP network. Be cautious of any embedded links and/or attachments.
MISE EN GARDE:Ce courriel ne provient pas du rÃ©seau de MNP. MÃ©fiez-vous des liens ou piÃ¨ces jointes quâ€™il pourrait contenir.
My meeting is going a little late. are you available at 11:30?
On Mon, 30 Nov 2020 at 07:29, Adebola Adeneye &lt;Adebola.Adeneye@mnp.ca&gt; wrote:
Good morning Marisa,
Iâ€™ll give you after your meeting at about 10:45 this morning.
Regards,
Adebola Adeneye
Field Services Technician
PH.Â +1 7804246398
14505 114th Avenue NW
Edmonton, AB
T5M2Y8
Adebola.Adeneye@mnp.ca
mnp.ca
[image]
[image]
[image]
From: Marisa Orfei &lt;marisa.orfei@appleschools.ca&gt;
Sent: November 30, 2020 7:07 AM
To: Adebola Adeneye &lt;Adebola.Adeneye@mnp.ca&gt;
Subject: Fwd: Re:
CAUTION:This email originated from outside of the MNP network. Be cautious of any embedded links and/or attachments.
MISE EN GARDE:Ce courriel ne provient pas du rÃ©seau de MNP. MÃ©fiez-vous des liens ou piÃ¨ces jointes quâ€™il pourrait contenir.
Good morning Ade,Â  Can you let me know when you have time to help me with this bank deposit machine issue.Â  I'm getting the exact same messages as last time.Â  I've attached screenshots below.Â  I have a number of cheques I need to get into the bank.
I have a meeting this morning but should be free after 10:30 this morning.
Thank you.
Marisa
---------- Forwarded message ---------
From:Marisa Orfei &lt;marisa.orfei@appleschools.ca&gt;
Date: Thu, 26 Nov 2020 at 09:49
Subject: Re: Re:
To: Adebola Adeneye &lt;Adebola.Adeneye@mnp.ca&gt;
Good morning Ade,Â  I am getting the same errorÂ messages using my digital bank deposit machine.
Document 1 attached.Â  Â They give me options:Â  I believe my option is the one highlighted in blue.
When I go to restart the webclient driver it gives me an error message that I've attached as document 2.
Can you please assist me with this?
Thank you.
Marisa
On Wed, 18 Nov 2020 at 08:21, Adebola Adeneye &lt;Adebola.Adeneye@mnp.ca&gt; wrote:
Yes Marisa, 11:30 on Friday works for me.
Adebola Adeneye
Field Services Technician
PH.Â +1 7804246398
14505 114th Avenue NW
Edmonton, AB
T5M2Y8
Adebola.Adeneye@mnp.ca
mnp.ca
[image]
[image]
[image]
From: Marisa Orfei &lt;marisa.orfei@appleschools.ca&gt;
Sent: November 18, 2020 8:08 AM
To: Adebola Adeneye &lt;Adebola.Adeneye@mnp.ca&gt;
Subject: Re:
CAUTION:This email originated from outside of the MNP network. Be cautious of any embedded links and/or attachments.
MISE EN GARDE:Ce courriel ne provient pas du rÃ©seau de MNP. MÃ©fiez-vous des liens ou piÃ¨ces jointes quâ€™il pourrait contenir.
Hi Ade,
Can we set up some time ...</t>
  </si>
  <si>
    <t>All-Ways Mechanical Ltd.</t>
  </si>
  <si>
    <t>Rob Shaw</t>
  </si>
  <si>
    <t>emails</t>
  </si>
  <si>
    <t>Cindy Patton was set up as a new email user.
she needs access to see the following emails and have added to her account:
 amservice@allmech.ca
 scheduling@allmech.ca
Rob Shaw
President
Main Office: 780.486.5041,Â Â Cell: 780.699.7429,Â Â Email:rshaw@allmech.ca
Address: 12218 Mount Lawn Road, Edmonton, T5B 4J4
[image]</t>
  </si>
  <si>
    <t>Ken Davies</t>
  </si>
  <si>
    <t>Microsoft Teams not appearing on Outlook Calendar</t>
  </si>
  <si>
    <t>All:
I am having issues with my Microsoft Outlook not allowing for Calendar meetings to be set up with Teamsâ€¦ Button is missing.
I have tried both computer and server restarts with out success.
[image]Â Ken Davies
Health, Safety &amp; Environmental Manager
T:       +1 (780) 400-7455
C:       +1 (780) 292-3413
F:       +1 (780) 417-6496
E:       KDavies@siterg.com
W:       WWW.SITERG.COM
#170, 120 Pembina Road, Sherwood Park, AB, T8H 0M2
The information contained in this e-mail may       contain confidential or privileged material and is intended only for the       stated addressee(s). If you are not the valid addressee, the use,       disclosure, copying or distribution of this information is prohibited and       may be unlawful. If you have received this email message in error, please       notify the sender immediately and delete all copies of the message from       your computer. All information within or opinions expressed in this       message and/or any attachments are those of the author and are not       necessarily those of the Centurion Group.</t>
  </si>
  <si>
    <t>Kevin Fee</t>
  </si>
  <si>
    <t>Error trying to log into Cyrious</t>
  </si>
  <si>
    <t>Good morning,
When you have a chance to take a look please:
[image]
I can be reached on my cell if you need me. A colleague just had the same error.
Kevin Fee
Phone:Â  403-275-4444
Fax:Â Â Â Â Â  403-275-3387
Cell:Â Â Â Â Â 403-870-9082
Email:Â kfee@nationalneon.com
[NationalNeon-2012-Letterhead]
4940 â€“ 102nd Avenue SE | Calgary, AB | T2C 2X8
www.nationalneon.com</t>
  </si>
  <si>
    <t>Jason Gessner</t>
  </si>
  <si>
    <t>Jason Gessner - RDS Very Slow</t>
  </si>
  <si>
    <t>### Summary of Issue_x000D_
RDS Very Slow_x000D_
  _x000D_
### Details of Issue_x000D_
RDS03 has been very slow this morning, Teams would not respond and eventually restart.
Everything on the RDS is performing slow.
Log out and in seems to improve the performance but it is still noticeable._x000D_
  _x000D_
### Have you opened a ticket about this issue before?  _x000D_
 No  _x000D_
  _x000D_
### How many users are impacted by this issue?  _x000D_
 One  _x000D_
  _x000D_
### How would you classify this issue?  _x000D_
 Work Impacting</t>
  </si>
  <si>
    <t>Outlook exchange not working on my new cell hpne</t>
  </si>
  <si>
    <t>Hi
I need help configuring / setup my windows (work) outlook to setup on my company cell phone.
Please advise asap
I am on hold with your support for last 30 min
Regards,
Shamir Shaikh
Sales Coordinator
[New Calmont Group Volvo Truck Centre logo]
Calmont Volvo Truck Centre Edmonton
11403 174 Street, Edmonton, Alberta, T5S 2P4
Tel: 780-451-2680
Fax: 780-454-5096
Toll Free: 800-252-7902</t>
  </si>
  <si>
    <t>URGENT: CIL Log Notifications</t>
  </si>
  <si>
    <t>Can we make sure that e-mails outside of the organization are allowed to this distribution list
[image]Â Riccardo Francese
Business Process Manager
T:       +1 (780) 400-7487
C:       +1 (587) 990-0176
F:       +1 (780) 417-6496
E:       RFrancese@siterg.com
W:       WWW.SITERG.COM
#170, 120 Pembina Rd., Sherwood Park, AB, T8H 0M2
The information contained in this e-mail may       contain confidential or privileged material and is intended only for the       stated addressee(s). If you are not the valid addressee, the use,       disclosure, copying or distribution of this information is prohibited and       may be unlawful. If you have received this email message in error, please       notify the sender immediately and delete all copies of the message from       your computer. All information within or opinions expressed in this       message and/or any attachments are those of the author and are not       necessarily those of the Centurion Group.
From: Andrew Patterson &lt;APatterson@siterg.com&gt;
Sent: Monday, February 1, 2021 10:19 AM
To: Riccardo Francese &lt;RFrancese@siterg.com&gt;
Subject: RE: CIL Log Notifications
Changed it and created a new NCR but didnâ€™t receive a notification.Â  Did you?
[image]
Andrew Patterson
Programmer
T: +1 (780) 217-9550
C: +1 (780) 217-9550
F: +1 (780) 417-6496
E:APatterson@siterg.com
W:WWW.SITERG.COM
#170, 120 Pembina Rd., Sherwood Park, Alberta, T8H 0M2
The information contained in this e-mail may contain confidential or privileged material and is intended only for the stated addressee(s). If you are not the valid addressee, the use, disclosure, copying or distribution of this information is prohibited and may be unlawful. If you have received this email message in error, please notify the sender immediately and delete all copies of the message from your computer. All information within or opinions expressed in this message and/or any attachments are those of the author and are not necessarily those of the Centurion Group.
From: Riccardo Francese &lt;RFrancese@siterg.com&gt;
Sent: Monday, February 1, 2021 9:42 AM
To: Andrew Patterson &lt;APatterson@siterg.com&gt;
Subject: RE: CIL Log Notifications
Try cilncrnotification@siterg.com
[image]
Riccardo Francese
Business Process Manager
T: +1 (780) 400-7487
C: +1 (587) 990-0176
F: +1 (780) 417-6496
E:RFrancese@siterg.com
W:WWW.SITERG.COM
#170, 120 Pembina Rd., Sherwood Park, AB, T8H 0M2
The information contained in this e-mail may contain confidential or privileged material and is intended only for the stated addressee(s). If you are not the valid addressee, the use, disclosure, copying or distribution of this information is prohibited and may be unlawful. If you have received this email message in error, please notify the sender immediately and delete all copies of the message from your computer. All information within or opinions expressed in this message and/or any attachments are those of the author and are not necessarily those of the Centurion Group.
From: Andrew Patterson &lt;APatterson@siterg.com&gt;
Sent: Monday, February 1, 2021 8:45 AM
To: Riccardo Francese &lt;RFrancese@siterg.com&gt;
Subject: RE: CIL Log Notifications
Doesnâ€™t seem to be getting to delivered to the individuals that are part of the cilncrnotifications group.
[image]
Andrew Patterson
Programmer
T: +1 (780) 217-9550
C: +1 (780) 217-9550
F: +1 (780) 417-6496
E:APatterson@siterg.com
W:WWW.SITERG.COM
#170, 120 Pembina Rd., Sherwood Park, Alberta, T8H 0M2
The information contained in this e-mail may contain confidential or privileged material and is intended only for the stated addressee(s). If you are not the valid addressee, the use, disclosure, copying or distribution of this information is prohibited and may be unlawful. If you have received this email message in error, please notify the sender immediately and delete all copies of the message from your computer. All information within or opinions expressed in this message and/or any attachments are those of the author and are not ...</t>
  </si>
  <si>
    <t>Annie Brandt - Phone in main office dropping calls, appears to need to be replaced</t>
  </si>
  <si>
    <t>### Summary of Issue_x000D_
Phone in main office dropping calls, appears to need to be replaced_x000D_
  _x000D_
### Details of Issue_x000D_
The phone for the main office at WEAC, does not work well.  Drops calls, won't always transfer, etc.  Could we see if we could get it replaced with another phone we currently have at WEAC, but the extension changed?_x000D_
  _x000D_
### Have you opened a ticket about this issue before?  _x000D_
 No  _x000D_
  _x000D_
### How many users are impacted by this issue?  _x000D_
 Everyone  _x000D_
  _x000D_
### How would you classify this issue?  _x000D_
 Unable to Work</t>
  </si>
  <si>
    <t>IRIS Server Login</t>
  </si>
  <si>
    <t>Jack (ccd) is unable to login/RDP from IBSGAZAPP01 to IRIS server.
Amin Hirji</t>
  </si>
  <si>
    <t>Matthew Nasby</t>
  </si>
  <si>
    <t>Install Visio on my new Surface Tablet</t>
  </si>
  <si>
    <t>I need the Microsoft Visio licence moved over from my old surface tablet to my new one. 
Matthew Nasby</t>
  </si>
  <si>
    <t>Riccardo Francese - PST Files</t>
  </si>
  <si>
    <t>Hello,
We need PST files for the following:
1.Â Â Â Â Â Â Big Bore versus Site Resource Group Inc. â€“ There are two pieces to this one:
a.Â Â Â Â Â Â CLRUSC (Cold Lake Water Main) job nos. 10-18-W0849 and 10-18-W0850 â€“ Time period is October 2018 to present. Â Personnel include Trent Threadkell, Deryk Kause, Trevor Makaruk, Colin Adams, Dominic Beaulieu. Key word search including phrase or word: Big Bore, CLRUSC, Cold Lake, water main, directional drill, BB, Claim
b.Â Â Â Â Â Â Husky S6 and S7 job no. 51-18-P0778 â€“ Bruce is going to see if we can use the email search we already did for our Husky claim, he will reach out to you to see if we can simplify this one.
2.Â Â Â Â Â Â Vista View Homes versus Site Energy Services Inc. job no. 10-15-E1337 â€“ Time period January to July 2015.Â  Personnel include Blair McCaffrey, Scott Coats, Willy Deep, Chris Martineau.Â  Key Word Search SE Design and Consulting, Morris Estates, Vista View Homes, E Construction
[image]Â Riccardo Francese
Business Process Manager
T:       +1 (780) 400-7487
C:       +1 (587) 990-0176
F:       +1 (780) 417-6496
E:       RFrancese@siterg.com
W:       WWW.SITERG.COM
#170, 120 Pembina Rd., Sherwood Park, AB, T8H 0M2
The information contained in this e-mail may       contain confidential or privileged material and is intended only for the       stated addressee(s). If you are not the valid addressee, the use,       disclosure, copying or distribution of this information is prohibited and       may be unlawful. If you have received this email message in error, please       notify the sender immediately and delete all copies of the message from       your computer. All information within or opinions expressed in this       message and/or any attachments are those of the author and are not       necessarily those of the Centurion Group.</t>
  </si>
  <si>
    <t>SK studio - Access UDP port 3022</t>
  </si>
  <si>
    <t>Good Day,
On the weekend, I was trying to do a virtual bike race at the office but I could not access the website due to some errors that we associated with firewalls ect on the router I think.Â  The website is called RGT and the error message is below highlighted in yellow â€“ is there anyway that this can be looked at and allow me to make this work?
If you have an Antivirus or Firewall installed on your OS please disable these first and re-start RGT Cycling and RGT Screen and try again.
If you are still experiencing issues, the firewall on your router or computer is blocking communication to our server on UDP port 3022, but itâ€™s likely this is on your router.
Please add UDP port 3022 to exemption list for both outgoing and incoming traffic.
Thanks,Â  Troy
Troy Smith, Principal
ARCHITECT SAA AAA MAA OAA AIBC MRAIC LEED AP
Group2
Architecture Interior Design
630c 10th Street E Saskatoon SK S7H 0G9
D +1 306 716 2633
T +1Â 306 979 2935
group2.ca
Group2is committed to being both responsive and responsible in navigating these extraordinary times with everyoneâ€™s safety in mind. Since the outset of the COVID-19 situation, we have enabled our employees to work remotely, allowing us to continue business operations and maintain our client commitments.
This email and any files transmitted with it are confidential and intended solely for the use of the individual or entity to whom they are addressed. If you have received this email in error please notify the system manager. This message contains confidential information and is intended only for the individual named. If you are not the named addressee you should not disseminate, distribute or copy this e-mail.</t>
  </si>
  <si>
    <t>Calahoo Meats Ltd.</t>
  </si>
  <si>
    <t>Justine Berube</t>
  </si>
  <si>
    <t>Zebra Printer</t>
  </si>
  <si>
    <t>Hello, 
The zebra label printer that you guys recently helped install will not connect to for printing.
Could you take a look please.
Thanks 
Justine
Calahoo Meats</t>
  </si>
  <si>
    <t>Hinton Optometry Clinic</t>
  </si>
  <si>
    <t>Shelley Groat</t>
  </si>
  <si>
    <t>SAGE UPDATE ASAP THANK YOU</t>
  </si>
  <si>
    <t>Can we get our sage updated please asap. They have done another update so we can get our T4â€™s out properly. We are closed by 4:30 tonight, or please let me know when you can do it and Iâ€™ll make sure no one is on the equipment.
Thank you,
Shelley Groat
Accounts Manager
Hinton Optometry Clinic
NOTE: This e-mail transmission, including any attachments, is intended only for the named recipient(s) and may contain information that is privileged, confidential and/or exempt from disclosure under applicable law. If you have received this transmission in error, or are not the named recipient(s), please notify Hinton Optometry Clinic immediately by return e-mail and permanently delete this transmission, including any attachments.</t>
  </si>
  <si>
    <t>Kimberly Miller</t>
  </si>
  <si>
    <t>Kimberly Miller - Missing Icons</t>
  </si>
  <si>
    <t>Good morning,
Could someone please show me how to get my icons back in the top task bar? For some reason this is missing.
Thank you,
Kimberly Miller       CAIB
Client Executive, Commercial Lines
EÂ Â Â Â Â  KMiller@mhkinsurance.com
DÂ Â Â Â  587.525.6004Â 
12316-107 Avenue, Edmonton, AB  T5M 1Z1
www.mhkinsurance.commailto:KMiller@mhkinsurance.com)
[image]
[image]
We're here to help with your insurance needs. Emails       and phone calls are still encouraged. Appointments are required for       in-office broker meetings. Please wear a mask when       visiting.
MHK welcomes       e-Transfer payments to banking@mhkinsurance.â€‰com.
If you       receive this email in error, please notify us by reply email and destroy       this message. MHK complies with Canada's Anti-Spam and Alberta's PIPA       Legislations. If you no longer wish to receive emails from MHK, please       reply with 'Unsubscribe' in the subject   line.</t>
  </si>
  <si>
    <t>RayWalt Construction</t>
  </si>
  <si>
    <t>Andrew Kowalchyk</t>
  </si>
  <si>
    <t>Andrew Kowalchyk - New user, Megan Dargatz</t>
  </si>
  <si>
    <t>Hi,
One of our employees, Kayla Parasynchuk, will not be returning from her maternity leave. We can remove her login credentials from the server and from our Office 365 account.
Megan Dargatz, who has been covering her position and will be staying on with us, will need a proper company email address. You can transfer the Office 365 account from Kayla to Megan, as she is using her workstation. We will use the same theme as the rest of our emails, please set her up with â€“mdargatz@raywalt.ca. She has been using the Accounts Payable login to access her computer, but we can change that to her personal login. Nothing changes with the Accounts Payable email, as she will also be using that email as well.
If you have any questions, please contact me.
Andrew Kowalchyk
Vice President, Contracts Manager
Raywalt Construction Co. Ltd.
B: (780) 962-0030Â  C: (780) 720-6721
[image]Â Â Â Â 10374-276 Street
Acheson, AlbertaÂ  T7X 6A5
www.raywalt.ca
â€This message and any attachments are solely for the intended recipient and may contain confidential or privileged information. If you are not the intended recipient, any disclosure, copying, use, or distribution of the information included in this message and any attachments is prohibited. If you have received this communication in error, please notify us by reply e-mail and immediately and permanently delete this message and any attachments. Thank you.â€</t>
  </si>
  <si>
    <t>Lori Hoeksema - FW: Trent Threadkel sage access</t>
  </si>
  <si>
    <t>Please set up system admin access for Trent Threadkell on all company databases as soon as possible.
Thanks, Lori
[image]Â Lori Hoeksema
Vice President Finance
T:       +1 (780) 400-7430
C:       +1 (587) 335-0997
F:       +1 (780) 417-6496
E:       LHoeksema@siterg.com
W:       WWW.SITERG.COM
#170 - 120 Pembina Rd, Sherwood Park, Alberta, T8H 0M2
The information contained in this e-mail may       contain confidential or privileged material and is intended only for the       stated addressee(s). If you are not the valid addressee, the use,       disclosure, copying or distribution of this information is prohibited and       may be unlawful. If you have received this email message in error, please       notify the sender immediately and delete all copies of the message from       your computer. All information within or opinions expressed in this       message and/or any attachments are those of the author and are not       necessarily those of the Centurion Group.
From: Joanna Batchelor &lt;JBatchelor@siterg.com&gt;
Sent: Monday, February 1, 2021 8:27 AM
To: Lori Hoeksema &lt;LHoeksema@siterg.com&gt;
Subject: RE: Trent sage access
Hi Lori,
Will this suffice or do I need to check every box as well?
[image]
Joanna Batchelor
Corporate Controller
T: +1 (403) 341-0030
C: +1 (587) 590-3973
F: +1 (403) 341-0089
E:JBatchelor@siterg.com
W:WWW.SITERG.COM
27312 - 213 TWP 394, Blackfalds, AB, T0M 0J0
The information contained in this e-mail may contain confidential or privileged material and is intended only for the stated addressee(s). If you are not the valid addressee, the use, disclosure, copying or distribution of this information is prohibited and may be unlawful. If you have received this email message in error, please notify the sender immediately and delete all copies of the message from your computer. All information within or opinions expressed in this message and/or any attachments are those of the author and are not necessarily those of the Centurion Group.
From: Lori Hoeksema &lt;LHoeksema@siterg.com&gt;
Sent: Sunday, January 31, 2021 10:45 AM
To: Joanna Batchelor &lt;JBatchelor@siterg.com&gt;
Cc: Riccardo Francese &lt;RFrancese@siterg.com&gt;
Subject: Re: Trent sage access
Joanna,
I would like to give Trent full System Admin access so we can get his help with report design, system maintenance, etc.
Can you fill in the Sage access form for all companies, divisions, CAN and USA and specifically note he will need to be given Application Administrator access. Â I believe they assign that outside of the regular Roles. Â I can approve the form if you cc me when you send to IT.
Riccardo, they may need assistance to get Trent set up as system admin as there was an extra step when we change Joanna to system admin. If you donâ€™t mind helping that would be great.
Thanks, Lori
Sent from my iPhone
[image]
Lori Hoeksema
Vice President Finance
T: +1 (780) 400-7430
C: +1 (587) 335-0997
F: +1 (780) 417-6496
E:LHoeksema@siterg.com
W:WWW.SITERG.COM
#170 - 120 Pembina Rd, Sherwood Park, Alberta, T8H 0M2
The information contained in this e-mail may contain confidential or privileged material and is intended only for the stated addressee(s). If you are not the valid addressee, the use, disclosure, copying or distribution of this information is prohibited and may be unlawful. If you have received this email message in error, please notify the sender immediately and delete all copies of the message from your computer. All information within or opinions expressed in this message and/or any attachments are those of the author and are not necessarily those of the Centurion Group.
On Jan 29, 2021, at 5:56 PM, Joanna Batchelor &lt;JBatchelor@siterg.com&gt; wrote:
ï»¿
Hi Lori,
Is Riccardo setting up Trentâ€™s full access or do I need to get IT to make sure he has admin access?
Sent from my iPhone
[image]
Joanna Batchelor
Corporate Controller
T: +1 (403) 341-0030
C: +1 (587) 590-3973
F: +1 (403) 341-0089
E:JBatchelor@siterg.com
W:WWW.SITERG.COM
27312 - 213 TWP 394, B...</t>
  </si>
  <si>
    <t>Mann-Northway Auto Source</t>
  </si>
  <si>
    <t>Mann Northway - dropping calls</t>
  </si>
  <si>
    <t>Good Morning Tim,
I am seeing a bit of higher usage on the lines but nothing indicating loss of calls
MNP Support, Can you please check the lines at Mann Northway on 10.33.57.50 ?
Thanks
[image]
From: Tim Green &lt;tgreen@mannnorthway.ca&gt; 
Sent: Monday, February 1, 2021 8:52 AM
To: Ben Trueman &lt;btrueman@autocan.ca&gt;
Subject: Phones
Hi Ben, can you run a check on the lines? We are getting dropped calls again.</t>
  </si>
  <si>
    <t>Ivanna Babic - Access to Social Media</t>
  </si>
  <si>
    <t>Good morning,
Iâ€™m unable to access our social media accounts. Could someone look into this for me.
Ivanna Babic
Digital Marketing Coordinator
[image]
14610 Yellowhead Trail NW Edmonton, AB, T5L 3C5
Branch: 780-454-0491Â Â Â Â  Direct: 780-409-3346Â Â Â Â  Cell: 587-921-8877Â Â Â Â  Fax: 780-482-5663
Email:ivanna.babic@calmont.ca
Website:www.calmont.ca</t>
  </si>
  <si>
    <t>Baan Powertrain</t>
  </si>
  <si>
    <t>Richard</t>
  </si>
  <si>
    <t>Quote Request - Baan Powertrain - Panasonic Wireless Phone TCA385 and belt clips</t>
  </si>
  <si>
    <t>### End User Hardware  
  _x000D_
### What company is this quote for?
Baan Powertrain
  _x000D_
### Who made this request and why?
Jordan Schlamp
  _x000D_
### Give this request a name
Panasonic Wireless Phone TCA385 and belt clips
  _x000D_
### Who should the quote be addressed to?  
 The primary contact in Connectwise  
  _x000D_
### Which location is the product for?
Edmonton
  _x000D_
### Is there an existing ticket on another Connectwise board? If so what is the ticket number?
0
  _x000D_
### Which ND location is it needed at?  
 Next Digital Edmonton  
  _x000D_
### When is it needed by OR when is the next site visit for the client's location?  
Tue 2 Feb, 2021  
  _x000D_
### Do you need labour quoted?  
 Yes  
  _x000D_
### What products do you need on this quote?  
 Voice Equipment  
  _x000D_
### What products do you need quoted?
1 Panasonci Wireless Telephone KXTCA385 and 1 package (5 in a package) of Belt clips KXA385 for the Panasonic TCA385 wireless phones</t>
  </si>
  <si>
    <t>FW: Field Law: Mitel Desk phone Procurement Inquiry</t>
  </si>
  <si>
    <t>From: Paul Rwankole &lt;Paul.Rwankole@lvs1.com&gt; 
Sent: Sunday, January 31, 2021 4:31 PM
To: Sales - MNP IT Managed Services &lt;sales@mnptechnology.ca&gt;
Cc: Jaishil Prasad &lt;Jaishil.Prasad@lvs1.com&gt;; Roger Lam &lt;Roger.Lam@lvs1.com&gt;
Subject: Field Law: Mitel Desk phone Procurement Inquiry
CAUTION:This email originated from outside of the MNP network. Be cautious of any embedded links and/or attachments.
MISE EN GARDE:Ce courriel ne provient pas du rÃ©seau de MNP. MÃ©fiez-vous des liens ou piÃ¨ces jointes quâ€™il pourrait contenir.
Hello!
Would I be able to get a quote for Mitel model â€“ IP485G?
Based on the cost of one device, we will review with Field Law on an order for Calgary and Edmonton.
Thanks!
Paul Rwankole
Site Manager
[Description: Description: Description: Long View Systems]
..................................................................
Mobile:403.370.9858 |Main:403.515.6900
Email:paul.rwankole@lvs1.com
[image]
Long View approved for General use</t>
  </si>
  <si>
    <t>FW: Welcome to Sophos Central Shai-Anne Verville</t>
  </si>
  <si>
    <t>Hi there,
Can you please change Shai-Anneâ€™s last name from Verville to Spaidal.
Thank-you,
Bryce
From: Shai-Anne Verville &lt;Shai-Anne@pulseveterinary.ca&gt;
Sent: January 15, 2021 8:22 AM
To: Bryce Johnston &lt;Bryce@pulseveterinary.ca&gt;
Subject: Fwd: Welcome to Sophos Central Shai-Anne Verville
Could you please also change my name on the email? And how do I change my login name for workday? Thanks
Shai
From:do-not-reply@central.sophos.com &lt;do-not-reply@central.sophos.com&gt;
Sent: Thursday, January 14, 2021, 16:12
To: Shai-Anne Verville
Subject: Welcome to Sophos Central Shai-Anne Verville
[Sophos Central][Pulse Veterinary Clinic]
Welcome Shai-Anne Verville
NOTE: Please contact your administrator if you think you received this email by mistake.
[powered by Sophos]
Â© 2013 - 2021 Sophos Limited. All rights reserved.</t>
  </si>
  <si>
    <t>### Summary of Issue_x000D_
Outlook_x000D_
  _x000D_
### Details of Issue_x000D_
Outlook asks if i can start it in Safe Mode and won't open._x000D_
  _x000D_
### Have you opened a ticket about this issue before?  _x000D_
 No  _x000D_
  _x000D_
### How many users are impacted by this issue?  _x000D_
 One  _x000D_
  _x000D_
### How would you classify this issue?  _x000D_
 Work Impacting  _x000D_
  _x000D_
### If your callback number is different than what's on record, please provide it below._x000D_
403.708.2932</t>
  </si>
  <si>
    <t>Amanda Anderson - install accounting colour printer</t>
  </si>
  <si>
    <t xml:space="preserve">Hello,
The Lap Laptop does not have the Accounting Color Printer installed.
Please make arrangement with Amanda in the Hewes Lab to remote and assign the Hewes Accounting Color Printer to the Hewes Lap Laptop.
Amanda can be reached at 780.463.5141.
Thanks,
Mel
[Email Logo Template]
</t>
  </si>
  <si>
    <t>Faizel Janmohamed - P Drive on NC-PMKR-BE02 needs to be expanded by 30GB</t>
  </si>
  <si>
    <t>### Summary of Issue_x000D_
P Drive on NC-PMKR-BE02 needs to be expanded by 30GB_x000D_
  _x000D_
### Details of Issue_x000D_
P Drive on NC-PMKR-BE02 needs to be expanded by 30GB,
OPAL Approval give on 1355177_x000D_
  _x000D_
### Have you opened a ticket about this issue before?  _x000D_
 No  _x000D_
  _x000D_
### How many users are impacted by this issue?  _x000D_
 Everyone  _x000D_
  _x000D_
### How would you classify this issue?  _x000D_
 Work Impacting</t>
  </si>
  <si>
    <t>Questions regarding paging - Franklin at Liberty</t>
  </si>
  <si>
    <t>Hi Terry,
Good day!
I am not sure about it but is the PA system at Smithfield Lodge (Westlock) hooked up to the Phone system? They are asking if there's a code to access the PA from the cordlessÂ which was setup in their Pembina building. See below inquiry from them.
Thanks.
Regards,
Franklin Cortez
Liberty Security Systems Inc.
Phone: 780.988.7233
Toll Free: 1.866.926.7233
Fax: 1.877.988.7236
Email: fcortez@libertysecurity.ca
Website: www.libertysecurity.ca
---------- Forwarded message ---------
From: Karla Holton &lt;kholton@homelandhousing.ca&gt;
Date: Mon, Feb 1, 2021 at 8:07 AM
Subject: Fw: PA System at Smithfield
To: Franklin Cortez &lt;fcortez@libertysecurity.ca&gt;
Cc: SMFL Reception &lt;SMFL@homelandhousing.ca&gt;
Good Morning, Frank:
Can you assist with this please?
Thank you,
KarlaÂ 
From: Jennifer McLeod &lt;jmcleod@homelandhousing.ca&gt;
Sent: Monday, February 1, 2021 8:07 AM
To: Janet Marback &lt;jmarback@homelandhousing.ca&gt;
Cc: Karla Holton &lt;kholton@homelandhousing.ca&gt;
Subject: Re: PA System at Smithfield
Hi Janet,
Not that I am aware of.Â  Someone could reach out to Liberty and inquire to see if there is a code that can be entered to announce on PA system.
Thank you,
[image]
From: Janet Marback &lt;jmarback@homelandhousing.ca&gt;
Sent: Sunday, January 31, 2021 10:36 AM
To: Jennifer McLeod &lt;jmcleod@homelandhousing.ca&gt;
Cc: Karla Holton &lt;kholton@homelandhousing.ca&gt;
Subject: PA System at Smithfield
Hi Jenn
Just doing some updates on the EPP and was wondering if we have a code for the handheld panasonics over at Smithfield to access the PA directly from the phones
we have it set up here at Pembina now where the Panasonics can access the PA by dialing *3330
Please let me know if this is doable for Smithfield
thank youÂ 
[image]</t>
  </si>
  <si>
    <t>Remote Access Issues</t>
  </si>
  <si>
    <t>I have VPN installed on my Surface tablet, however it isnâ€™t letting me access my network drives properly. I also do not know if I am getting my calls forwarded to my VM because I cannot access my ShoreTel. My cell# is 780-819-0625.
I am sort of dead in the water until this gets resolved.
Kind regards,
MATTHEW NASBY, CRSP, CSP, CIT, P. GSCÂ |Â COR Manager
Alberta Construction Safety Association
225 Parsons Road SW |Â Edmonton ABÂ |Â T6X 0W6
TÂ 780.453.3311 ext. 1855 |Â FÂ 780.455.1120 |Â TFÂ 1.800.661.ACSA (2272)
www.youracsa.ca
[image][image][image][image]
[image]</t>
  </si>
  <si>
    <t>Cannot get my Shoretel set up</t>
  </si>
  <si>
    <t>Hello,
I have a new Surface Tablet and I am unable to get my ShoreTel set up properly. This would be considered a high priority items as my phone line could be affected.
[image]
MATTHEW NASBY, CRSP, CSP, CIT, P. GSCÂ |Â COR Manager
Alberta Construction Safety Association
225 Parsons Road SW |Â Edmonton ABÂ |Â T6X 0W6
TÂ 780.453.3311 ext. 1855 |Â FÂ 780.455.1120 |Â TFÂ 1.800.661.ACSA (2272)
www.youracsa.ca
[image][image][image][image]
[image]</t>
  </si>
  <si>
    <t>NDAdmin</t>
  </si>
  <si>
    <t>[Error][Hardware Status] Notification from your device: ECF-QNAP01</t>
  </si>
  <si>
    <t>[Hardware Status] "Host: Disk 4": Disconnected.
[Notification Center]
[Error][Hardware Status] Notification from your device: ECF-QNAP01
NAS Name: ECF-QNAP01
Severity: Error
Date/Time: 2021/02/01 05:08:23
App Name: Hardware Status
Category: Drives
Message: [Hardware Status] "Host: Disk 4": Disconnected.
To configure notification rules, log in to your device and go to                Notification Center &gt; System Notification Rules
Â©2021 QNAP Systems, Inc.</t>
  </si>
  <si>
    <t>Myles</t>
  </si>
  <si>
    <t>Infinity Metis Corp 365 licences</t>
  </si>
  <si>
    <t>Good morning all,
After speaking with Corey last week , he informed me that next digital is responsible for the office 365 licences as a third party vendor.Â Â 
Looking for information regarding licences for infinity Metis Corp.Â Â 
Thank you</t>
  </si>
  <si>
    <t>Tim Clark - Need to set up a new user on Microsoft 365</t>
  </si>
  <si>
    <t>### Summary of Issue_x000D_
Need to set up a new user on Microsoft 365_x000D_
  _x000D_
### Details of Issue_x000D_
See above_x000D_
  _x000D_
### Have you opened a ticket about this issue before?  _x000D_
 No  _x000D_
  _x000D_
### How many users are impacted by this issue?  _x000D_
 One  _x000D_
  _x000D_
### How would you classify this issue?  _x000D_
 Unable to Work</t>
  </si>
  <si>
    <t>FW: [Reminder] Amazon S3 and Amazon CloudFront migrating service certificates to Amazon Trust Servic</t>
  </si>
  <si>
    <t>Hi There,
Could someone please help me with this to make sure we still are good?
Thanks,
Jana
Jana Lumsden       CPA, CMA
Chief Financial Officer
EÂ Â Â Â Â  jlumsden@mhkinsurance.com
DÂ Â Â Â  587.525.6029Â 
CÂ Â Â Â  780.999.7111
12316-107 Avenue, Edmonton, AB  T5M 1Z1
www.mhkinsurance.com
[image]
[image]
We're here to help with your insurance needs. Emails       and phone calls are still encouraged. Appointments are required for       in-office broker meetings. Please wear a mask when       visiting.
MHK welcomes       e-Transfer payments to banking@mhkinsurance.â€‰com.
If you       receive this email in error, please notify us by reply email and destroy       this message. MHK complies with Canada's Anti-Spam and Alberta's PIPA       Legislations. If you no longer wish to receive emails from MHK, please       reply with 'Unsubscribe' in the subject   line.
-----Original Message-----
From: Amazon Web Services, Inc. &lt;no-reply-aws@amazon.com&gt; 
Sent: Sunday, January 31, 2021 4:46 AM
To: Nicole Greidanus &lt;ngreidanus@mhkinsurance.com&gt;
Subject: [Reminder] Amazon S3 and Amazon CloudFront migrating service certificates to Amazon Trust Services starting March 23rd 2021. [AWS Account: 241526954456]
Hello,
This is a reminder that Amazon Simple Storage Service (S3) and Amazon CloudFront are both migrating their servicesâ€™ certificates from DigiCert to Amazon Trust Services starting March 23, 2021. If you do not send HTTPS traffic directly to your S3 bucket, or only use custom domains like www.example.com with your CloudFront distribution, then there is no impact and you can disregard this message. If you do send HTTPS traffic directly to your S3 bucket, or use CloudFront domains covered by *.cloudfront.net, please continue reading and review the FAQ below on which certificates are migrating. 
The Amazon Trust Services Certificate Authority originates from AWSâ€™ purchase of the Starfield Services Certificate Authority which has been valid since 2005. This means you shouldnâ€™t have to take any action to use the certificates issued by Amazon Trust Services as it is already included in common trust stores across most web browsers, operating systems, and applications. However, if you build custom certificate trust stores or use certificate pinning, you may need to alter your configurations. As a best practice, we recommend verifying Amazon Trust Services is in your trust store with one of the following tests.
[1] Visit our blog at https://aws.amazon.com/blogs/security/how-to-prepare-for-aws-move-to-its-own-certificate-authority/ and use the test URLs there.
[2] Fetch the object from https://s3-ats-migration-test.s3.eu-west-3.amazonaws.com/test.jpg and verify a 200 response or that you see the green check mark in the test image.
[3] Create an S3 bucket in any of the following AWS regions and confirm you can fetch a test object over HTTPS: EU-WEST-3, EU-NORTH-1, ME-SOUTH-1, AP-NORTHEAST-3, AP-EAST-1, and US-GOV-EAST-1.
If Amazon Trust Services is not in the trust store, browsers will display an error message like https://untrusted-root.badssl.com/ and applications will show an application-specific error. If any of the tests fail, you must do one or more of the following actions: [A] Upgrade your operating system or browser that you are using, [B] Update your application to use CloudFront with a custom domain name and your own certificate, or [C] if you are using custom certificate trust stores or certificate pinning, include Amazon Trust Servicesâ€™ Certificate Authorities, see https://www.amazontrust.com/repository/. 
If you have additional questions, or require additional assistance, please open a case in the AWS Support Center at https://aws.amazon.com/support.
Frequently Asked Questions
Q1: Which CloudFront certificate is migrating?
CloudFrontâ€™s global wildcard *.cloudfront.net
Q2: Which S3 certificates are migrating?
S3 has several regional certificates, and its global wildcard certificate, migrating in the following AWS regions:
Global wildcard *.s...</t>
  </si>
  <si>
    <t>Notice of Upcoming New Hire - Elisha Chung</t>
  </si>
  <si>
    <t>Hello,
This email is to notify you of an upcoming employee hire in HR â€“ start date is February 16, 2021:
Distribution List &amp; Action Required
IT
RDS: Request for RDS/Network Access .
CanFit Update/Login
E-mail:Request for Outlook Account.
(please add access to the careers@e4calberta.org)
E-mail Signature Set-up:
-Â Â Â Â Â Â Â Â Â  Name: Elisha Chung
-Â Â Â Â Â Â Â Â Â  Position: Human Resources Administrator
-Â Â Â Â Â Â Â Â Â  Program: Human Resources
Folder Access:
-Â Â Â Â Â Â Â Â Â  N:\Business Division\Human Resources
-Â Â Â Â Â Â Â Â Â Â  N:\Leaders\Agency Leaders
Apple ID Creation:Request for Apple ID.
Cell-phone Access:Request for cell-phone.
Staff Distribution List:Leaders, All Staff
Shore-tel access required.
Please send account details to: Catherine Parent (cparent@e4calberta.org)
Payroll/Finance
Payroll details will be provided once processed.
Reception
Please update existing employee list.
Communications
For information only.
L&amp;D
For information only.
Facilities Manager (interim David P.)
Keys/Code Required for Alex Taylor.
Should you have any questions or concerns about this request, please let me know.
Thank you,
Catherine P.
CatherineParent e4c
Human Services Manager
CParent@e4calberta.org
C780-554-3676
9321 Jasper Avenue, Edmonton AB T5H 3T7
e4calberta.org
[image]
This message is intended for the use of the individual or entity to which it is addressed and may contain information that is privileged and confidential. If you are not the intended recipient or the employee responsible for delivery of the message to the intended recipient, please be advised that any dissemination, distribution or copying of this message is strictly prohibited. If you have received this message in error, please notify us immediately by telephone and return the original email to us or destroy this message.
[image]e4c supports environmental conservation - please print wisely.</t>
  </si>
  <si>
    <t>Notice of Upcoming New Hire - Bronwyn S. Ryan</t>
  </si>
  <si>
    <t>Hello,
This email is to notify you of an upcoming employee hire in HR:
Distribution List &amp; Action Required
IT
RDS: Request for RDS/Network Access .
CanFit Update/Login
E-mail:Request for Outlook Account.
(please add access to the careers@e4calberta.org)
E-mail Signature Set-up:
-Â Â Â Â Â Â Â Â Â  Name: Bronwyn S. Ryan
-Â Â Â Â Â Â Â Â Â  Position: Human Resources Generalist
-Â Â Â Â Â Â Â Â Â  Program: Human Resources
Folder Access:
-Â Â Â Â Â Â Â Â Â  N:\Business Division\Human Resources
-Â Â Â Â Â Â Â Â Â Â  N:\Leaders\Agency Leaders
Apple ID Creation:Request for Apple ID.
Cell-phone Access:Request for cell-phone.
Staff Distribution List:Leaders, All Staff
Shore-tel access required.
Please send account details to: Catherine Parent (cparent@e4calberta.org)
Payroll/Finance
Payroll details will be provided once processed.
Reception
Please update existing employee list.
Communications
For information only.
L&amp;D
For information only.
Facilities Manager (interim David P.)
Keys/Code Required for Alex Taylor.
Should you have any questions or concerns about this request, please let me know.
Thank you,
Catherine P.
CatherineParent e4c
Human Services Manager
CParent@e4calberta.org
C780-554-3676
9321 Jasper Avenue, Edmonton AB T5H 3T7
e4calberta.org
[image]
This message is intended for the use of the individual or entity to which it is addressed and may contain information that is privileged and confidential. If you are not the intended recipient or the employee responsible for delivery of the message to the intended recipient, please be advised that any dissemination, distribution or copying of this message is strictly prohibited. If you have received this message in error, please notify us immediately by telephone and return the original email to us or destroy this message.
[image]e4c supports environmental conservation - please print wisely.</t>
  </si>
  <si>
    <t>CILNCRNotifications@siteenergy.com</t>
  </si>
  <si>
    <t>Is this a Distribution List that sends to multiple people or just a shared mailbox
[image]Â Riccardo Francese
Business Process Manager
T:       +1 (780) 400-7487
C:       +1 (587) 990-0176
F:       +1 (780) 417-6496
E:       RFrancese@siterg.com
W:       WWW.SITERG.COM
#170, 120 Pembina Rd., Sherwood Park, AB, T8H 0M2
The information contained in this e-mail may       contain confidential or privileged material and is intended only for the       stated addressee(s). If you are not the valid addressee, the use,       disclosure, copying or distribution of this information is prohibited and       may be unlawful. If you have received this email message in error, please       notify the sender immediately and delete all copies of the message from       your computer. All information within or opinions expressed in this       message and/or any attachments are those of the author and are not       necessarily those of the Centurion Group.</t>
  </si>
  <si>
    <t>Mallory St. Laurent - New Employee Email (Alexandra Skrepnyk)</t>
  </si>
  <si>
    <t>Hi there,
Please create an email account for our new hire, Alexandra Skrepnyk. I have cc'd Bryce Johnston for approval.
alexandras@pulseveterinary.ca
*Please add to the CCS email group.
Thank you!
Mallory St. Laurent
Head of Client Services
Pulse Veterinary Specialists &amp; Emergency
450 Ordze Road, #320
Sherwood Park, AB T8B 0C5
P 780-570-9999Emallory@pulseveterinary.ca
[image]</t>
  </si>
  <si>
    <t>Renewal Notice</t>
  </si>
  <si>
    <t xml:space="preserve">Please quote a renewal for the item, config attached, which expires within 90 days. </t>
  </si>
  <si>
    <t>Fortinet Renewal Notice</t>
  </si>
  <si>
    <t xml:space="preserve">Please quote a renewal for the attached Fortinet, config attached, which expires within 90 days. 
</t>
  </si>
  <si>
    <t>Domain Renewal Notice - Expire 01-MAR-2021</t>
  </si>
  <si>
    <t>Move Email signatures to me new Surface tablet</t>
  </si>
  <si>
    <t>Hello,
Is there a way to move my email signatures from my old Surface tablet to my new one?
Kind regards,
Matthew Nasby</t>
  </si>
  <si>
    <t>Need Adobe Pro on my new Surface Tablet</t>
  </si>
  <si>
    <t>I got a new surface tablet on Friday and I need to have Adobe Pro moved from my old surface tablet to the new one.
Kind regards,
Matthew Nasby</t>
  </si>
  <si>
    <t>Internet/wifi issues in one office</t>
  </si>
  <si>
    <t>We are having internet strength issue in one office in the house side of the building.Â  This effects video conference mostly.
One user for sure uses wifi, Lisa Pruden is the other person in that office and I am not sure how her computer connects as she is mostly at home.
We would like to have someone review the network connections in this room the next time we have a site visit.
Cheers,
Chris</t>
  </si>
  <si>
    <t>Office365 User</t>
  </si>
  <si>
    <t>Can we please add the temp user to Office365 and the Cloud access? We did not add them in the fall when we set everything up as we weren't using the account. Now I have hired someone and need to "activate" them.
The current username is Temp and password was W!nter*2020.
They need access to email (temp@edpub.org) and shared drives.
I'm working from home and can be reached on my cell - 780-915-4848.
Thank you. Tracy</t>
  </si>
  <si>
    <t>Theresa Watson - Access to Monique Auffrey personal file drive</t>
  </si>
  <si>
    <t>### Summary of Issue_x000D_
Access to Monique Auffrey personal file drive_x000D_
  _x000D_
### Details of Issue_x000D_
Please provide access to Monique Affrey's personal file drive the Theresa Watson_x000D_
  _x000D_
### Have you opened a ticket about this issue before?  _x000D_
 No  _x000D_
  _x000D_
### How many users are impacted by this issue?  _x000D_
 One  _x000D_
  _x000D_
### How would you classify this issue?  _x000D_
 Work Impacting  _x000D_
  _x000D_
### If your callback number is different than what's on record, please provide it below._x000D_
403-816-6187</t>
  </si>
  <si>
    <t>Bryan Fayant - Connecting to Shared Drive/Issues with Wifi while Offsite</t>
  </si>
  <si>
    <t>Hey Guys
Iâ€™m at Smoky Lake a B&amp;B and, I canâ€™t connect to my shared drive ? can you get this going
Maybe, I need a newer computer or updated?
[MM-logo-3 - Copy]
Bryan Fayant, Disaster Recovery Strategist
McMurray MÃ©tis (MNA Local 1935)
441 Sakitawaw Trail
Fort McMurray, AB T9H 4P3
Mobile: 780-646-3374
Office:780-743-2659
Email:bryan.fayant@McMurrayMetis.org
Facebook:www.facebook.com/McMurrayMetis
Twitter:www.twitter.com/McMurrayMetis
Website:www.McMurrayMetis.org
PPlease consider the environment before printing this email.
This message contains confidential information and is intended only for the named addressees.
If you believe that you received this email in error please notify the original sender and delete all copies.</t>
  </si>
  <si>
    <t>Email deactivation</t>
  </si>
  <si>
    <t>Hi There,
Can you please remove the account for Alyssia Baller. Once complete, please email myself and Mallory@pulseveterinary.caso that she can send out an informational email to staff.
Thank-you,
Bryce Johnston, BComm, CPA
Hospital Director
Pulse Veterinary Specialists &amp; Emergency
450 Ordze Road, Unit #320
Sherwood Park, AB T8B 0C5
Ph: (780) â€“ 570-9999
[image]</t>
  </si>
  <si>
    <t>CatchAll</t>
  </si>
  <si>
    <t>Renewal - GoDaddy reseller account</t>
  </si>
  <si>
    <t xml:space="preserve">Please quote a renewal for the attached item, config attached, which expires within 90 days. 
</t>
  </si>
  <si>
    <t>Domain Renewal Notice - Expires 28-FEB-2021</t>
  </si>
  <si>
    <t>Quote Request - ACSA - Surface USB C to HDMI Adapter</t>
  </si>
  <si>
    <t>### End User Hardware  _x000D_
  _x000D_
### What company is this quote for?_x000D_
Alberta Construction Safety Association_x000D_
  _x000D_
### Who made this request and why?_x000D_
Matt Nasby - needs display adapter_x000D_
  _x000D_
### Give this request a name_x000D_
Surface USB C to HDMI Adapter_x000D_
  _x000D_
### Who should the quote be addressed to?  _x000D_
 The primary contact in Connectwise  _x000D_
  _x000D_
### Which location is the product for?_x000D_
Edmonton_x000D_
  _x000D_
### Is there an existing ticket on another Connectwise board? If so what is the ticket number?_x000D_
1350817_x000D_
  _x000D_
### Which ND location is it needed at?  _x000D_
 Dropshipped to client site directly from distribution  _x000D_
  _x000D_
### What is the ship-to address?_x000D_
225 Parson RD SW, Edmoton, AB., T6X 0W6_x000D_
  _x000D_
### When is it needed by OR when is the next site visit for the client's location?  _x000D_
Fri 5 Feb, 2021  _x000D_
  _x000D_
### Do you need labour quoted?  _x000D_
 No  _x000D_
  _x000D_
### What products do you need on this quote?  _x000D_
 Video adapter  _x000D_
  _x000D_
### Video Adapter(s)  _x000D_
  _x000D_
### Do you need video adapter(s)?  _x000D_
 Yes  _x000D_
  _x000D_
### Video port(s) on computer  _x000D_
 Other  _x000D_
  _x000D_
### What type of video port_x000D_
USB C_x000D_
  _x000D_
### Video port(s) on monitor(s)  _x000D_
 HDMI  _x000D_
  _x000D_
### Number of monitors to connect (per computer)_x000D_
1_x000D_
  _x000D_
### Comment_x000D_
For presentation use_x000D_
  _x000D_
### What products do you need quoted?_x000D_
1 USB C to HDMI adapter</t>
  </si>
  <si>
    <t>Advisory Service Board Rename</t>
  </si>
  <si>
    <t>### Is this request for something new, or to improve something that already exists?  _x000D_
 New Idea or Request  _x000D_
  _x000D_
### What type of solution is this?  _x000D_
 Other  _x000D_
  _x000D_
### Please estimate how many people would use or directly benefit from this solution._x000D_
6_x000D_
  _x000D_
### How often would you estimate this solution would be used or triggered?  _x000D_
 Daily  _x000D_
  _x000D_
### Please estimate the time or cost savings this solution provides each user or case._x000D_
Unknown_x000D_
  _x000D_
### In the field below, provide some details. Try to focus on your vision of the end result. Don't worry about getting it all perfect - we're going to call you before we start work.  _x000D_
TIP: If this is for a new dashboard or report, you could sketch up a concept on a napkin, in Paint, or Excel, and attach it to this request.  _x000D_
  _x000D_
### Other Details_x000D_
Please rename the "Future Planning" board to "Advisory" and update the status options to 
Queued
Ready to Start
In Progress
Waiting On Client
Waiting On 3rd Party
&gt;Resolved</t>
  </si>
  <si>
    <t>VM Setup</t>
  </si>
  <si>
    <t>I would like a VM setup very similar to SRG-ESRISRV
Called it: SRG-ESRILICENSE
Would it be possible to have this outside our DMZ with public IP?
[image]Â Riccardo Francese
Business Process Manager
T:       +1 (780) 400-7487
C:       +1 (587) 990-0176
F:       +1 (780) 417-6496
E:       RFrancese@siterg.com
W:       WWW.SITERG.COM
#170, 120 Pembina Rd., Sherwood Park, AB, T8H 0M2
The information contained in this e-mail may       contain confidential or privileged material and is intended only for the       stated addressee(s). If you are not the valid addressee, the use,       disclosure, copying or distribution of this information is prohibited and       may be unlawful. If you have received this email message in error, please       notify the sender immediately and delete all copies of the message from       your computer. All information within or opinions expressed in this       message and/or any attachments are those of the author and are not       necessarily those of the Centurion Group.</t>
  </si>
  <si>
    <t>Joanna Batchelor</t>
  </si>
  <si>
    <t>EQ SAGE access changed?</t>
  </si>
  <si>
    <t>Hello,
My SAGE access has somehow changed for the Equipment module. I am no longer able to update GL prefix which I should have access to. Can you please look into this?
[image]
Thank you.
[image]Â Joanna Batchelor
Corporate Controller
T:       +1 (403) 341-0030
C:       +1 (587) 590-3973
F:       +1 (403) 341-0089
E:       JBatchelor@siterg.com
W:       WWW.SITERG.COM
27312 - 213 TWP 394, Blackfalds, AB, T0M 0J0
The information contained in this e-mail may       contain confidential or privileged material and is intended only for the       stated addressee(s). If you are not the valid addressee, the use,       disclosure, copying or distribution of this information is prohibited and       may be unlawful. If you have received this email message in error, please       notify the sender immediately and delete all copies of the message from       your computer. All information within or opinions expressed in this       message and/or any attachments are those of the author and are not       necessarily those of the Centurion Group.
From: Robyn Pregitzer &lt;RPregitzer@forcecopps.com&gt; 
Sent: Friday, January 29, 2021 3:21 PM
To: Joanna Batchelor &lt;JBatchelor@siterg.com&gt;; Nicole Vander Vinne &lt;NVanderVinne@siterg.com&gt;
Subject: RE: Rental GL Adjustment
4171 and 4172 are only supposed to be rented for 1 month
4174 is a 2 week rental
[image]
Robyn Pregitzer
Project Administrator
T: +1 (403) 341-0030
C:
F: +1 (403) 341-0089
E:RPregitzer@forcecopps.com
W:WWW.FORCECOPPS.COM
27312 - 213 TWP 394
Aspelund Industrial Park, Blackfalds, Alberta, T0M 0J0
The information contained in this e-mail may contain confidential or privileged material and is intended only for the stated addressee(s). If you are not the valid addressee, the use, disclosure, copying or distribution of this information is prohibited and may be unlawful. If you have received this email message in error, please notify the sender immediately and delete all copies of the message from your computer. All information within or opinions expressed in this message and/or any attachments are those of the author and are not necessarily those of the Centurion Group.
From: Joanna Batchelor &lt;JBatchelor@siterg.com&gt; 
Sent: Friday, January 29, 2021 3:19 PM
To: Robyn Pregitzer &lt;RPregitzer@forcecopps.com&gt;; Nicole Vander Vinne &lt;NVanderVinne@siterg.com&gt;
Subject: RE: Rental GL Adjustment
Are these just short term rentals?
[image]
Joanna Batchelor
Corporate Controller
T: +1 (403) 341-0030
C: +1 (587) 590-3973
F: +1 (403) 341-0089
E:JBatchelor@siterg.com
W:WWW.SITERG.COM
27312 - 213 TWP 394, Blackfalds, AB, T0M 0J0
The information contained in this e-mail may contain confidential or privileged material and is intended only for the stated addressee(s). If you are not the valid addressee, the use, disclosure, copying or distribution of this information is prohibited and may be unlawful. If you have received this email message in error, please notify the sender immediately and delete all copies of the message from your computer. All information within or opinions expressed in this message and/or any attachments are those of the author and are not necessarily those of the Centurion Group.
From: Robyn Pregitzer &lt;RPregitzer@forcecopps.com&gt; 
Sent: Friday, January 29, 2021 1:35 PM
To: Nicole Vander Vinne &lt;NVanderVinne@siterg.com&gt;; Joanna Batchelor &lt;JBatchelor@siterg.com&gt;
Subject: Rental GL Adjustment
Hi,
Can one of you please change the GL on 90-4171, 90-4172 and 90-7174 from 70-10 to 61-10?
90-4171 and 90-4172 are on job 56-21-L7446 and 90-4174 is on 56-20-L7432.
Thank you!
[image]
Robyn Pregitzer
Project Administrator
T: +1 (403) 341-0030
C:
F: +1 (403) 341-0089
E:RPregitzer@forcecopps.com
W:WWW.FORCECOPPS.COM
27312 - 213 TWP 394
Aspelund Industrial Park, Blackfalds, Alberta, T0M 0J0
The information contained in this e-mail may contain confidential or privileged material and is intended only for the stated addressee(s). If you are not the valid addressee, the use, disclosure, co...</t>
  </si>
  <si>
    <t>Access to old server profile - Zimmerman</t>
  </si>
  <si>
    <t>Good afternoon,
Please let this email serve as my approval for MNP to help Darren Wright gain access to any files/programs saved under Steven Zimmermansâ€™s server profile. I have no concerns about the old profile password being changed and provided to Darren to login as Steve OR setting Darren up with a link on his server profile to access Steveâ€™s files. Please call Darren Wright directly at 403-877-3849 in order to discuss what options are available for him to gain access to the information/files he needs &amp; execute what works best.
If his server profile was archived, please advise which external drive we need to plug in.
If his server profile was deleted, please let us know if we have any other options.
If you need additional approval, please call me on my cell 403-352-7394.
Thanks,
[Guylaine Email]</t>
  </si>
  <si>
    <t>Julie Nadeau - Laptop</t>
  </si>
  <si>
    <t>### Summary of Issue_x000D_
Laptop_x000D_
  _x000D_
### Details of Issue_x000D_
Remotely installing new laptop_x000D_
  _x000D_
### Have you opened a ticket about this issue before?  _x000D_
 No  _x000D_
  _x000D_
### How many users are impacted by this issue?  _x000D_
 One  _x000D_
  _x000D_
### How would you classify this issue?  _x000D_
 Other</t>
  </si>
  <si>
    <t>Chris Ippolito - Bug with Pulse Vet</t>
  </si>
  <si>
    <t>### Summary of Issue_x000D_
Bug with Pulse Vet_x000D_
  _x000D_
### Details of Issue_x000D_
For reference, ticket 1355086. When Lukas emails support@, CW is assigning the contact to Kim._x000D_
  _x000D_
### Have you opened a ticket about this issue before?  _x000D_
 No  _x000D_
  _x000D_
### How many users are impacted by this issue?  _x000D_
 Some  _x000D_
  _x000D_
### How would you classify this issue?  _x000D_
 Minor Inconvenience</t>
  </si>
  <si>
    <t>Sond Industries Ltd.</t>
  </si>
  <si>
    <t>Satbir Sond</t>
  </si>
  <si>
    <t>Sond Industries - Quickbooks outage</t>
  </si>
  <si>
    <t>### Summary of Issue_x000D_
Sond Industries - Quickbooks outage_x000D_
  _x000D_
### Details of Issue_x000D_
Onboarding PS had a conversation with "Eddie" regarding Quickbooks outage.
Though the onboarding is still in-progress, we do have sufficient information about the Sond environment to provide some sort of diagnosis/support.
Please check with Sond re: their Quickbooks._x000D_
  _x000D_
### Have you opened a ticket about this issue before?  _x000D_
 No  _x000D_
  _x000D_
### How many users are impacted by this issue?  _x000D_
 Some  _x000D_
  _x000D_
### How would you classify this issue?  _x000D_
 Work Impacting</t>
  </si>
  <si>
    <t>Copy of current service agreement</t>
  </si>
  <si>
    <t>Good afternoon,
Our auditors have requested a copy of our current service agreement for IT support.
Can a copy be emailed to me please?
Cheers,
Chris Quinn
CFO
[image]
9910-103rd Street
Edmonton, AB T5K 2V7
780.426.0015 ext 117
780.970.0056 (cell)
www.ecfoundation.org
Visit ECF on Facebook
or follow us on Twitter!
[Description: Description: imagesCAKE7O7W][http://ec.europa.eu/digital-agenda/futurium/sites/futurium/modules/features/custom/futurium/social-icons/Tw.png]
No Quit, Never Stop!
DISCLAIMER
This communication is intended for the use of the recipient to whom it is addressed, and may contain confidential, personal or privileged information.Â  Please contact us immediately if you are not the intended recipient of this communication, and do not copy, distribute or take action relying on it.Â  Any communication received in error, or subsequent reply should be deleted or destroyed.
If you no longer wish to receive electronic communication from Edmonton Community Foundation, please send an email to: I do not give consent</t>
  </si>
  <si>
    <t>Price, Kate - Termination, January 29, 2021</t>
  </si>
  <si>
    <t>Good afternoon,
Please be advised that Kate Priceâ€™s last day withcarya is today, January 29, 2021 â€“ please see attached form for details and let me know if you have any questions.
Thanks,
Angeli
[image]
Angeli AlipioBBA
HR Generalist
T: 403.205.5233 |C: 403.619.7126 | E: AngeliA@caryacalgary.ca| F: 403.205.5281
180, 839 5 Ave SW | Calgary, AB | T2P 3C8
[image]Â [image]Â [image]
carya (formerly Calgary Family Services)
We are working remotely to help Calgarians through the COVID-19 pandemic. Please reach out to us if you need support.carya is here for you.
In the spirit of our efforts to promote reconciliation, we acknowledge the traditional territories and oral practices of the Blackfoot, the Tsuut'ina, the Stoney Nakoda First Nations, the MÃ©tis Nation Region 3, and all people who make their homes in the Treaty 7 region of Southern Alberta. We also respectfully acknowledge that the province of Alberta is comprised of Treaty 6, Treaty 7, and Treaty 8 territory, the traditional lands of First Nations and MÃ©tis peoples.
No form of electronic communication is secure and may be intercepted by others. Carya cannot guarantee the receipt of electronic communication nor a timely response. Where communication is confidential or time sensitive we recommend you call 403-269-9888 during business hours (Monday-Friday, 8:30am-4:30pm). For immediate crisis response please contact the Distress Centre Crisis Line at 403-266-HELP (4537) and in case of an emergency dial 911.
This e-mail is intended solely for the person or entity to which it is addressed and may contain confidential and/or privileged information. Any review, dissemination, copying, printing, forwarding or other use of this e-mail by persons or entities other than the addressee is prohibited. If you have received this e-mail in error, please contact the sender immediately and delete the material from your computer.</t>
  </si>
  <si>
    <t>Jeffrey Meadows - Update Group2 Ticket Template</t>
  </si>
  <si>
    <t>### Summary of Issue_x000D_
Update Group2 Ticket Template_x000D_
  _x000D_
### Details of Issue_x000D_
Please update the Red Deer ticket template to include an item to check the disk health on the Red Deer QNAP, SAN, and the Edmonton QNAP._x000D_
  _x000D_
### Have you opened a ticket about this issue before?  _x000D_
 No  _x000D_
  _x000D_
### How many users are impacted by this issue?  _x000D_
 One  _x000D_
  _x000D_
### How would you classify this issue?  _x000D_
 Minor Inconvenience</t>
  </si>
  <si>
    <t>Sara-Jean Jodoin</t>
  </si>
  <si>
    <t>Sara-Jean Jodoin - Remove Files</t>
  </si>
  <si>
    <t>### Summary of Issue_x000D_
Remove Files_x000D_
  _x000D_
### Details of Issue_x000D_
Is it possible to have some files removed off my desktop? I do not have access to beable to removed anything that I have sent to my desktop_x000D_
  _x000D_
### Have you opened a ticket about this issue before?  _x000D_
 No  _x000D_
  _x000D_
### How many users are impacted by this issue?  _x000D_
 One  _x000D_
  _x000D_
### How would you classify this issue?  _x000D_
 Minor Inconvenience  _x000D_
  _x000D_
### If your callback number is different than what's on record, please provide it below._x000D_
6137036200</t>
  </si>
  <si>
    <t>Kim Hawkes</t>
  </si>
  <si>
    <t>Hi Chris,
I havenâ€™t heard anything back regarding this ticket.Â  Is the install of this app underway?
Thanks,
LK
[image]
Dr. Lukas Kawalilak
DVM, Diplomate ACVR
Specialist in Veterinary Diagnostic Imaging
E: lukas@pulseveterinary.ca
P: 780.570.9999
A: 450 Ordze Road, Unit #320.Â  Sherwood Park, AB T8B 0C5
www.pulseveterinary.ca
From: Chris Ippolito &lt;Chris.Ippolito@mnp.ca&gt; 
Sent: January 26, 2021 2:44 PM
To: Support - MNP IT Managed Services &lt;support@mnptechnology.ca&gt;
Cc: Lukas Kawalilak &lt;Lukas@pulseveterinary.ca&gt;
Subject: Fw: Submitted ticket
Hi Lukas,
I'm sending this in to have a ticket created.
Attention Support: Please install MPN Client Portal to Pulse Vet workstations. Permissions for Lukas and Kim should be to view 'All Tickets'
Chris Ippolito
Manager, Client Experience
PH.Â +1 7804246398 Ext 312
14505 114th Avenue NW
Edmonton, AB
T5M2Y8
Chris.Ippolito@mnp.ca
mnp.ca
[image]
[image]
From: Lukas Kawalilak &lt;Lukas@pulseveterinary.ca&gt;
Sent: Tuesday, January 26, 2021 2:34 PM
To: Chris Ippolito &lt;Chris.Ippolito@mnp.ca&gt;
Subject: RE: Submitted ticket
CAUTION: This email originated from outside of the MNP network. Be cautious of any embedded links and/or attachments.
MISE EN GARDE: Ce courriel ne provient pas du rÃ©seau de MNP. MÃ©fiez-vous des liens ou piÃ¨ces jointes quâ€™il pourrait contenir.
Hi Chris,
It looks like it has not been installed on the workstations here.Â  There is the NextDigital Monitoring Service, but not the mnp one.
[image]
Yes, as we discussed on Friday, if all submitted tickets could be sent to myself, Kim, and Bryce.Â  Kim does not check her email during the day so any updates are not received.Â  She also receives hundreds of emails a day, so the tickets get lost in the pile.Â  Bryce and myself are able to give more attention to the IT issues.
Thanks,
LK
[image]
Dr. Lukas Kawalilak
DVM, Diplomate ACVR
Specialist in Veterinary Diagnostic Imaging
E: lukas@pulseveterinary.ca
P: 780.570.9999
A: 450 Ordze Road, Unit #320.Â  Sherwood Park, AB T8B 0C5
www.pulseveterinary.ca
From: Chris Ippolito &lt;Chris.Ippolito@mnp.ca&gt; 
Sent: January 26, 2021 1:56 PM
To: Lukas Kawalilak &lt;Lukas@pulseveterinary.ca&gt;
Subject: Re: Submitted ticket
Great to hear. Client Portal should already be installed on your workstations.
If it is, you will find it in your systems tray (bottom right corner). It would be a green MNP icon. If you don't see it right away, click the arrow and it may be there.
If you don't see anything, let me know and I'll have a ticket created to get that set up for you guys. When I do, would you and Kim like to see all the tickets submitted from Pulse Vet, or just your own?
[image]
Chris Ippolito
Manager, Client Experience
PH.Â +1 7804246398 Ext 312
14505 114th Avenue NW
Edmonton, AB
T5M2Y8
Chris.Ippolito@mnp.ca
mnp.ca
[image]
[image]
From: Lukas Kawalilak &lt;Lukas@pulseveterinary.ca&gt;
Sent: Tuesday, January 26, 2021 1:37 PM
To: Chris Ippolito &lt;Chris.Ippolito@mnp.ca&gt;
Subject: RE: Submitted ticket
CAUTION: This email originated from outside of the MNP network. Be cautious of any embedded links and/or attachments.
MISE EN GARDE: Ce courriel ne provient pas du rÃ©seau de MNP. MÃ©fiez-vous des liens ou piÃ¨ces jointes quâ€™il pourrait contenir.
Hi Chris,
I just heard from Brian confirming an install time on Friday.
I was not aware of the client portal prior to this conversationâ€¦what is the website?Â  I cant find it easily on MNPtechnology.ca.Â  And what is Pulseâ€™s username and password?Â  That will be extremely helpful in keeping track of tickets since all of the correspondence seems to still be set to send to Kim.
Thanks,
LK
[image]
Dr. Lukas Kawalilak
DVM, Diplomate ACVR
Specialist in Veterinary Diagnostic Imaging
E: lukas@pulseveterinary.ca
P: 780.570.9999
A: 450 Ordze Road, Unit #320.Â  Sherwood Park, AB T8B 0C5
www.pulseveterinary.ca
From: Chris Ippolito &lt;Chris.Ippolito@mnp.ca&gt; 
Sent: January 26, 2021 1:30 PM
To: Lukas Kawalilak &lt;Lukas@pulseveterinary.ca&gt;
Subject: Re: Su...</t>
  </si>
  <si>
    <t>FW: Not read: Today Expiration Date</t>
  </si>
  <si>
    <t>I didnâ€™t send an email to the address noted below.Â  I did get one earlier this morning which I deleted.
From:Microsoft Outlook &lt;MicrosoftExchange329e71ec88ae4615bbc36ab6ce41109e@triglobalppm.onmicrosoft.com&gt; 
Sent: Friday, January 29, 2021 12:10 PM
To: Coral Collins
Subject: Undeliverable: Not read: Today Expiration Date
Delivery has failed to these recipients or groups:
[Firstname]-notifications@flamingice.co
The format of the email address isn't correct. A correct address looks like this: someone@example.com. Please check the recipient's email address and try to resend the message.
Diagnostic information for administrators:
Generating server: CO2PR04MB2213.namprd04.prod.outlook.com
[Firstname]-notifications@flamingice.co
Remote Server returned '550 5.1.3 STOREDRV.Submit; invalid recipient address'
Original message headers:
```
Received: from CO2PR04MB2213.namprd04.prod.outlook.com
```
```
(fe80::10a2:5ece:bbc0:5308) by CO2PR04MB2213.namprd04.prod.outlook.com
```
```
(fe80::10a2:5ece:bbc0:5308%10) with mapi id 15.20.3805.021; Fri, 29 Jan
```
```
2021 19:10:12 +0000
```
```
Content-Type: application/ms-tnef; name="winmail.dat"
```
```
Content-Transfer-Encoding: binary
```
```
From: Coral Collins &lt;coral@landrex.com&gt;
```
```
To: "Firstname-notifications@flamingice.co"
```
```
&lt;Firstname-notifications@flamingice.co&gt;
```
```
Subject: Not read: Today Expiration Date
```
```
Thread-Topic: Today Expiration Date
```
```
Thread-Index: AQHW9llRhcPstF4D8E69ZgiqYjjBoA==
```
```
Importance: high
```
```
X-Priority: 1
```
```
Date: Fri, 29 Jan 2021 19:10:12 +0000
```
```
Message-ID: &lt;68ca5b2a61e242c8ba0b1083546978e8@landrex.com&gt;
```
```
Accept-Language: en-CA, en-US
```
```
Content-Language: en-CA
```
```
X-MS-Has-Attach:
```
```
X-MS-TNEF-Correlator: &lt;68ca5b2a61e242c8ba0b1083546978e8@landrex.com&gt;
```
```
MIME-Version: 1.0
```
```
X-MS-PublicTrafficType: Email
```</t>
  </si>
  <si>
    <t>Mark Holmgren - User Offboarding - Matt Steringa</t>
  </si>
  <si>
    <t>Remove two Apps for Business licenses from CADA</t>
  </si>
  <si>
    <t>### What company is this quote for?_x000D_
Calgary Arts Developement_x000D_
  _x000D_
### Is there an existing ticket on another Connectwise board? If so what is the ticket number?_x000D_
1321559_x000D_
  _x000D_
### Add or Remove CSP licenses  _x000D_
 Remove licenses  _x000D_
  _x000D_
### March 30, 2020 New Microsoft 365 offerings for small and medium-sized businesses. (https://www.microsoft.com/en-us/microsoft-365/blog/2020/03/30/new-microsoft-365-offerings-small-and-medium-sized-businesses/)  _x000D_
  _x000D_
### What Type of license  _x000D_
 Microsoft 365 Apps for Business  _x000D_
  _x000D_
### How many licenses to add/remove?_x000D_
2</t>
  </si>
  <si>
    <t>Kathy Saunderson</t>
  </si>
  <si>
    <t>Hi there. I am unclear what the attached emails indicate. I sent emails to both addresses indicated and got this bounce-back. Can you clarify.
Thanks,
Kathy
Kathy Saunderson, B.Comm
Professional Development OfficerÂ 
The Alberta Association of Architects
780.432.0224 ext. 218
Please note that AAA staff are working remotely due to the COVID situation. The Duggan House is closed to the public until further notice. We strive to maintain a high level of service and will respond within 3 business days. Please visit www.aaa.ab.ca for further updates and thank you for your patience during extraordinary times.</t>
  </si>
  <si>
    <t>Breanne Lukiw</t>
  </si>
  <si>
    <t>Breanne Lukiw - Course issues</t>
  </si>
  <si>
    <t>### Summary of Issue_x000D_
Course issues_x000D_
  _x000D_
### Details of Issue_x000D_
Tanis and I tried to attend an online course and had some issues. We needed to have Free adobe connect client which we couldnt download. As well Tanis's computer has no audio whatsoever._x000D_
  _x000D_
### Have you opened a ticket about this issue before?  _x000D_
 No  _x000D_
  _x000D_
### How many users are impacted by this issue?  _x000D_
 Some  _x000D_
  _x000D_
### How would you classify this issue?  _x000D_
 Minor Inconvenience  _x000D_
  _x000D_
### If your callback number is different than what's on record, please provide it below._x000D_
780-665-3364</t>
  </si>
  <si>
    <t>[MEDIUM] Alert for Sophos Central [CTS Industries]</t>
  </si>
  <si>
    <t>CAUTION: This email originated from outside of the MNP network. Be cautious of any embedded links and/or attachments.
MISE EN GARDE: Ce courriel ne provient pas du rÃ©seau de MNP. MÃ©fiez-vous des liens ou piÃ¨ces jointes quâ€™il pourrait contenir.
This email alert was generated by Sophos Central. Do not reply to this email.
[Sophos Central]
Sophos Central Event Details for CTS Industries
What happened: PUA detected: 'Coinhive JavaScript cryptocoin miner' at '\.\GLOBALROOT\Device\HarddiskVolumeShadowCopy5\pagefile.sys'
Where it happened: CTS-L-5596
Path: \.\GLOBALROOT\Device\HarddiskVolumeShadowCopy5\pagefile.sys
What was detected: Coinhive JavaScript cryptocoin miner
User associated with device: CTS\ErwinB
How severe it is: Medium
Help sources:
Sophos Central specific articles: https://community.sophos.com/kb?TopicId=9000.
Sophos Central Frequently Asked Questions (FAQ) - https://community.sophos.com/kb/en-us/119598.
Sign in to https://central.sophos.com/ for more information
Note: Depending on the alert email frequency setting you choose, we will either send one email for one alert of each type (for example, an alert for a protection-failed event) in any 24-hour period, or send one email for each alert. You might have more alerts of the same type in the dashboard of the Sophos Central console.</t>
  </si>
  <si>
    <t>Lyndon Will</t>
  </si>
  <si>
    <t>Quote Request - MNP - New Dock or Laptop</t>
  </si>
  <si>
    <t>### End User Hardware  _x000D_
  _x000D_
### What company is this quote for?_x000D_
MNP_x000D_
  _x000D_
### Who made this request and why?_x000D_
Lyndon_x000D_
  _x000D_
### Give this request a name_x000D_
New Dock or Laptop_x000D_
  _x000D_
### Who should the quote be addressed to?  _x000D_
 The primary contact in Connectwise  _x000D_
  _x000D_
### Which location is the product for?_x000D_
Edmonton_x000D_
  _x000D_
### Which ND location is it needed at?  _x000D_
 Next Digital Edmonton  _x000D_
  _x000D_
### When is it needed by OR when is the next site visit for the client's location?  _x000D_
Mon 15 Feb, 2021  _x000D_
  _x000D_
### Do you need labour quoted?  _x000D_
 No  _x000D_
  _x000D_
### What products do you need on this quote?  _x000D_
 Laptop/Ultrabook/Tablet Computer  _x000D_
 Accessories (Mice, keyboards, RAM/SSD upgrades etc)  _x000D_
  _x000D_
### Laptop/Ultrabook/Tablet Computer  _x000D_
  _x000D_
### Which tier of computer do you want quoted?  _x000D_
 Performance Tier Laptop - i7, 16GB RAM, 512GB SSD, 13.5" Touchscreen, 3 year warranty with Accidental Damage Protection  _x000D_
  _x000D_
### Quantity?_x000D_
1_x000D_
  _x000D_
### Accessories?  _x000D_
 Docking Station  _x000D_
  _x000D_
### Video Adapter(s)  _x000D_
  _x000D_
### Do you need video adapter(s)?  _x000D_
 No  _x000D_
  _x000D_
### Accessories  _x000D_
  _x000D_
### What do you need?  _x000D_
 Mouse/Keyboard  _x000D_
  _x000D_
### Mouse/Keyboard  _x000D_
 Microsoft Wireless Desktop 900 (Mouse + Keyboard)  _x000D_
  _x000D_
### Mouse/Keyboard -&gt; Quantity required_x000D_
1_x000D_
  _x000D_
### What products do you need quoted?_x000D_
Need a laptop and dock solution that can support Microsoft Teams with Video while docked.</t>
  </si>
  <si>
    <t>Ryan Clark</t>
  </si>
  <si>
    <t>Hardware issues on work terminal</t>
  </si>
  <si>
    <t>Hello,
This is Ryan Clark from National Neon. I have been running into some hardware instability on my work terminal since yesterday. It keeps saying the Hard Drive is not found. Sometimes it will run okay, but then it will freeze up or blue screen.Â 
It all began when Windows update ran yesterday when I was leaving work. I arrived in the morning today to see that the update was looping and failing, rolling back changes and then trying again upon reboot. It finally booted into windows but is terribly unstable and currently gone back to HDD not found on boot up.
It is unit NN-D-6106 I believe, but I can't look it up right now.
Thank you,
Ryan Clark
403-860-2771
Sent from my Samsung Galaxy smartphone.</t>
  </si>
  <si>
    <t>Quote Request - MNP - New Webcam with Mic</t>
  </si>
  <si>
    <t>### End User Hardware  _x000D_
  _x000D_
### What company is this quote for?_x000D_
MNP_x000D_
  _x000D_
### Who made this request and why?_x000D_
Ryley's webcam broke_x000D_
  _x000D_
### Give this request a name_x000D_
New Webcam with Mic_x000D_
  _x000D_
### Who should the quote be addressed to?  _x000D_
 Someone else  _x000D_
  _x000D_
### Who should it be addressed to?_x000D_
Lyndon Will I assume_x000D_
  _x000D_
### Which location is the product for?_x000D_
Edmonton_x000D_
  _x000D_
### Which ND location is it needed at?  _x000D_
 Next Digital Edmonton  _x000D_
  _x000D_
### When is it needed by OR when is the next site visit for the client's location?  _x000D_
Wed 10 Feb, 2021  _x000D_
  _x000D_
### Do you need labour quoted?  _x000D_
 No  _x000D_
  _x000D_
### What products do you need on this quote?  _x000D_
 Accessories (Mice, keyboards, RAM/SSD upgrades etc)  _x000D_
  _x000D_
### Accessories  _x000D_
  _x000D_
### What do you need?  _x000D_
 Other  _x000D_
  _x000D_
### What do you need?_x000D_
https://www.amazon.com/s?k=nexigo+webcam&amp;crid=2QTS7F7CCKGZ2&amp;sprefix=nexigo+webcam%2Caps%2C239&amp;ref=nb_sb_ss_ts-a-p_1_13_x000D_
  _x000D_
### What products do you need quoted?_x000D_
Nexigo Webcam</t>
  </si>
  <si>
    <t>Faber Inc.</t>
  </si>
  <si>
    <t>Cindy Kellerman</t>
  </si>
  <si>
    <t>On Hold Message for Faber Inc. - Christmas Greeting</t>
  </si>
  <si>
    <t>A client brought this to my attention, and I tried it myself to confirm.
When a client is put on hold, the message says:
â€œFaber Inc Â wishes all our clients a healthy holiday season and a happy new year.
Please update to a more suitable message.
Thanks,
CindyÂ Kellerman
AdministrativeÂ Assistant/Receptionist
[image]
5807 â€“ 104 Street, Edmonton, AB T6H 2K4
DÂ 780.431.8531
EÂ ckellerman@faberinc.ca
T 780.944.1177TF 1.877.944.1177F 780.944.6979Â faber.ca
[image]
The information transmitted, including attachments, is intended only for the person(s) or entity to which it is addressed and may contain confidential and/or privileged material. Any review, retransmission, dissemination or other use of, or taking of any action in reliance upon this information by persons or entities other than the intended recipient is prohibited. If you received this in error, please contact the sender and destroy any copies of this information.</t>
  </si>
  <si>
    <t>IP-IT MS365 Licenses - Project Plan 3</t>
  </si>
  <si>
    <t>I am having difficulty reassigning a licence for MS Project Plan 3.Â  I would like to remove the licence assigned to Nancy Vruwink and reassign to Bianca Hilbert.Â  In the licencing portal when I â€˜Unassign Licenceâ€™ from Nancy it does not seem to work.
[image]
I also attempted to remove it from her user account directly using â€˜Manage Product Licencesâ€™ and it wouldnâ€™t allow removal there either.
[image]
Thanks in advance!
-jg
Jon Gulayets, Associate
Group2
Architecture Interior Design Ltd.
200, 4706 Â 48th Â Avenue Red Deer AB T4N 6J4
T +1Â 403 340 2200 x 422
C +1 403 872 7422
group2.ca</t>
  </si>
  <si>
    <t>Jeff Hunter</t>
  </si>
  <si>
    <t>Jeff Hunter - Computer Access</t>
  </si>
  <si>
    <t>Hello,Â  We have a desktop that was used by an employee that has now been working remotely off of a laptop and we would like to hook up this desktop to use for training purposes logging into ms teams.Â  I attempted to log in and it is saying that the computer does not have security to log on.Â  Please connect with me to try and get this connected.Â  Thanks.
With Best Regards
Jeff Hunter
Production Manager
Baymag Inc.
PO Box 220
Exshaw, Alberta
Canada
Tel: (403) 673-3790 ext 223
Fax: (403) 673-3767
Email:jeff.hunter@baymag.com</t>
  </si>
  <si>
    <t>Riccardo Francese - Clayton Gayle --&gt; Galye</t>
  </si>
  <si>
    <t>Can you please change his last name to Galye
Apologies, and change his username, etcâ€¦
We need this done ASAP
[image]Â Riccardo Francese
Business Process Manager
T:       +1 (780) 400-7487
C:       +1 (587) 990-0176
F:       +1 (780) 417-6496
E:       RFrancese@siterg.com
W:       WWW.SITERG.COM
#170, 120 Pembina Rd., Sherwood Park, AB, T8H 0M2
The information contained in this e-mail may       contain confidential or privileged material and is intended only for the       stated addressee(s). If you are not the valid addressee, the use,       disclosure, copying or distribution of this information is prohibited and       may be unlawful. If you have received this email message in error, please       notify the sender immediately and delete all copies of the message from       your computer. All information within or opinions expressed in this       message and/or any attachments are those of the author and are not       necessarily those of the Centurion Group.</t>
  </si>
  <si>
    <t>Danielle Lavigne</t>
  </si>
  <si>
    <t>FW: Image packages</t>
  </si>
  <si>
    <t>Hi,
Can we get these recovered please?
Thanks
From: Danielle Lavigne &lt;danielle.lavigne@igloo.ca&gt; 
Sent: Friday, January 29, 2021 8:46 AM
To: Fidelis Uduehi &lt;Fidelis.Uduehi@igloo.ca&gt;
Subject: Image packages
Importance: High
Hey Fidelis,
I need these packages retrieved please.
I canâ€™t find them where they were originally saved.
Please let me know!
Thanks,
[image]
Danielle Lavigne
Account Manager, A.L.A Lighting SpecialistÂ 
Phone/Fax: 780.665.3303 |Â Mobile: 780.399.4120
12832 184 St NW|Â Edmonton, ABÂ |Â T5V1T4
[image]Â Â [image]Â Â [image]Â  Â  Â  Â  Â  Â  Â [image]Â [image]</t>
  </si>
  <si>
    <t>Holly Usselman</t>
  </si>
  <si>
    <t>Quickbooks</t>
  </si>
  <si>
    <t>Morning,
Can I get a copy of the Lifestyles Financial Services quickbooks file sent to my accountant.
The email is Â Â Â Â Â Â Â Â Â Â Â Â Â Â Â Â Â Â Â Â Â Â  Joyce FungJoyceF@allenassociates.ca
CC Â Â Â Â Â Â Â Â Â  Â Â Â Â Â Â Â Â Â Â Â Â Â Â Â Â Â Â Â Â Â Â Â Â Â Â Â Â Â Â Â holly@lfservices.ca
CCÂ Â Â Â Â Â Â Â Â Â Â Â Â Â Â Â Â Â Â Â Â Â Â Â Â Â Â Â Â Â Â Â Â Â Â Â Â Â Â Â Â Â  Scott AllenScottA@allenassociates.ca
Thanks,
Holly</t>
  </si>
  <si>
    <t>Tritech Fall Protection Systems Ltd.</t>
  </si>
  <si>
    <t>Jean Radmanovich</t>
  </si>
  <si>
    <t>Missing Spreadsheet</t>
  </si>
  <si>
    <t>Hi,
Yesterday I had a spreadsheet disappear, titled: Service Log Spreadsheets.
I had accessed it in AM and I use it pretty much daily.
Itâ€™s located on â€œIâ€ drive, Services, Canada Services.
I ran a search but unable to locate.
Can you please restore ASAP?
Thanks,
Jean
Jean Radmanovich
Tritech Fall Protection Systems
Jean.r@tritechfallprotection.com
403-287-1499 Ext 121
www.tritechfallprotection.com
[image]</t>
  </si>
  <si>
    <t>Backup failures....</t>
  </si>
  <si>
    <t>Iâ€™m consistently getting notifications of backup failures on the Regina server in the past 24-hours. Is this a matter of concern?
Please advise.
Don
From: reg-backup@eyehealthcentre.ca &lt;reg-backup@eyehealthcentre.ca&gt; 
Sent: Friday, January 29, 2021 8:20 AM
To: swanny@phoenixresearch.ca
Subject: [Failed] EHC-REG-DC1 - HostedBizz - Backup Copy\EHC-REG-DC1 (1 objects) 1 failed
Backup Copy job: EHC-REG-DC1 - HostedBizz - Backup Copy\EHC-REG-DC1
Error
1 of 1 VMs processed
Friday, January 29, 2021 7:25:08 AM
Success
0
Start time
7:25:08 AM
Total size
0 B
Backup size
17 MB
Offsite RPO violation: some backups were not copied within 1 day 
Processing EHC-REG-DC1 Error: File [RelativePath:/Backups/EHC-REG-DC1-HostedBizz-BackupCopy/EHC-REG-DC1/EHC-REG-DC1D2021-01-27T190322_2FA5.vib] is locked. Failed to open storage for read access. Storage: [EHC-REG-DC1D2021-01-27T190322_2FA5.vib]. Failed to restore file from local backup. VFS link: [summary.xml]. Target file: [MemFs://RestoreText_{cc9258ef-d1fd-4d08-bf70-58605a31ae66}]. CHMOD mask: [0]. Agent failed to process method {DataTransfer.RestoreText}. 
Some restore points were not processed
Failed to merge full backup file Error: File [RelativePath:/Backups/EHC-REG-DC1-HostedBizz-BackupCopy/EHC-REG-DC1/EHC-REG-DC1D2021-01-27T190322_2FA5.vib] is locked. Failed to open storage for read access. Storage: [EHC-REG-DC1D2021-01-27T190322_2FA5.vib]. Failed to restore file from local backup. VFS link: [summary.xml]. Target file: [MemFs://RestoreText_{7bc784a1-e65d-4945-b9a4-d5303f2f6820}]. CHMOD mask: [0]. Agent failed to process method {DataTransfer.RestoreText}. 
Failed to generate points Error: File [RelativePath:/Backups/EHC-REG-DC1-HostedBizz-BackupCopy/EHC-REG-DC1/EHC-REG-DC1D2021-01-27T190322_2FA5.vib] is locked. Failed to open storage for read access. Storage: [EHC-REG-DC1D2021-01-27T190322_2FA5.vib]. Failed to restore file from local backup. VFS link: [summary.xml]. Target file: [MemFs://RestoreText_{7bc784a1-e65d-4945-b9a4-d5303f2f6820}]. CHMOD mask: [0]. Agent failed to process method {DataTransfer.RestoreText}.
Warning
0
End time
8:19:30 AM
Data read
0 B
Dedupe
1.0x
Error
1
Duration
0:54:22
Transferred
0 B
Compression
1.0x
Details
Name
Status
Start time
End time
Size
Read
Transferred
Duration
Details
EHC-REG-DC1
Error
7:28:15 AM
7:36:09 AM
0 B
0 B
0 B
0:07:53
Offsite RPO violation: object EHC-REG-DC1 was not copied within 1 day 
Error: File [RelativePath:/Backups/EHC-REG-DC1-HostedBizz-BackupCopy/EHC-REG-DC1/EHC-REG-DC1D2021-01-27T190322_2FA5.vib] is locked. Failed to open storage for read access. Storage: [EHC-REG-DC1D2021-01-27T190322_2FA5.vib]. Failed to restore file from local backup. VFS link: [summary.xml]. Target file: [MemFs://RestoreText_{cc9258ef-d1fd-4d08-bf70-58605a31ae66}]. CHMOD mask: [0]. Agent failed to process method {DataTransfer.RestoreText}. 
Maximum retry count reached (5 out of 5)
Veeam Backup &amp; Replication 10.0.1.4854</t>
  </si>
  <si>
    <t>FW: New version now available - Release 2.5 for Tax Year 2020</t>
  </si>
  <si>
    <t>Adebola Adeneye
Field Services Technician
PH.Â +1 7804246398
14505 114th Avenue NW
Edmonton,       AB
T5M2Y8
Adebola.Adeneye@mnp.ca
mnp.ca [image]
[image]
From: Steve Dockum &lt;sdockum@ccllp.ca&gt;
Sent: January 28, 2021 11:26 AM
To: Adebola Adeneye &lt;Adebola.Adeneye@mnp.ca&gt;
Subject: FW: New version now available - Release 2.5 for Tax Year 2020
CAUTION:This email originated from outside of the MNP network. Be cautious of any embedded links and/or attachments.
MISE EN GARDE:Ce courriel ne provient pas du rÃ©seau de MNP. MÃ©fiez-vous des liens ou piÃ¨ces jointes quâ€™il pourrait contenir.
Hi Ade,
Here is the email I received from Profile regarding the update, as well as for your records.Â  Also please ensure to make sure the update for Profile and Sage takes place on Friday night.
Regards,
Steven Dockum, Manager
Caskey &amp; Company LLP |www.ccllp.ca
New ProFile version now available:
Tax Year 2020 Release
Hi Steve,
The newProFile release, version2020.2.5, is now available!
T1/TP1 highlights include:
 2020 T1 form updates
 2020 TP1 form updates
 T2200S (New!)
T3/TP-646 highlights include:
 Federal T3, NR4 XML filing
 RL16 XML filing
 2020 form updates
FX/Q highlights include:
 updated Quebec RL slip paper and web service filing
 updated Federal and Quebec Forms
 T2200S (New!)
Toupdate ProFile, select theCheck for Updates option from theOnline drop-down menu in the top toolbar.
For a list of issues fixed in the current and recent releases, seewhat was fixed in recent ProFile releasesor visitwww.profile.intuit.ca.
Sincerely,
Graham Sharples
ProFile Group Product Manager
Intuit Canada
View on web
[Twitter]
[LinkedIn]. If you prefer not to receive email offers from Intuit Canada, pleaseunsubscribe online of Intuit Inc. in the United States and other countries.
This email was sent by: Intuit Canada ULC, 5100 Spectrum Way Mississauga, ON, L4W 5S2, Canada
[Intuit | TurboTax | QuickBooks | Mint]
[image]</t>
  </si>
  <si>
    <t>Monitor not working</t>
  </si>
  <si>
    <t>Submitted on behalf of Courtney at Calmont
Chris Ippolito
Manager, Client Experience
PH.Â +1 7804246398       Ext 312
14505 114th Avenue NW
Edmonton,       AB
T5M2Y8
Chris.Ippolito@mnp.ca
mnp.ca [image]
[image]
From: Courtney Holick &lt;Courtney.Holick@calmont.ca&gt;
Sent: Friday, January 29, 2021 7:54 AM
To: Chris Ippolito &lt;Chris.Ippolito@mnp.ca&gt;
Subject: Monitor 
CAUTION: This email originated from outside of the MNP network. Be cautious of any embedded links and/or attachments.
MISE EN GARDE:Ce courriel ne provient pas du rÃ©seau de MNP. MÃ©fiez-vous des liens ou piÃ¨ces jointes quâ€™il pourrait contenir.
Hi,
John told me to reach out to you.
My monitor wonâ€™t work and Iâ€™ve tried replacing it everything except this one part because we donâ€™t have a spare. Â Do you have any in stock? Can someone come here and try and swap for me?
My monitor says no signal. Â One of them is working just not the second.
[image]
Courtney Holick,Â CPA, CMA
CFO
Tel: 780-409-3359</t>
  </si>
  <si>
    <t>Johanna Jentsch - Need help with Email autoreply</t>
  </si>
  <si>
    <t>Hello Iâ€™m trying to set the autoreply for the cor@youracsa.cainbox to the below message however I was only able to set it as a regular out of office and when a person emails cor@youracsa.ca, it gives them two replyâ€™s, the original which we donâ€™t want anymore as well as the new one that I set in out of office. Need help to make it only the one below:
Thank you for emailing the Alberta Construction Safety Association, we have received your request which will be handled within 1 to 2 business days (excluding holidays and weekends). If this matter is urgent, please call us at 1.800.661.ACSA (2272)
Your emails will be answered within 2 business days. If you do not receive a response in that time frame, please contact us.
Our business hours are Monday to Friday 8:00am to 4:30pm, closed for all statutory holidays.
You may also visit our website (http://www.youracsa.ca) for additional information.
Thank you,
Alberta Construction Safety Association
1.800.661.ACSA (2272)
www.youracsa.ca
[image][image][image][image]
JOHANNA JENTSCHÂ |Â  Reception Administrator
Alberta Construction Safety Association
225 Parsons Road SW |Â Edmonton ABÂ |Â T6X 0W6
TÂ 780.453.3311|Â FÂ 780.455.1120 |Â TFÂ 1.800.661.ACSA (2272)
www.youracsa.ca
[image][image][image][image]
[image]</t>
  </si>
  <si>
    <t>Hi
Could you please advise of Sabrinaâ€™s Windows log in
I will need user name and password reset.
With Thanks,
Cheryl Trenchard, PCP
Human Resources &amp; Payroll Manager
[cid:image001.jpg@01D407CC.BE04B790]
14610 Yellowhead Trail NW Edmonton, AB, T5L 3C5
Branch: 780-482-0281Â Â Â  Cell: 587-930-2091Â Â  Fax: 780-482-0278
Email:cheryl.trenchard@calmont.ca
Website:www.calmont.ca
This email, and any files transmitted with it, are confidential and are intended solely for the use of the individual or entity to which they are addressed. Any unauthorized use or disclosure is prohibited. Please notify the sender if you have received this email in error. Thank you for your co-operation.</t>
  </si>
  <si>
    <t>Hi
Please set up an user name and password for Reese Zanon.Â He will be working out of Calmont Truck Centre, Edmonton.Â  Please set him up the same as Scott Fizzard.
His start date is February 8, 2021.
With Thanks,
Cheryl Trenchard, PCP
Human Resources &amp; Payroll Supervisor
[cid:image001.jpg@01D407CC.BE04B790]
14610 Yellowhead Trail NW Edmonton, AB, T5L 3C5
Branch: 780-482-0281Â Â Â  Cell: 587-930-2091Â Â  Fax: 780-482-0278
Email:cheryl.trenchard@calmont.ca
Website:www.calmont.ca
This email, and any files transmitted with it, are confidential and are intended solely for the use of the individual or entity to which they are addressed. Any unauthorized use or disclosure is prohibited. Please notify the sender if you have received this email in error. Thank you for your co-operation.</t>
  </si>
  <si>
    <t>Dell Renewal Notice - Support Expires 28-FEB-2021</t>
  </si>
  <si>
    <t>Bill Hopkins</t>
  </si>
  <si>
    <t>Domain Renewal Notice</t>
  </si>
  <si>
    <t>Sharlene - Needs to change the Automated Message for Extension</t>
  </si>
  <si>
    <t xml:space="preserve">Please have Terry call me as this I hear has not been solvedâ€¦
Sorry for delay, darn Covid
Take care and stay safe! We are in this together.
(Please note the office remains closed at this time. Staff are working remotely)
Sharlene Cook
Office Administrator
Discipline and Sanctions
Hockey Edmonton
Zone 8 â€“ MDC â€“ Hockey Alberta
10618 124 Street NW
Edmonton, AB T5N 1S3
Ph. (780) 413-3498 ext. 101
Fax (780) 440-6475
Sharlene.Cook@hockeyedmonton.ca
www.hockeyedmonton.ca
[Hockey-Edmonton-Logo]
Hockey Edmonton aims to foster, through the sport of hockey, development of active, healthy lifestyles.
</t>
  </si>
  <si>
    <t>Angeli Alipio - Bayangos, Maria - New Hire, January 29, 2021</t>
  </si>
  <si>
    <t>Good afternoon,
Please be advised that Maria Bayangos is starting tomorrow, January 29th, as a Senior Support Worker â€“ please see attached form for details and let me know if you have any questions.
Thanks,
Angeli
[image]
Angeli AlipioBBA
HR Generalist
T: 403.205.5233 |C: 403.619.7126 | E: AngeliA@caryacalgary.ca| F: 403.205.5281
180, 839 5 Ave SW | Calgary, AB | T2P 3C8
[image]Â [image]Â [image]
carya (formerly Calgary Family Services)
We are working remotely to help Calgarians through the COVID-19 pandemic. Please reach out to us if you need support.carya is here for you.
In the spirit of our efforts to promote reconciliation, we acknowledge the traditional territories and oral practices of the Blackfoot, the Tsuut'ina, the Stoney Nakoda First Nations, the MÃ©tis Nation Region 3, and all people who make their homes in the Treaty 7 region of Southern Alberta. We also respectfully acknowledge that the province of Alberta is comprised of Treaty 6, Treaty 7, and Treaty 8 territory, the traditional lands of First Nations and MÃ©tis peoples.
No form of electronic communication is secure and may be intercepted by others. Carya cannot guarantee the receipt of electronic communication nor a timely response. Where communication is confidential or time sensitive we recommend you call 403-269-9888 during business hours (Monday-Friday, 8:30am-4:30pm). For immediate crisis response please contact the Distress Centre Crisis Line at 403-266-HELP (4537) and in case of an emergency dial 911.
This e-mail is intended solely for the person or entity to which it is addressed and may contain confidential and/or privileged information. Any review, dissemination, copying, printing, forwarding or other use of this e-mail by persons or entities other than the addressee is prohibited. If you have received this e-mail in error, please contact the sender immediately and delete the material from your computer.</t>
  </si>
  <si>
    <t>Whitby Oshawa Honda</t>
  </si>
  <si>
    <t>Courtney Burgess</t>
  </si>
  <si>
    <t>Whitby Oshawa Honda - change Mitel  admin access</t>
  </si>
  <si>
    <t xml:space="preserve">Hi Dave, 
I hope you're doing well!  I was just hoping for your assistance setting Dave Escolano (1006) up as a Mitel Connect Director user to view reports and everything and also to remove Amara Wroot (8888) as a Director user.
Thank you so much!
-- 
Courtney Burgess
Marketing Manager
Whitby Oshawa Honda
300 Thickson Rd S 
Whitby, ON L1N 9Z1
Work: 905-666-1772 ext. 1007
Cell:  905-429-0614
</t>
  </si>
  <si>
    <t>Corey Yurchevich</t>
  </si>
  <si>
    <t>Corey Yurchevich - Internet/Wifi Connection Issues</t>
  </si>
  <si>
    <t>I am having issues with my Surface connecting to a wifi network. When I open the wifi network selection tab there are no wifi options there to be found. The surface is working fine when on the dock hardwired into a router but no wifi connectivity. Can you please help me with this?
Regards
[image]
Corey Yurchevich Â  Â _Modular Systems
d:587.393.9463 Â | Â p: 403.287.0808Â  | Â c: 403.671.1181
corey.yurchevich@cts-industries.com Â | Â cts-industries.com
[image]</t>
  </si>
  <si>
    <t>Mark as safe please</t>
  </si>
  <si>
    <t>[image]
Sent from Mail for Windows 10</t>
  </si>
  <si>
    <t>Oarrie Oliver - Need Onboarding process for All-ways Mech #1354440</t>
  </si>
  <si>
    <t>### Summary of Issue_x000D_
Need Onboarding process for All-ways Mech #1354440_x000D_
  _x000D_
### Details of Issue_x000D_
Need Onboarding document added to ITglue
Here the steps that I have done that could be used in the document
Active Directory for Domain users
-Create account under Billing OU
-Use first initial of the first name and then full last name
-Copy or add the AD groups memebership
-Make sure ND-FullBill is added
-Profile Tab, Home folder field U \ad.allmech.ca\shares\home\%username%
-Enter using email address in the General email field
-Add email to the proxyaddress attri
Office 365
-Create account in Office 365 and assigned the required license
Sophos
-Performed the Sophos AD sync and send the welcome email.
Mail only account
-Create account under Mail Only
-Use first initial of the first name and then full last name
-Enter using email address in the General email field
-Add email to the proxyaddress attri
Office 365
-Create account in Office 365 and assigned the Exchange Online Plan 1
Sophos
-Performed the Sophos AD sync and send the welcome email._x000D_
  _x000D_
### Have you opened a ticket about this issue before?  _x000D_
 No  _x000D_
  _x000D_
### How many users are impacted by this issue?  _x000D_
 One  _x000D_
  _x000D_
### How would you classify this issue?  _x000D_
 Minor Inconvenience</t>
  </si>
  <si>
    <t>Angeli Alipio - Senior Support changes</t>
  </si>
  <si>
    <t>Good afternoon,
Please be advised of the following changes with our Senior Support Team:
-Â Â Â Â Â Â Â Â Â Wendy Schapansky
oÂ Â Position to change from Supervisor to Network Facilitator effective February 1, 2021
oÂ Â Remove from Safety App distribution list
oÂ Â No assigned desk/room for now â€“ She will be rotation between The Way In Offices
oÂ Â Future voicemails on her desk phone, 403.205.5278, will need to be forwarded to Kevin Dunlopâ€™s email atKevinD@caryacalgary.ca
oÂ Â No direct reports anymore â€“ Judit Kelecsenyi reports to Kevin Dunlop
-Â Â Â Â Â Â Â Â Â Kevin Dunlop
oÂ Â Position changed from Client Services Coordinator to Acting Supervisor with the Senior Support Program effective January 16, 2021
oÂ Â Needs to be added to LDT Distribution list
oÂ Â Needs access to JOBBER Admin App
Please let me know if you have any questions.
Thanks,
Angeli
[image]
Angeli AlipioBBA
HR Generalist
T: 403.205.5233 |C: 403.619.7126 | E: AngeliA@caryacalgary.ca| F: 403.205.5281
180, 839 5 Ave SW | Calgary, AB | T2P 3C8
[image]Â [image]Â [image]
carya (formerly Calgary Family Services)
We are working remotely to help Calgarians through the COVID-19 pandemic. Please reach out to us if you need support.carya is here for you.
In the spirit of our efforts to promote reconciliation, we acknowledge the traditional territories and oral practices of the Blackfoot, the Tsuut'ina, the Stoney Nakoda First Nations, the MÃ©tis Nation Region 3, and all people who make their homes in the Treaty 7 region of Southern Alberta. We also respectfully acknowledge that the province of Alberta is comprised of Treaty 6, Treaty 7, and Treaty 8 territory, the traditional lands of First Nations and MÃ©tis peoples.
No form of electronic communication is secure and may be intercepted by others. Carya cannot guarantee the receipt of electronic communication nor a timely response. Where communication is confidential or time sensitive we recommend you call 403-269-9888 during business hours (Monday-Friday, 8:30am-4:30pm). For immediate crisis response please contact the Distress Centre Crisis Line at 403-266-HELP (4537) and in case of an emergency dial 911.
This e-mail is intended solely for the person or entity to which it is addressed and may contain confidential and/or privileged information. Any review, dissemination, copying, printing, forwarding or other use of this e-mail by persons or entities other than the addressee is prohibited. If you have received this e-mail in error, please contact the sender immediately and delete the material from your computer.</t>
  </si>
  <si>
    <t>Julie Nadeau - New Employee, Catorina Ryan</t>
  </si>
  <si>
    <t>### Summary of Issue_x000D_
New Employee_x000D_
  _x000D_
### Details of Issue_x000D_
Catorina Ryan - PA Team
Starting date  January 30.2021
UN
PW
EA_x000D_
  _x000D_
### Have you opened a ticket about this issue before?  _x000D_
 No  _x000D_
  _x000D_
### How many users are impacted by this issue?  _x000D_
 One  _x000D_
  _x000D_
### How would you classify this issue?  _x000D_
 Other</t>
  </si>
  <si>
    <t>Jeremy  Townsend</t>
  </si>
  <si>
    <t>Quote Request - MNP - Replacemnt Laptop Screen</t>
  </si>
  <si>
    <t>### End User Hardware  _x000D_
  _x000D_
### What company is this quote for?_x000D_
MNP_x000D_
  _x000D_
### Who made this request and why?_x000D_
Thomas, Replacement screen_x000D_
  _x000D_
### Give this request a name_x000D_
Replacemnt Laptop Screen_x000D_
  _x000D_
### Who should the quote be addressed to?  _x000D_
 Someone else  _x000D_
  _x000D_
### Who should it be addressed to?_x000D_
Jeremy Townsend_x000D_
  _x000D_
### Which location is the product for?_x000D_
Main_x000D_
  _x000D_
### Which ND location is it needed at?  _x000D_
 Next Digital Edmonton  _x000D_
  _x000D_
### When is it needed by OR when is the next site visit for the client's location?  _x000D_
Fri 29 Jan, 2021  _x000D_
  _x000D_
### Do you need labour quoted?  _x000D_
 Yes  _x000D_
  _x000D_
### What products do you need on this quote?  _x000D_
 Accessories (Mice, keyboards, RAM/SSD upgrades etc)  _x000D_
  _x000D_
### Accessories  _x000D_
  _x000D_
### What do you need?  _x000D_
 Other  _x000D_
  _x000D_
### What do you need?_x000D_
15.6" laptop screen for a Lenovo T590
https://www.screencountry.com/index.php?section=products&amp;model=FRU%2001YN134&amp;brand=Lenovo
item ID: 559296_x000D_
  _x000D_
### What products do you need quoted?_x000D_
15.6" LCD laptop screen(Matte)</t>
  </si>
  <si>
    <t>Julie Nadeau - Disable Account, Josh Cheechoo</t>
  </si>
  <si>
    <t>### Summary of Issue_x000D_
Disable Account_x000D_
  _x000D_
### Details of Issue_x000D_
Josh Cheechoo postpone start date 
I will reaply for his credential_x000D_
  _x000D_
### Have you opened a ticket about this issue before?  _x000D_
 No  _x000D_
  _x000D_
### How many users are impacted by this issue?  _x000D_
 One  _x000D_
  _x000D_
### How would you classify this issue?  _x000D_
 Other</t>
  </si>
  <si>
    <t>Trailblazer RV Centre</t>
  </si>
  <si>
    <t>Bill Burnett</t>
  </si>
  <si>
    <t>Trailblazer RV - Wireless Access Point</t>
  </si>
  <si>
    <t>Bill @ Trailblazer RV
1x Access Point
1 hour Labour â€“ Bill will be running cable and putting the WAP where it is to go, weâ€™d just need to set it up and make sure it is delivering wifi signal.
Curt Giacomoni
Project Estimator
PH.Â +1 7804246398
14505 114th Avenue NW
Edmonton, AB
T5M2Y8
Curt.Giacomoni@mnp.ca
mnp.ca[image]
[image]</t>
  </si>
  <si>
    <t>Ryan Hayes</t>
  </si>
  <si>
    <t>Ryan Hayes - Printer issues</t>
  </si>
  <si>
    <t>Hi,
I was using Edmontonâ€™s printers for most of the day today. They seem to have disappeared from my drop down menu and I am no longer able to print the orders to them. Not sure what happened.
Thcnks,
[image]
Ryan Hayes
d:587.393.9461 Â | Â p: 403.287.0808
ryan.hayes@cts-industries.com Â | Â cts-industries.com</t>
  </si>
  <si>
    <t>Richard Ignacz</t>
  </si>
  <si>
    <t>GTX 3080 For All Projects Staff</t>
  </si>
  <si>
    <t>### What company is this quote for?_x000D_
Next Digital/MNP_x000D_
  _x000D_
### Who should the quote be addressed to?  _x000D_
 Someone else  _x000D_
  _x000D_
### Who should it be addressed to?_x000D_
Richard_x000D_
  _x000D_
### Which location is the product for?_x000D_
Edmonton_x000D_
  _x000D_
### Which ND location is it needed at?  _x000D_
 Next Digital Edmonton  _x000D_
  _x000D_
### When is it needed by OR when is the next site visit for the client's location?  _x000D_
Fri 29 Jan, 2021  _x000D_
  _x000D_
### What do you need quoted?_x000D_
We require GeForce RTX 3080 for all staff in projects so we can run Microsoft Teams and Outlook. Must be compatible with Lenovo T480 Laptops. 
Thanks!</t>
  </si>
  <si>
    <t>Allison Ammeter</t>
  </si>
  <si>
    <t>Allison Ammeter - Emails can't be forwarded</t>
  </si>
  <si>
    <t>Submitted on behalf of Carmen Meyn at Alberta Pulse
Chris Ippolito
Manager, Client Experience
PH.Â +1 7804246398       Ext 312
14505 114th Avenue NW
Edmonton,       AB
T5M2Y8
Chris.Ippolito@mnp.ca
mnp.ca [image]
[image]
From: Rhonda Lafreniere &lt;rlafreniere@albertapulse.com&gt;
Sent: Thursday, January 28, 2021 1:43 PM
To: Chris Ippolito &lt;Chris.Ippolito@mnp.ca&gt;
Subject: Experience w/ One of our Director emails
CAUTION: This email originated from outside of the MNP network. Be cautious of any embedded links and/or attachments.
MISE EN GARDE:Ce courriel ne provient pas du rÃ©seau de MNP. MÃ©fiez-vous des liens ou piÃ¨ces jointes quâ€™il pourrait contenir.
HI Chris,
One of our directors has been having issues with her email.Â  I do not know the whole story of why, but this has been a few months of us not being able send her emails.
When we email her, we get this error message below.Â  Can you do some background checking, as I think she has called into the help desk in the past 6 months and I am not
Sure of the whole story.Â Â  This is the email we receive when trying to access her @abertapulse.com email
From: Microsoft Outlook &lt;MicrosoftExchange329e71ec88ae4615bbc36ab6ce41109e@albertapulse.onmicrosoft.com&gt; 
Sent: Thursday, January 28, 2021 1:09 PM
To: Carmen Meyn
Subject: Undeliverable: APG Organization Meeting
Delivery has failed to these recipients or groups:
Allison Ammeter (aammeter@albertapulse.com)
Your message wasn't delivered because the recipient's email provider rejected it.
Diagnostic information for administrators:
Generating server: YQXPR01MB2502.CANPRD01.PROD.OUTLOOK.COM
aammeter@albertapulse.com
Remote Server returned '550 5.7.520 Access denied, Your organization does not allow external forwarding. Please contact your administrator for further assistance. AS(7555)'
Original message headers:
```
Received: from YQXPR0101MB1704.CANPRD01.PROD.OUTLOOK.COM
```
```
(2603:10b6:c00:24::16) by YQXPR01MB2502.CANPRD01.PROD.OUTLOOK.COM
```
```
(2603:10b6:c00:50::13) with Microsoft SMTP Server (version=TLS1_2,
```
```
cipher=TLS_ECDHE_RSA_WITH_AES_256_GCM_SHA384) id 15.20.3784.11; Thu, 28 Jan
```
```
2021 20:08:23 +0000
```
```
Received: from YQXPR0101MB1704.CANPRD01.PROD.OUTLOOK.COM
```
```
(fe80::6cf5:d21a:967b:f3ea) by YQXPR0101MB1704.CANPRD01.PROD.OUTLOOK.COM
```
```
(fe80::6cf5:d21a:967b:f3ea%7) with mapi id 15.20.3784.019; Thu, 28 Jan 2021
```
```
20:08:21 +0000
```
```
From: Conference Room &lt;ConferenceRoom@albertapulse.com&gt;
```
```
To: Allison Ammeter &lt;AAmmeter@albertapulse.com&gt;, Caroline Sekulic
```
```
&lt;CSekulic@albertapulse.com&gt;, Chris Allam &lt;CAllam@albertapulse.com&gt;, Don
```
```
Shepert &lt;DShepert@albertapulse.com&gt;, Greg Stamp &lt;GStamp@albertapulse.com&gt;,
```
```
Jerome Isaac &lt;JIsaac@albertapulse.com&gt;, Kevin Auch &lt;auchkevin@gmail.com&gt;,
```
```
Peter Konstapel &lt;pkonstapel@albertapulse.com&gt;, Robert Semeniuk
```
```
&lt;rsemeniuk@albertapulse.com&gt;, Rodney Volk &lt;RVolk@albertapulse.com&gt;, "Shane
```
```
Strydhorst " &lt;shaneandsheri@xplornet.com&gt;, Will Muller
```
```
&lt;wmuller@albertapulse.com&gt;, Leanne Fischbuch &lt;LFischbuch@albertapulse.com&gt;,
```
```
Jenn Walker &lt;JWalker@albertapulse.com&gt;, Nevin Rosaasen
```
```
&lt;NRosaasen@albertapulse.com&gt;, Rhonda Lafreniere
```
```
&lt;rlafreniere@albertapulse.com&gt;
```
```
Subject: APG Organization Meeting
```
```
Thread-Topic: APG Organization Meeting
```
```
Thread-Index: Adb1sFmL5mWz+DuVR/egx/nQWyAk/AAAOb4g
```
```
Sender: Carmen Meyn &lt;CMeyn@albertapulse.com&gt;
```
```
Date: Thu, 28 Jan 2021 20:08:21 +0000
```
```
Message-ID: &lt;YQXPR0101MB170487D2262384B46B0CC242DBBA9@YQXPR0101MB1704.CANPRD01.PROD.OUTLOOK.COM&gt;
```
```
Accept-Language: en-CA, en-US
```
```
Content-Language: en-US
```
```
X-MS-Has-Attach: yes
```
```
X-MS-TNEF-Correlator:
```
```
x-ms-publictraffictype: Email
```
```
authentication-results: albertapulse.com; dkim=none (message not signed)
```
```
header.d=none;albertapulse.com; dmarc=none action=none
```
```
header.from=albertapulse.com;
```
```
x-ms-exchange-messagesentrep...</t>
  </si>
  <si>
    <t>Angeli Alipio - Scott, Erika - New Hire, February 1, 2021</t>
  </si>
  <si>
    <t>Good afternoon,
Please be advised that we have Erika Scott starting on Monday, February 1, 2021 â€“ please see attached form for details to set-up her accountas soon as possible. Once her credentials to Carya Email/Cloud are ready, please let me know (please useC@rya2021!# as a temporary password).
In addition to the attached form, she'll also need full access to:
 Philanthropy, generic mailbox:philanthropy@caryacalgary.ca
 Communications, generic mailbox:communications@caryacalgary.ca
 PREDECESSORS:
 Kate Price
 Jennifer Moir
 Denise Meade
Thanks,
Angeli
[image]
Angeli AlipioBBA
HR Generalist
T: 403.205.5233 |C: 403.619.7126 | E: AngeliA@caryacalgary.ca| F: 403.205.5281
180, 839 5 Ave SW | Calgary, AB | T2P 3C8
[image]Â [image]Â [image]
carya (formerly Calgary Family Services)
We are working remotely to help Calgarians through the COVID-19 pandemic. Please reach out to us if you need support.carya is here for you.
In the spirit of our efforts to promote reconciliation, we acknowledge the traditional territories and oral practices of the Blackfoot, the Tsuut'ina, the Stoney Nakoda First Nations, the MÃ©tis Nation Region 3, and all people who make their homes in the Treaty 7 region of Southern Alberta. We also respectfully acknowledge that the province of Alberta is comprised of Treaty 6, Treaty 7, and Treaty 8 territory, the traditional lands of First Nations and MÃ©tis peoples.
No form of electronic communication is secure and may be intercepted by others. Carya cannot guarantee the receipt of electronic communication nor a timely response. Where communication is confidential or time sensitive we recommend you call 403-269-9888 during business hours (Monday-Friday, 8:30am-4:30pm). For immediate crisis response please contact the Distress Centre Crisis Line at 403-266-HELP (4537) and in case of an emergency dial 911.
This e-mail is intended solely for the person or entity to which it is addressed and may contain confidential and/or privileged information. Any review, dissemination, copying, printing, forwarding or other use of this e-mail by persons or entities other than the addressee is prohibited. If you have received this e-mail in error, please contact the sender immediately and delete the material from your computer.</t>
  </si>
  <si>
    <t>Rubyann Rice</t>
  </si>
  <si>
    <t>Quote Request - Schizophrenia Society of Alberta - Workstation replacements</t>
  </si>
  <si>
    <t>### End User Hardware  _x000D_
  _x000D_
### What company is this quote for?_x000D_
Schizophrenia Society of Alberta_x000D_
  _x000D_
### Who made this request and why?_x000D_
Our helpdesk staff - Aging computers causing performance issues_x000D_
  _x000D_
### Give this request a name_x000D_
Workstation replacements_x000D_
  _x000D_
### Who should the quote be addressed to?  _x000D_
 The primary contact in Connectwise  _x000D_
  _x000D_
### Which location is the product for?_x000D_
Medicine Hat &amp; Area Branch_x000D_
  _x000D_
### Is there an existing ticket on another Connectwise board? If so what is the ticket number?_x000D_
1354322_x000D_
  _x000D_
### Which ND location is it needed at?  _x000D_
 Next Digital Red Deer  _x000D_
  _x000D_
### When is it needed by OR when is the next site visit for the client's location?  _x000D_
Thu 4 Feb, 2021  _x000D_
  _x000D_
### Do you need labour quoted?  _x000D_
 Yes  _x000D_
  _x000D_
### What products do you need on this quote?  _x000D_
 Desktop Computer  _x000D_
 Laptop/Ultrabook/Tablet Computer  _x000D_
  _x000D_
### Desktop Computer  _x000D_
  _x000D_
### Which tier of computer do you want quoted?  _x000D_
 Entry Tier - i3 or AMD Equivalent, 8GB RAM, 128-256GB SSD, 3 year warranty  _x000D_
  _x000D_
### Quantity required?_x000D_
1_x000D_
  _x000D_
### Comments_x000D_
Replacing Vostro 270s SN: 4837YV1_x000D_
  _x000D_
### Laptop/Ultrabook/Tablet Computer  _x000D_
  _x000D_
### Which tier of computer do you want quoted?  _x000D_
 Recommended Tier Laptop - i5, 8GB RAM, 256GB SSD, 14", MilSpec tested (Lenovo Only), 3 year warranty  _x000D_
  _x000D_
### Quantity?_x000D_
1_x000D_
  _x000D_
### Comments_x000D_
Replacing Latitude 3550 SN: 3C69042
I've no idea if the client needs a dock or other peripherals_x000D_
  _x000D_
### Video Adapter(s)  _x000D_
  _x000D_
### Do you need video adapter(s)?  _x000D_
 Yes  _x000D_
  _x000D_
### Video port(s) on computer  _x000D_
 The computer is part of this quote request  _x000D_
  _x000D_
### Video port(s) on monitor(s)  _x000D_
 Other  _x000D_
  _x000D_
### What type of video port_x000D_
I do not know_x000D_
  _x000D_
### Number of monitors to connect (per computer)_x000D_
2_x000D_
  _x000D_
### Comment_x000D_
I don't know if client needs monitors for either system_x000D_
  _x000D_
### What products do you need quoted?_x000D_
Desktop and Laptop replacement per ticket: https://ndconnect.nextdigital.ca/v4_6_release/services/system_io/Service/fv_sr100_request.rails?service_recid=1354322&amp;companyName=nextdigital The configurations for the existing hardware are attached to the ticket.</t>
  </si>
  <si>
    <t>Evan Schindel</t>
  </si>
  <si>
    <t>Evan Schindel - MS License Assessment</t>
  </si>
  <si>
    <t>Please see attached letter from Microsoft and let us know if you guys handle this or if it is something we need to do.
Sincerely,
[image]
Evan Schindel | General Manager | Lexus of Edmonton 
Tel: 780-466-8300 | eschindel@lexusofedmonton.ca Â |www.lexusofedmonton.ca
[image]
Lexus of Edmonton family member since 2015
From: Lexus of Edmonton &lt;noreply@lexusofedmonton.ca&gt;
Sent: January 28, 2021 12:56 PM
To: Evan Schindel &lt;eschindel@lexusofedmonton.ca&gt;
Subject: Attached Image</t>
  </si>
  <si>
    <t>Christine Scaramuzzo added 1 new comment. Ontario Genomics/OG-1080 URGENT - remote computer support for Bettina Hamelin 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
Christine Scaramuzzo added 1 new comment.
Ontario Genomics
/Â Â   [image] Â  OG-1080
 URGENT - remote computer support for Bettina Hamelin 
[image]  Christine Scaramuzzo  2:31Â PMÂ EST
Hi - Andrew was to connect with Bettina today but has not. Can you confirm that someone will ASAP.
Thanks,
Christine
View issue
Get Jira notifications on your phone! Download the Jira Cloud app for Android or iOS.
Manage notifications   Â â€¢Â    Give feedback   Â â€¢Â    Privacy policy
[image]
[image]
[image]</t>
  </si>
  <si>
    <t>Sherwood Park Chevrolet</t>
  </si>
  <si>
    <t>Debra Anderson</t>
  </si>
  <si>
    <t>Debra Anderson - voicemail concern</t>
  </si>
  <si>
    <t>Good Day!Â 
We have a PARTS hunt group with five members. Two of these people have different voicemail abilities and I'm trying to get them the same.
Ext 2655 - no problems, customers receive voicemail when calling this line or being transferred to this line.
Ext 4017 - when someone is transferred through to this line the voicemail doesn't pick up it reverts the call back to the hunt group.
How do we get ext 4017 voicemail working on incoming calls to her line, or transferred to her line specifically?Â 
-- 
Debra NeumannÂ | Assistant Controller
Sherwood Park ChevroletÂ |Â sherwoodparkchev.com
danderson@sherwoodparkchev.com
P:Â 780-416-2438
A:Â 500 Premier Way, Sherwood Park, AB
[Sherwood Park Chevrolet Logo]</t>
  </si>
  <si>
    <t>Nuzhat Tam-Zaman</t>
  </si>
  <si>
    <t>FW:</t>
  </si>
  <si>
    <t>Pls see here. I am still getting the message. Pls let me know why this is
the case. 
Nuzhat Tam-Zaman, M.Pharm, Ph.D.
Co-Founder and VP Consumer HealthÂ 
O: (780) 466-0086 | C:Â (780) 264-0818Â | sinoveda.com
SinoVeda Canada Inc.Â 
4294 91A Street,Â Edmonton, Alberta,Â T6E 5V2
-----Original Message-----
From: Nuzhat Tam-Zaman mailto:ntzaman@icloud.com 
Sent: Thursday, January 28, 2021 12:05 PM
To: Nuzhat Tam-Zaman
Subject: 
-- 
&lt;https://urldefense.com/v3/https://www.facebook.com/SinoVeda/;!!CBowfw0!qfhqf1iH6Rdgk79VJVp5AcRgrPhQAB_nQ_8V9xqXv-dbc0gyxk2ItI5PhtS7EyZsfLu4558$ &gt;Â  
&lt;https://urldefense.com/v3/https://ca.linkedin.com/company/sinoveda-canada-inc-;!!CBowfw0!qfhqf1iH6Rdgk79VJVp5AcRgrPhQAB_nQ_8V9xqXv-dbc0gyxk2ItI5PhtS7EyZsLNtW-tk$ &gt;Â  
&lt;https://urldefense.com/v3/https://www.instagram.com/sinoveda.health/?hl=en;!!CBowfw0!qfhqf1iH6Rdgk79VJVp5AcRgrPhQAB_nQ_8V9xqXv-dbc0gyxk2ItI5PhtS7EyZsxrKBLGQ$ &gt;</t>
  </si>
  <si>
    <t>Deactivate/Terminate Denise Wilson</t>
  </si>
  <si>
    <t>Hi There,
Could you please deactivate DENISE WILSONâ€™s profile effective immediately?
Thanks,
Jana
Jana Lumsden       CPA, CMA
Chief Financial Officer
EÂ Â Â Â Â  jlumsden@mhkinsurance.com
DÂ Â Â Â  587.525.6029Â 
CÂ Â Â Â  780.999.7111
12316-107 Avenue, Edmonton, AB  T5M 1Z1
www.mhkinsurance.com
[image]
[image]
We're here to help with your insurance needs. Emails       and phone calls are still encouraged. Appointments are required for       in-office broker meetings. Please wear a mask when       visiting.
MHK welcomes       e-Transfer payments to banking@mhkinsurance.â€‰com.
If you       receive this email in error, please notify us by reply email and destroy       this message. MHK complies with Canada's Anti-Spam and Alberta's PIPA       Legislations. If you no longer wish to receive emails from MHK, please       reply with 'Unsubscribe' in the subject   line.</t>
  </si>
  <si>
    <t>Yetayale Tekle</t>
  </si>
  <si>
    <t>Remote Access</t>
  </si>
  <si>
    <t>Hi MNP,
I was hoping to adjust the resolution of my remote access sessions and was unaware of how to do this. I believe it needs to be done before login but donâ€™t know how to change this. Any help would be appreciated.
Thank you,
Yetayale Tekle
Grants Assistant
9910-103rd Street
Edmonton, AB T5K 2V7
780.426.0015 ext 122
www.ecfoundation.org</t>
  </si>
  <si>
    <t>Kate Price</t>
  </si>
  <si>
    <t>Email set-up request</t>
  </si>
  <si>
    <t>Hello,Â 
Could we please set up an email account for Erika Scott today, email address would be erikas@caryacalgary.ca. She doesn't start until Monday, but because I'm prepping briefing materials for her Theresa approved us setting up her email account early.Â 
She'll also need full access to:
 Philanthropy, generic mailbox: philanthropy@caryacalgary.ca
 Communications, generic mailbox: communications@caryacalgary.ca
 PREDECESSORS:
 Kate Price
 Jennifer Moir
 Denise Meade
Thank you!
Best,
Kate
[image]
Kate Price
Pronouns: she/her
Director of Philanthropy and Community Relations
T:Â 403.688.2923Â  |Â Â E:Â KateP@caryacalgary.caÂ 
180, 839 5 Ave SW | Calgary, AB | T2P 3C8
[image]Â [image][instagram-1675670]Â [image]
caryaÂ (formerly Calgary Family Services)
Stay up to date with the latest carya news, programs, and events by signing up for ourÂ monthly newsletter.
In the spirit of our efforts to promote reconciliation, we acknowledge the traditional territories and oral practices of the Blackfoot, the Tsuut'ina, the Stoney Nakoda First Nations, the MÃ©tis Nation Region 3, and all people who make their homes in the Treaty 7 region of Southern Alberta. We also respectfully acknowledge that the province of Alberta is comprised of Treaty 6, Treaty 7, and Treaty 8 territory, the traditional lands of First Nations and MÃ©tis peoples.
No form of electronic communication is secure and may be intercepted by others. Carya cannot guarantee the receipt of electronic communication nor a timely response. Where communication is confidential or time sensitive we recommend you call 403-269-9888 during business hours (Monday-Friday, 8:30am-4:30pm). For immediate crisis response please contact the Distress Centre Crisis Line at 403-266-HELP (4537) and in case of an emergency dial 911.
This e-mail is intended solely for the person or entity to which it is addressed and may contain confidential and/or privileged information. Any review, dissemination, copying, printing, forwarding or other use of this e-mail by persons or entities other than the addressee is prohibited. If you have received this e-mail in error, please contact the sender immediately and delete the material from your computer.</t>
  </si>
  <si>
    <t>Craig Hickey</t>
  </si>
  <si>
    <t>SPAM</t>
  </si>
  <si>
    <t>Here is a SPAM email we received
Craig Hickey
Parts Manager
[cid:image001.jpg@01D0D347.FCF6B5F0]
280 Burnt Park Drive, Red Deer County T4S 2L4
Branch: 403-346-9011
Email: craig.hickey@calmont.ca
Website: www.calmont.ca
This email, and any files transmitted with it, are confidential and are intended solely for the use of the individual or entity to which they are addressed. Any unauthorized use or disclosure is prohibited. Please notify the sender if you have received this email in error. Thank you for your co-operation.
From: Archie Meurs &lt;Archie.Meurs@nortrux.com&gt; 
Sent: January 28, 2021 10:46 AM
Subject: NORTRUX RFP
Hello,
Archie Meurs shared a RFP file with you
PROCEED TO ACCESS.Â Â Â Â Â Â Â Â Â Â Â Â Â Â Â Â   NORTRUX RFP
We will be delighted to hear what you think about this.
Regards,
Archie Meurs
Branch Manager/ Service Manager
[wd7uLjCoDOsRwAAAABJRU5ErkJggg==]
11401 96 Ave
Grande Prairie
780-512-7247 C
780-532-1290 M
archie.meurs@nortrux.com
[fXzwvtBBgAAAABJRU5ErkJggg==]
Locations in Edmonton, Grande Prairie and Red Deer
ISO 9001:2015 Certified | COR Certified
The information contained in this communication is confidential, may be privileged and is intended for the exclusive use of the above named addressee(s). If you are not the intended recipient(s), you are expressly prohibited from copying, distributing, disseminating, or in any other way using any information contained within this communication.
If you have received this communication in error please contact the sender by telephone or by response via email. Â We have taken precautions to minimize the risk of transmitting software viruses, but we advise you to carry out your own virus checks on any attachment to this message. We cannot accept liability for any loss or damage caused by software viruses.</t>
  </si>
  <si>
    <t>Julie Nadeau - Disable Accounts</t>
  </si>
  <si>
    <t>### Summary of Issue_x000D_
Disable Accounts_x000D_
  _x000D_
### Details of Issue_x000D_
Sara Cardinal
Stephanie Wynnyk
Dana Haugen
No longer employed at PML_x000D_
  _x000D_
### Have you opened a ticket about this issue before?  _x000D_
 No  _x000D_
  _x000D_
### How many users are impacted by this issue?  _x000D_
 Some  _x000D_
  _x000D_
### How would you classify this issue?  _x000D_
 Other</t>
  </si>
  <si>
    <t>maintenance</t>
  </si>
  <si>
    <t>Re: Are you around to help with a Mitel issue that MNOP cannot solve?</t>
  </si>
  <si>
    <t>Hi Michelle,
I was assisting Ken this morning and we tested it by forwarding to my cell, which worked. I suggested that it might be because she has it set to press 1 to answer and there might not be enough rings to do that. The solution is to change it to answer by going off hook or increase the number of rings.Â 
Regards,
Dave Beharrell
Senior Project Specialist
PH.Â +1 7804246398       Ext 328
14505 114th Avenue NW
Edmonton,       AB
T5M2Y8
Dave.Beharrell@mnp.ca
mnp.ca [image]
[image]
From: Michelle Rose &lt;mrose@mhkinsurance.com&gt;
Sent: Thursday, January 28, 2021, 11:31 a.m.
To: Dave Beharrell
Cc: MHK IT Team; Support - MNP IT Managed Services
Subject: RE: Are you around to help with a Mitel issue that MNOP cannot solve?
CAUTION: This email originated from outside of the MNP network. Be cautious of any embedded links and/or attachments.
MISE EN GARDE: Ce courriel ne provient pas du rÃ©seau de MNP. MÃ©fiez-vous des liens ou piÃ¨ces jointes quâ€™il pourrait contenir.
Sorry to bug you Dave. MNPO was trying to assist one of our staff who hasnâ€™t received any calls through their twinned cell phone since yesterday afternoon. I learned the Ken Cowie was trying to troubleshoot but running into roadblocks and was trying to find you. I didnâ€™t see anything unusual in Mitel Director except maybe her number of rings.
Here are Kenâ€™s ticket notes:
Ken CowieÂ added a noteÂ Yesterday at 4:03 PM
Kimberlyâ€™s extension is not forwarding to her cell
just started happening after lunch
she can see the calls come in in Mitel Connect but her cell never rings
x6004 &gt; 780.995.0169
confirmed no issues with Mitel or AD accounts
called Kimberlyâ€™s direct line - got vm
called cell directly - worked
confirmed call routing settings and call handling mode
reached out to Dave
Michelle Rose BA
Manager, Communications &amp; Corporate Relations/Human Resources
EÂ Â Â Â Â mrose@mhkinsurance.com
DÂ Â Â Â 587.525.6047Â 
CÂ Â Â Â 780.983.2976
12316-107 Avenue, Edmonton, AB T5M 1Z1
www.mhkinsurance.com
We're here to help with your insurance needs. Emails and phone calls are still encouraged. Appointments are required for in-office broker meetings. Please wear a mask when visiting.
MHK welcomes e-Transfer payments tobanking@mhkinsurance.com.
If you receive this email in error, please notify us by reply email and destroy this message. MHK complies with Canada's Anti-Spam and Alberta's PIPA Legislations. If you no longer wish to receive emails from MHK, please reply with 'Unsubscribe' in the subject line.
From: Dave Beharrell &lt;Dave.Beharrell@mnp.ca&gt; 
Sent: Thursday, January 28, 2021 10:35 AM
To: Michelle Rose &lt;mrose@mhkinsurance.com&gt;
Subject: Re: Are you around to help with a Mitel issue that MNOP cannot solve?
Hi Michelle, I am on a cabling job this morning,Â  but can take a look. What's up? RegardsÂ  Â  Â  Dave Beharrell Senior Project Specialist PH.Â +1 7804246398 Ext 328 14505 114th A
Caution! This message was sent from outside your organization.
Allow sender
sophospsmartbannerend
Hi Michelle,
I am on a cabling job this morning,Â  but can take a look. What's up?
Regards
Dave Beharrell
Senior Project Specialist
PH.Â +1 7804246398 Ext 328
14505 114th Avenue NW
Edmonton, AB
T5M2Y8
Dave.Beharrell@mnp.ca
mnp.ca
[image]
[image]
From: Michelle Rose &lt;mrose@mhkinsurance.com&gt;
Sent: Thursday, January 28, 2021 10:21:48 AM
To: Dave Beharrell &lt;Dave.Beharrell@mnp.ca&gt;
Subject: Are you around to help with a Mitel issue that MNOP cannot solve?
CAUTION:This email originated from outside of the MNP network. Be cautious of any embedded links and/or attachments.
MISE EN GARDE:Ce courriel ne provient pas du rÃ©seau de MNP. MÃ©fiez-vous des liens ou piÃ¨ces jointes quâ€™il pourrait contenir.
Michelle Rose BA
Manager, Communications &amp; Corporate Relations/Human Resources
EÂ Â Â Â Â mrose@mhkinsurance.com
DÂ Â Â Â  587.525.6047Â 
CÂ Â Â Â  780.983.2976
12316-107 Avenue, Edmonton, AB T5M 1Z1
www.mhkinsurance.com
We're here to help with your insurance needs. Emails and phone calls are still encouraged. Appointments are requi...</t>
  </si>
  <si>
    <t>RE: Are you around to help with a Mitel issue that MNOP cannot solve?</t>
  </si>
  <si>
    <t>Sorry to bug you Dave. MNPO was trying to assist one of our staff who hasnâ€™t received any calls through their twinned cell phone since yesterday afternoon. I learned the Ken Cowie was trying to troubleshoot but running into roadblocks and was trying to find you. I didnâ€™t see anything unusual in Mitel Director except maybe her number of rings.
Here are Kenâ€™s ticket notes:
Ken CowieÂ added a noteÂ Yesterday at 4:03 PM
Kimberlyâ€™s extension is not forwarding to her cell
just started happening after lunch
she can see the calls come in in Mitel Connect but her cell never rings
x6004 &gt; 780.995.0169
confirmed no issues with Mitel or AD accounts
called Kimberlyâ€™s direct line - got vm
called cell directly - worked
confirmed call routing settings and call handling mode
reached out to Dave
Michelle Rose       BA
Manager, Communications &amp; Corporate Relations/Human Resources
EÂ Â Â Â Â  mrose@mhkinsurance.com
DÂ Â Â Â  587.525.6047Â 
CÂ Â Â Â  780.983.2976
12316-107 Avenue, Edmonton, AB  T5M 1Z1
www.mhkinsurance.com
[image]
[image]
We're here to help with your insurance needs. Emails       and phone calls are still encouraged. Appointments are required for       in-office broker meetings. Please wear a mask when       visiting.
MHK welcomes       e-Transfer payments to banking@mhkinsurance.com.
If you       receive this email in error, please notify us by reply email and destroy       this message. MHK complies with Canada's Anti-Spam and Alberta's PIPA       Legislations. If you no longer wish to receive emails from MHK, please       reply with 'Unsubscribe' in the subject   line.
From: Dave Beharrell &lt;Dave.Beharrell@mnp.ca&gt; 
Sent: Thursday, January 28, 2021 10:35 AM
To: Michelle Rose &lt;mrose@mhkinsurance.com&gt;
Subject: Re: Are you around to help with a Mitel issue that MNOP cannot solve?
Hi Michelle, I am on a cabling job this morning,Â  but can take a look. What's up? RegardsÂ  Â  Â  Dave Beharrell Senior Project Specialist PH.Â +1 7804246398 Ext 328 14505 114th A
Caution! This message was sent from outside your organization.
Allow sender | Block sender
sophospsmartbannerend
Hi Michelle,
I am on a cabling job this morning,Â  but can take a look. What's up?
Regards
Dave Beharrell
Senior Project Specialist
PH.Â +1 7804246398 Ext 328
14505 114th Avenue NW
Edmonton, AB
T5M2Y8
Dave.Beharrell@mnp.ca
mnp.ca
[image]
[image]
From: Michelle Rose &lt;mrose@mhkinsurance.com&gt;
Sent: Thursday, January 28, 2021 10:21:48 AM
To: Dave Beharrell &lt;Dave.Beharrell@mnp.ca&gt;
Subject: Are you around to help with a Mitel issue that MNOP cannot solve?
CAUTION:This email originated from outside of the MNP network. Be cautious of any embedded links and/or attachments.
MISE EN GARDE:Ce courriel ne provient pas du rÃ©seau de MNP. MÃ©fiez-vous des liens ou piÃ¨ces jointes quâ€™il pourrait contenir.
Michelle Rose BA
Manager, Communications &amp; Corporate Relations/Human Resources
EÂ Â Â Â Â mrose@mhkinsurance.com
DÂ Â Â Â  587.525.6047Â 
CÂ Â Â Â  780.983.2976
12316-107 Avenue, Edmonton, AB T5M 1Z1
www.mhkinsurance.com
[image]
[image]
We're here to help with your insurance needs. Emails and phone calls are still encouraged. Appointments are required for in-office broker meetings. Please wear a mask when visiting.
MHK welcomes e-Transfer payments to banking@mhkinsurance.com.
If you receive this email in error, please notify us by reply email and destroy this message. MHK complies with Canada's Anti-Spam and Alberta's PIPA Legislations. If you no longer wish to receive emails from MHK, please reply with 'Unsubscribe' in the subject line.
This email and any accompanying attachments contain confidential information intended only for the individual or entity named above. Any dissemination or action taken in reliance on this email or attachments by anyone other than the intended recipient is strictly prohibited. If you believe you have received this message in error, please delete it and contact the sender by return email. In compliance with Canada's Anti-spam legislation (CASL), if you do not wish to r...</t>
  </si>
  <si>
    <t>Julie Nadeau - New Employee</t>
  </si>
  <si>
    <t>### Summary of Issue_x000D_
New Employee_x000D_
  _x000D_
### Details of Issue_x000D_
Cathy McKinney- PA team
start date January 29.2021
UN
PW
EA_x000D_
  _x000D_
### Have you opened a ticket about this issue before?  _x000D_
 No  _x000D_
  _x000D_
### How many users are impacted by this issue?  _x000D_
 One  _x000D_
  _x000D_
### How would you classify this issue?  _x000D_
 Other</t>
  </si>
  <si>
    <t>Tony Newton</t>
  </si>
  <si>
    <t>FW: NORTRUX RFP</t>
  </si>
  <si>
    <t>Can you please advise if this is a legit e-mail, as I do not want to get a virus. It is from a vendor and want to be sure before opening.
If you could please advise.
Regards,
Tony Newton
Service Manager
[cid:image002.jpg@01D637F1.713BF890]
14610 Yellowhead Trail NW Edmonton, AB, T5L 3C5
Branch: 780-454-0491Â Â Â Â  Toll Free: 1-800-363-7819Â Â Â Â  Direct: 780-409-3363Â Â Â  Cell: 780-893-1135Â Â Â  Fax: 780-482-5663
Email:  tony.newton@calmont.ca
Website:  www.calmont.ca
This email, and any files transmitted with it, are confidential and are intended solely for the use of the individual or entity to which they are addressed. Any unauthorized use or disclosure is prohibited. Please notify the sender if you have received this email in error. Thank you for your co-operation.
From: Archie Meurs &lt;Archie.Meurs@nortrux.com&gt; 
Sent: January 28, 2021 10:47 AM
Subject: NORTRUX RFP
Hello,
Archie Meurs shared a RFP file with you
PROCEED TO ACCESS.Â Â Â Â Â Â Â Â Â Â Â Â Â Â Â Â   NORTRUX RFP
We will be delighted to hear what you think about this.
Regards,
Archie Meurs
Branch Manager/ Service Manager
[wd7uLjCoDOsRwAAAABJRU5ErkJggg==]
11401 96 Ave
Grande Prairie
780-512-7247 C
780-532-1290 M
archie.meurs@nortrux.com
[fXzwvtBBgAAAABJRU5ErkJggg==]
Locations in Edmonton, Grande Prairie and Red Deer
ISO 9001:2015 Certified | COR Certified
The information contained in this communication is confidential, may be privileged and is intended for the exclusive use of the above named addressee(s). If you are not the intended recipient(s), you are expressly prohibited from copying, distributing, disseminating, or in any other way using any information contained within this communication.
If you have received this communication in error please contact the sender by telephone or by response via email. Â We have taken precautions to minimize the risk of transmitting software viruses, but we advise you to carry out your own virus checks on any attachment to this message. We cannot accept liability for any loss or damage caused by software viruses.</t>
  </si>
  <si>
    <t>Corey Hobbs - New Email Account (membership)</t>
  </si>
  <si>
    <t>Hello
Can you please create an email specially for membership inquiries.
membership@mcmurraymetis.org
It should be on my computer and also Janine, copied.
Cheers Corey
[MM-logo-3 - Copy]
Corey Hobbs
Director, Communications and Government Relations
McMurray MÃ©tis (MNA Local 1935)
441 Sakitawaw Trail
Fort McMurray, Alberta
T9H 4P3
Phone:Â Â Â Â Â  780.743.2659
Email:Â Â Â Â Â Â corey.hobbs@mcmurraymetis.org
Facebook:www.facebook.com/McMurrayMetis
Twitter:Â Â Â Â www.twitter.com/McMurrayMetis
Website:Â Â www.McMurrayMetis.org
PPlease consider the environment before printing this email.
This message contains confidential information and is intended only for the named addressees.
If you believe that you received this email in error please notify the original sender and delete all copies.</t>
  </si>
  <si>
    <t>[HIGH] Alert for Sophos Central [Calmont Leasing Ltd]</t>
  </si>
  <si>
    <t>CAUTION: This email originated from outside of the MNP network. Be cautious of any embedded links and/or attachments.
MISE EN GARDE: Ce courriel ne provient pas du rÃ©seau de MNP. MÃ©fiez-vous des liens ou piÃ¨ces jointes quâ€™il pourrait contenir.
This email alert was generated by Sophos Central. Do not reply to this email.
[Sophos Central]
Sophos Central Event Details for Calmont Leasing Ltd
What happened: Safe Browsing detected browser Google Chrome has been compromised
Where it happened: CALMONT-D-6592
Path: C:\Program Files (x86)\Google\Chrome\Application\chrome.exe
What was detected: Intruder
User associated with device: Service
How severe it is: High
Help sources:
Sophos Central specific articles: https://community.sophos.com/kb?TopicId=9000.
Sophos Central Frequently Asked Questions (FAQ) - https://community.sophos.com/kb/en-us/119598.
Sign in to https://central.sophos.com/ for more information
Note: Depending on the alert email frequency setting you choose, we will either send one email for one alert of each type (for example, an alert for a protection-failed event) in any 24-hour period, or send one email for each alert. You might have more alerts of the same type in the dashboard of the Sophos Central console.</t>
  </si>
  <si>
    <t>Wilson Cheng</t>
  </si>
  <si>
    <t>Wilson Cheng - Permission for Import from Mobile in HJ</t>
  </si>
  <si>
    <t>### Summary of Issue_x000D_
Permission for Import from Mobile in HJ_x000D_
  _x000D_
### Details of Issue_x000D_
Requesting permission to import timecards form HJ_x000D_
  _x000D_
### Have you opened a ticket about this issue before?  _x000D_
 No  _x000D_
  _x000D_
### How many users are impacted by this issue?  _x000D_
 One  _x000D_
  _x000D_
### How would you classify this issue?  _x000D_
 Work Impacting</t>
  </si>
  <si>
    <t>Karen Park (Kyung-Ah Ulep)</t>
  </si>
  <si>
    <t>FW: [CAUTION: SUSPECT SENDER] Request for Insurance Certificate _C.R. TRUCKING LTD.</t>
  </si>
  <si>
    <t>Good morning,
Please advise if itâ€™s safe to click on the â€˜open messageâ€™.
Thank you,
Karen
Karen Park (Kyung-Ah Ulep)       
Account Manager, Commercial Lines
EÂ Â Â Â Â  KPark@mhkinsurance.com
DÂ Â Â Â  587.525.6016Â 
12316-107 Avenue, Edmonton, AB  T5M 1Z1
www.mhkinsurance.commailto:KPark@mhkinsurance.com)
[image]
[image]
We're here to help with your insurance needs. Emails       and phone calls are still encouraged. Appointments are required for       in-office broker meetings. Please wear a mask when       visiting.
MHK welcomes       e-Transfer payments to banking@mhkinsurance.com.
If you       receive this email in error, please notify us by reply email and destroy       this message. MHK complies with Canada's Anti-Spam and Alberta's PIPA       Legislations. If you no longer wish to receive emails from MHK, please       reply with 'Unsubscribe' in the subject   line.
From:anuradha.aerlam wellsfargo.com &lt;notification@securemail.wellsfargo.com&gt; 
Sent: Thursday, January 28, 2021 7:03 AM
To: MHK General Mailbox &lt;general@mhkinsurance.com&gt;
Subject: [CAUTION: SUSPECT SENDER] Request for Insurance Certificate _C.R. TRUCKING LTD.
New Zix secure email message from Wells Fargo Do not reply to this notification message; this message was auto-generated by the sender's security system. Open Message To view the secure message or rep
Caution! This message was sent from outside your organization.
Allow sender | Block sender
sophospsmartbannerend
New Zix secure email message from Wells Fargo
Do not reply to this notification message; this message was auto-generated by the sender's security system.
Open Message
To view the secure message or reply to the sender, click Open Message.
The secure message expires on Feb 27, 2021 @ 02:03 PM (GMT).
If clicking Open Message does not work, copy and paste the link below into your Internet browser address bar.
https://securemail.wf.com/s/e?
This message may contain confidential and/or privileged information. If you are not the addressee or authorized to receive this for the addressee, you must not use, copy, disclose, or take any action based on this message or any information herein. If you have received this message in error, please advise the sender immediately by reply e-mail and delete this message. Thank you for your cooperation.</t>
  </si>
  <si>
    <t>FW: Access to Mackenzie's outlook (365)</t>
  </si>
  <si>
    <t>Good morning,
Please provide access for myself, (Vanessa Pierce) and Alanna Rast to the Outlook 365 (email) for Mackenzie Brisebois.
Please let us know when this has been completed.
Should you have any questions or concerns please let me know.
Thank you,
~Vanessa
Vanessa Pierce       
Manager, Commercial Business Unit
EÂ Â Â Â Â  VPierce@mhkinsurance.com
DÂ Â Â Â  587.525.6073Â 
12316-107 Avenue, Edmonton, AB  T5M 1Z1
www.mhkinsurance.commailto:VPierce@mhkinsurance.com)
[image]
[image]
We're here to help with your insurance needs. Emails       and phone calls are still encouraged. Appointments are required for       in-office broker meetings. Please wear a mask when       visiting.
MHK welcomes       e-Transfer payments to banking@mhkinsurance.â€‰com.
If you       receive this email in error, please notify us by reply email and destroy       this message. MHK complies with Canada's Anti-Spam and Alberta's PIPA       Legislations. If you no longer wish to receive emails from MHK, please       reply with 'Unsubscribe' in the subject   line.</t>
  </si>
  <si>
    <t>Tonya Noseworthy</t>
  </si>
  <si>
    <t>need cord from laptop to screen</t>
  </si>
  <si>
    <t>Good morning â€“ I am working on a laptop and would like to have a monitor to go with it
I have monitor but need a cord to go with
Looks like I need hdmi- dvi kind of cord
Tonya Noseworthy
[cid:image001.jpg@01D6EB31.AD62B360]
14610 Yellowhead Trail NW Edmonton, AB, T5L 3C5
Branch: 780-454-0491Â Â Â Â  Toll Free: 1-800-363-7819Â Â Fax: 780-482-5663
Email:tonya.noseworthy@calmont.ca
Website:www.calmont.ca
This email, and any files transmitted with it, are confidential and are intended solely for the use of the individual or entity to which they are addressed. Any unauthorized use or disclosure is prohibited. Please notify the sender if you have received this email in error. Thank you for your co-operation.</t>
  </si>
  <si>
    <t>[image]
A high-severity alert has been triggered
âš Microsoft 365 compliance center
Severity:â—High
Time:1/28/2021 4:51:44 PM (UTC)
Activity:Protection
Details: 1 message hit on 9ee2de9d-929c-429c-0e9f-08d8c3accb3a-3850072066667066805-1, sent by info@xupoli.com to daphne.schryver@igloo.ca at time 1/28/2021 4:51:44 PM.
              View alert details          
Thank you, 
The Office 365 Team
[image]
One Microsoft Way
Redmond, WA
98052-6399 USA
Privacy | Legal</t>
  </si>
  <si>
    <t>Corey Hobbs - New email Account (Len Hansen)</t>
  </si>
  <si>
    <t>Morning
We need a new email account set up:
Email: Len.hansen@mcmurraymetis.org
It should be web based and set up so that it can added to his personal computer.
Thanks Corey
[MM-logo-3 - Copy]
Corey Hobbs
Director, Communications and Government Relations
McMurray MÃ©tis (MNA Local 1935)
441 Sakitawaw Trail
Fort McMurray, Alberta
T9H 4P3
Phone:Â Â Â Â Â  780.743.2659
Email:Â Â Â Â Â Â corey.hobbs@mcmurraymetis.org
Facebook:www.facebook.com/McMurrayMetis
Twitter:Â Â Â Â www.twitter.com/McMurrayMetis
Website:Â Â www.McMurrayMetis.org
PPlease consider the environment before printing this email.
This message contains confidential information and is intended only for the named addressees.
If you believe that you received this email in error please notify the original sender and delete all copies.</t>
  </si>
  <si>
    <t>Lorna Baxandall</t>
  </si>
  <si>
    <t>Check address book 2020-21 school rep list</t>
  </si>
  <si>
    <t>Good morning,
Can you check to see if this person is on the list, and if not add or see if the name is correct in the database?
Guasp, Paola - Â Paola.Guasp@ecsd.net
Thank you!
Lorna
[ECT Local 54 green-blue.jpg]Lorna Baxandall
Administrative Coordinator
Edmonton Catholic Teachers
Local 54 of the Alberta Teachersâ€™ Association
W: (780) 451 1196
lorna.baxandall@ecteachers.ca</t>
  </si>
  <si>
    <t>James Armitage - Align Ortho - Create reoccuring ticket for Exchange Certificate updates</t>
  </si>
  <si>
    <t>### Summary of Issue_x000D_
Align Ortho - Create reoccuring ticket for Exchange Certificate updates_x000D_
  _x000D_
### Details of Issue_x000D_
Align was switched to using a Let's Encrypt certificate in prep for the O365 migration project. This was delayed due to covid. Ticket should reoccur every 60 days.
Steps:
1. Open Exchange Management Console.
2. Expand Microsoft Exchange On-Premises, and click on Server Configuration.
3. Once the panels have loaded, the bottom right panel will be the Certificates for Exchange.
4. In the list will be multiple certificates with names like "mail.alignortho.com Certify - date". Select the one with the most recent date.
5. Right click the certificate, and select Assign Service to Certificate.
6. The wizard will open for assigning the services, select IMAP, POP, IIS, SMTP. Click next and then assign to assign the certificate to the services._x000D_
  _x000D_
### Have you opened a ticket about this issue before?  _x000D_
 No  _x000D_
  _x000D_
### How many users are impacted by this issue?  _x000D_
 Everyone  _x000D_
  _x000D_
### How would you classify this issue?  _x000D_
 Other</t>
  </si>
  <si>
    <t>FW: RUSH Quote for Surface Pro for Chris Tanner</t>
  </si>
  <si>
    <t>From: Joanne Chaloner &lt;JoanneC@caryacalgary.ca&gt; 
Sent: Thursday, January 28, 2021 8:18 AM
To: Sales - MNP IT Managed Services &lt;sales@mnptechnology.ca&gt;
Subject: RUSH Quote for Surface Pro for Chris Tanner
CAUTION:This email originated from outside of the MNP network. Be cautious of any embedded links and/or attachments.
MISE EN GARDE:Ce courriel ne provient pas du rÃ©seau de MNP. MÃ©fiez-vous des liens ou piÃ¨ces jointes quâ€™il pourrait contenir.
Hello Sales,
Can you please send me a quote for a new Surface Pro with Pen and keyboard?Â Â Â  This one does not need a dock or a SIM card slot.Â  (the same model as the ones we ordered on AAAQ19961 â€“ your ticket 1347534)
Thanks,
Joey
[image]
Joanne Chaloner
Accountant
T: 403-205-5270 | E: JoanneC@caryacalgary.ca|F: 403-205-5273
180, 839 5 Ave SW | Calgary, AB | T2P 3C8
[image]Â [image][instagram-1675670]Â [image]
carya (formerly Calgary Family Services)
Stay up to date with the latest carya news, programs, and events by signing up for ourmonthly newsletter.
In the spirit of our efforts to promote reconciliation, we acknowledge the traditional territories and oral practices of the Blackfoot, the Tsuut'ina, the Stoney Nakoda First Nations, the MÃ©tis Nation Region 3, and all people who make their homes in the Treaty 7 region of Southern Alberta. We also respectfully acknowledge that the province of Alberta is comprised of Treaty 6, Treaty 7, and Treaty 8 territory, the traditional lands of First Nations and MÃ©tis peoples.
No form of electronic communication is secure and may be intercepted by others. Carya cannot guarantee the receipt of electronic communication nor a timely response. Where communication is confidential or time sensitive we recommend you call 403-269-9888 during business hours (Monday-Friday, 8:30am-4:30pm). For immediate crisis response please contact the Distress Centre Crisis Line at 403-266-HELP (4537) and in case of an emergency dial 911.
This e-mail is intended solely for the person or entity to which it is addressed and may contain confidential and/or privileged information. Any review, dissemination, copying, printing, forwarding or other use of this e-mail by persons or entities other than the addressee is prohibited. If you have received this e-mail in error, please contact the sender immediately and delete the material from your computer.</t>
  </si>
  <si>
    <t>Fidelis Uduehi - Rehn's Gun 10 Faulty keypad</t>
  </si>
  <si>
    <t>Hi,  _x000D_
  _x000D_
This Gun has a faulty "A" key, will need to be shipped out for repair. Gun 29 has been assigned to Rehn as replacement.  _x000D_
  _x000D_
Gun# 10  _x000D_
Serial#16921543236</t>
  </si>
  <si>
    <t>Jackson Stelte</t>
  </si>
  <si>
    <t>Program Install</t>
  </si>
  <si>
    <t>Good morning,
I need to install a program on my local computer. It's the triforce analyzer software. I already have the installation file downloaded; I just can't install it as I don't have rights to create files in the Program Files (x86) folder.Â 
I'll be away from the office after 12 this afternoon, so if I could get it installed before then that would be fantastic.
Thank you,
[image]
Jackson Stelte
Floor Designer
Phone/Fax: 780.665.3223
21421 111 Avenue NWÂ |Â Edmonton, ABÂ |Â T5S 1Y1
[image]Â Â [image]Â Â [image]Â  Â  Â  Â  Â  Â  Â [image]Â [image]</t>
  </si>
  <si>
    <t>Tamara Stelte</t>
  </si>
  <si>
    <t>Tamara Stelte - I need to install an update for a program called Triforce Quicktools on my PC.</t>
  </si>
  <si>
    <t>### Summary of Issue_x000D_
I need to install an update for a program called Triforce Quicktools on my PC._x000D_
  _x000D_
### Details of Issue_x000D_
I need rights to instal an update for a program called Triforce Quicktools on my PC. It is not on the server._x000D_
  _x000D_
### Have you opened a ticket about this issue before?  _x000D_
 No  _x000D_
  _x000D_
### How many users are impacted by this issue?  _x000D_
 Some  _x000D_
  _x000D_
### How would you classify this issue?  _x000D_
 Work Impacting  _x000D_
  _x000D_
### If your callback number is different than what's on record, please provide it below._x000D_
780-665-3242</t>
  </si>
  <si>
    <t>Brian Sakovich</t>
  </si>
  <si>
    <t>Brian Sakovich - Cannot Download Files fron GNWT site - event 4661</t>
  </si>
  <si>
    <t>[image]
Brian Sakovich
Sales RepresentativeÂ 
Phone/Fax: 780.665.3370Â |Â Mobile: 780.721.1849
21421 111 Avenue NWÂ |Â Edmonton, ABÂ |Â T5S 1Y1
[image]Â Â [image]Â Â [image]Â  Â  Â  Â  Â  Â  Â [image]Â [image]</t>
  </si>
  <si>
    <t>Daphne Schryver</t>
  </si>
  <si>
    <t>Outlook sync issues</t>
  </si>
  <si>
    <t>Hi,   _x000D_
  _x000D_
Daphne is missing emails in outlook can you please get this resolved?  _x000D_
  _x000D_
Contact 780-665-3212  _x000D_
  _x000D_
Thanks</t>
  </si>
  <si>
    <t>Andrea Ruether</t>
  </si>
  <si>
    <t>FW: Accepted: Social Huddle</t>
  </si>
  <si>
    <t>Hello,
One of my coworkers received a bounce back from me yesterday, and we arenâ€™t sure why. Could you look into this please?
Thanks,
Andrea Ruether, Intern Architect
Group2
Architecture Interior Design Ltd.
630c-10th Street E Saskatoon SK S7H 0G9
T +1Â 306 979 2935
group2.ca
From: Stephen Faust &lt;Stephen.Faust@group2.ca&gt;
Sent: January 27, 2021 6:35 PM
To: Andrea Ruether &lt;Andrea.Ruether@group2.ca&gt;
Subject: FW: Accepted: Social Huddle
Tried to accept your invite, but received the below bounce back. Just an FYI in case your missing emails from anyone else â€“ might be worth asking MNP.
Regards,
Stephen Faust, Architect
AAA MRAIC
Group2
Architecture Interior Design Ltd.
900-10150 St NW, Edmonton, AB, T5J 0P6
T +1 780 447 2990 (ext. 524)
group2.ca
Group2 is committed to being both responsive and responsible in navigating these extraordinary times with everyoneâ€™s safety in mind. Since the outset of the COVID-19 situation, we have enabled our employees to work remotely, allowing us to continue business operations and maintain our client commitments.
This email and any files transmitted with it are confidential and intended solely for the use of the individual or entity to whom they are addressed. If you have received this email in error please notify the system manager. This message contains confidential information and is intended only for the individual named. If you are not the named addressee you should not disseminate, distribute or copy this e-mail.
From: Microsoft Outlook &lt;MicrosoftExchange329e71ec88ae4615bbc36ab6ce41109e@group2.onmicrosoft.com&gt;
Sent: January 27, 2021 5:33 PM
To: Stephen Faust
Subject: Undeliverable: Accepted: Social Huddle
Delivery has failed to these recipients or groups:
Andrea Ruether (Andrea.Ruether@group2.ca)
There's a problem with the recipient's mailbox. Please try resending the message. If the problem continues, please contact your email admin.
Diagnostic information for administrators:
Generating server: MWHPR19MB1597.namprd19.prod.outlook.com
Andrea.Ruether@group2.ca
Remote Server returned '554 5.2.0 STOREDRV.Deliver.Exception:StoragePermanentException.MapiExceptionInvalidParameter; Failed to process message due to a permanent exception with message Cannot modify recipients. 1.65506:00000000, 1.49122:02000000, 1.57314:00000000, 1.30670:00000000, 4.25550:57000780, 0.20017:86030000, 4.28209:57000780 [Stage: OnCreatedEvent][Agent: Meeting Message Processing Agent]'
Original message headers:
```
Authentication-Results: group2.ca; dkim=none (message not signed)
```
```
header.d=none;group2.ca; dmarc=none action=none header.from=group2.ca;
```
```
Received: from MWHPR19MB1023.namprd19.prod.outlook.com (2603:10b6:300:9e::10)
```
```
by MWHPR19MB1597.namprd19.prod.outlook.com (2603:10b6:300:c7::14) with
```
```
Microsoft SMTP Server (version=TLS1_2,
```
```
cipher=TLS_ECDHE_RSA_WITH_AES_256_GCM_SHA384) id 15.20.3784.11; Thu, 28 Jan
```
```
2021 00:32:38 +0000
```
```
Received: from MWHPR19MB1023.namprd19.prod.outlook.com
```
```
(fe80::c5bd:d031:761b:19dc) by MWHPR19MB1023.namprd19.prod.outlook.com
```
```
(fe80::c5bd:d031:761b:19dc%11) with mapi id 15.20.3784.019; Thu, 28 Jan
```
```
2021 00:32:38 +0000
```
```
Content-Type: application/ms-tnef; name="winmail.dat"
```
```
Content-Transfer-Encoding: binary
```
```
From: Stephen Faust &lt;Stephen.Faust@group2.ca&gt;
```
```
To: Andrea Ruether &lt;Andrea.Ruether@group2.ca&gt;
```
```
Subject: Accepted: Social Huddle
```
```
Thread-Topic: Social Huddle
```
```
Thread-Index: AQHW9Ahk3arKlGERc0yvH4B7CpyUAKo8MkMw
```
```
Date: Thu, 28 Jan 2021 00:32:38 +0000
```
```
Message-ID: &lt;MWHPR19MB102380F31C740EE5B142974EB1BA9@MWHPR19MB1023.namprd19.prod.outlook.com&gt;
```
```
Accept-Language: en-US
```
```
Content-Language: en-US
```
```
X-MS-Has-Attach:
```
```
X-MS-TNEF-Correlator: &lt;MWHPR19MB102380F31C740EE5B142974EB1BA9@MWHPR19MB1023.namprd19.prod.outlook.com&gt;
```
```
MIME-Version: 1.0
```
```
X-Originating-IP: 204.191.248.58
```
```
X-MS-PublicTrafficType: Ema...</t>
  </si>
  <si>
    <t>Roxanne Perry (Inactive)</t>
  </si>
  <si>
    <t>FW: Surface Pro Pen (replace Jenn Stroeder's lost Pen)</t>
  </si>
  <si>
    <t>From: Joanne Chaloner &lt;JoanneC@caryacalgary.ca&gt; 
Sent: Wednesday, January 27, 2021 4:39 PM
To: Sales - MNP IT Managed Services &lt;sales@mnptechnology.ca&gt;
Subject: Surface Pro Pen (replace Jenn Stroeder's lost Pen)
CAUTION:This email originated from outside of the MNP network. Be cautious of any embedded links and/or attachments.
MISE EN GARDE:Ce courriel ne provient pas du rÃ©seau de MNP. MÃ©fiez-vous des liens ou piÃ¨ces jointes quâ€™il pourrait contenir.
Hi,
Can you please send me a quote for Qty 1 Surface Pro Pen?Â  The Surface Pro is a 7 (not sure if that matters).
Thanks,
Joey
[image]
Joanne Chaloner
Accountant
T: 403-205-5270 | E: JoanneC@caryacalgary.ca|F: 403-205-5273
180, 839 5 Ave SW | Calgary, AB | T2P 3C8
[image]Â [image][instagram-1675670]Â [image]
carya (formerly Calgary Family Services)
Stay up to date with the latest carya news, programs, and events by signing up for ourmonthly newsletter.
In the spirit of our efforts to promote reconciliation, we acknowledge the traditional territories and oral practices of the Blackfoot, the Tsuut'ina, the Stoney Nakoda First Nations, the MÃ©tis Nation Region 3, and all people who make their homes in the Treaty 7 region of Southern Alberta. We also respectfully acknowledge that the province of Alberta is comprised of Treaty 6, Treaty 7, and Treaty 8 territory, the traditional lands of First Nations and MÃ©tis peoples.
No form of electronic communication is secure and may be intercepted by others. Carya cannot guarantee the receipt of electronic communication nor a timely response. Where communication is confidential or time sensitive we recommend you call 403-269-9888 during business hours (Monday-Friday, 8:30am-4:30pm). For immediate crisis response please contact the Distress Centre Crisis Line at 403-266-HELP (4537) and in case of an emergency dial 911.
This e-mail is intended solely for the person or entity to which it is addressed and may contain confidential and/or privileged information. Any review, dissemination, copying, printing, forwarding or other use of this e-mail by persons or entities other than the addressee is prohibited. If you have received this e-mail in error, please contact the sender immediately and delete the material from your computer.</t>
  </si>
  <si>
    <t>Kaila Burnham</t>
  </si>
  <si>
    <t>Kaila Burnham - Access to folder on W:</t>
  </si>
  <si>
    <t>Hello, 
Iâ€™m a practicum student with the Prime Time program at carya. Our folder recently got moved on the W: and I can longer access it. In order to access it I need to be given access to the Shared MWC folder and specifically the Prime Time folder within the MWC Folder. Please let me know if you need any more information to make this possible. I have ccâ€™d my practicum supervisor on this email.
Thank you,
Kaila Burnham
--
[signature_127481666]
Kaila Burnham
Pronouns: she/her
Practicum Student
E:Â kailab@caryacalgary.ca
180, 839 5 Ave SW | Calgary, AB | T2P 3C8
[cidimage003.jpg@01D6EA5E.B070DBA0]Â [cidimage004.jpg@01D6EA5E.B070DBA0][instagram-1675670]Â [cidimage006.jpg@01D6EA5E.B070DBA0]
caryaÂ (formerly Calgary Family Services)
Stay up to date with the latest carya news, programs, and events by signing up for ourÂ monthly newsletter.
In the spirit of our efforts to promote reconciliation, we acknowledge the traditional territories and oral practices of the Blackfoot, the Tsuut'ina, the Stoney Nakoda First Nations, the MÃ©tis Nation Region 3, and all people who make their homes in the Treaty 7 region of Southern Alberta. We also respectfully acknowledge that the province of Alberta is comprised of Treaty 6, Treaty 7, and Treaty 8 territory, the traditional lands of First Nations and MÃ©tis peoples.
No form of electronic communication is secure and may be intercepted by others. Carya cannot guarantee the receipt of electronic communication nor a timely response. Where communication is confidential or time sensitive we recommend you call 403-269-9888 during business hours (Monday-Friday, 8:30am-4:30pm). For immediate crisis response please contact the Distress Centre Crisis Line at 403-266-HELP (4537) and in case of an emergency dial 911.
This e-mail is intended solely for the person or entity to which it is addressed and may contain confidential and/or privileged information. Any review, dissemination, copying, printing, forwarding or other use of this e-mail by persons or entities other than the addressee is prohibited. If you have received this e-mail in error, please contact the sender immediately and delete the material from your computer.</t>
  </si>
  <si>
    <t>Joanne Chaloner - Equipment drop off</t>
  </si>
  <si>
    <t>### Summary of Issue_x000D_
Equipment drop off_x000D_
  _x000D_
### Details of Issue_x000D_
Anne McIlwaine will be dropping off a Surface Pro X-3124 and carya cell phone 587-891-5950 at your office in calgary on Feb 1, at approx 3:30pm.  If you could please do updates on the Surface Pro, and ensure that it has Zoom (the one for all users in the Public Folder), Teams and VPN on it - that would be great.  Please wipe the phone and set up for a new user.  Please also do all of the updates on it.  I don't have her userID or password yet, but I can add the email later._x000D_
  _x000D_
### Have you opened a ticket about this issue before?  _x000D_
 No  _x000D_
  _x000D_
### How many users are impacted by this issue?  _x000D_
 One  _x000D_
  _x000D_
### How would you classify this issue?  _x000D_
 Work Impacting</t>
  </si>
  <si>
    <t>Corey Hobbs - SPAM</t>
  </si>
  <si>
    <t>Hey
This spam got thru today:
[image]
[MM-logo-3 - Copy]
Corey Hobbs
Director, Communications and Government Relations
McMurray MÃ©tis (MNA Local 1935)
441 Sakitawaw Trail
Fort McMurray, Alberta
T9H 4P3
Phone:Â Â Â Â Â  780.743.2659
Email:Â Â Â Â Â Â corey.hobbs@mcmurraymetis.org
Facebook:www.facebook.com/McMurrayMetis
Twitter:Â Â Â Â www.twitter.com/McMurrayMetis
Website:Â Â www.McMurrayMetis.org
PPlease consider the environment before printing this email.
This message contains confidential information and is intended only for the named addressees.
If you believe that you received this email in error please notify the original sender and delete all copies.</t>
  </si>
  <si>
    <t xml:space="preserve">Displays are damaged on two reception phones </t>
  </si>
  <si>
    <t xml:space="preserve">Extended Summary
Quote Request - Pulse Veterinary Specialist and Emergency Ltd - Request for 2x Panasonic KX-NT680 Phones
_x000D_
Description
### End User Hardware  
  _x000D_
### What company is this quote for?
Pulse Veterinary Specialist and Emergency Ltd
  _x000D_
### Who made this request and why?
Bryce Johnston because there is a phone with a whited out LCD screen that can't be fixed by the controls on the phone, and another phone with unknown issues that I haven't dealt with.
  _x000D_
### Give this request a name
Request for 2x Panasonic KX-NT680 Phones
  _x000D_
### Who should the quote be addressed to?  
 Someone else  
  _x000D_
### Who should it be addressed to?
Bryce Johnston
  _x000D_
### Which location is the product for?
450 Ordze Rd, Sherwood Park AB, T8H 2T3
  _x000D_
### Is there an existing ticket on another Connectwise board? If so what is the ticket number?
1353224
  _x000D_
### Which ND location is it needed at?  
 Next Digital Edmonton  
  _x000D_
### When is it needed by OR when is the next site visit for the client's location?  
Thu 4 Feb, 2021  
  _x000D_
### Do you need labour quoted?  
 Yes  
  _x000D_
### What products do you need on this quote?  
 Accessories (Mice, keyboards, RAM/SSD upgrades etc)  
  _x000D_
### Accessories  
  _x000D_
### What do you need?  
 Other  
  _x000D_
### What do you need?
No accessories needed. Just wasn't able to get this request created without putting something.
Short Description: There are 2 phones that need to be replaced as they are having issues. One has an LCD screen that no text can be made out on as it has lost the ability to control it's contract levels and is almost all white. The other phone is an unknown that Bryce requested be replaced.
  _x000D_
### What products do you need quoted?
2x Panasonic KX-NT680 Phones
</t>
  </si>
  <si>
    <t>Stroeder, Jennifer - Termination, January 29, 2021</t>
  </si>
  <si>
    <t>Good afternoon,
Please be advised that Jennifer Stroederâ€™s last day with Carya is on Friday, January 29, 2021 â€“ please see attached form for details and let me know if you have any questions.
Thanks,
Angeli
[image]
Angeli AlipioBBA
HR Generalist
T: 403.205.5233 |C: 403.619.7126 | E: AngeliA@caryacalgary.ca| F: 403.205.5281
180, 839 5 Ave SW | Calgary, AB | T2P 3C8
[image]Â [image]Â [image]
carya (formerly Calgary Family Services)
We are working remotely to help Calgarians through the COVID-19 pandemic. Please reach out to us if you need support.carya is here for you.
In the spirit of our efforts to promote reconciliation, we acknowledge the traditional territories and oral practices of the Blackfoot, the Tsuut'ina, the Stoney Nakoda First Nations, the MÃ©tis Nation Region 3, and all people who make their homes in the Treaty 7 region of Southern Alberta. We also respectfully acknowledge that the province of Alberta is comprised of Treaty 6, Treaty 7, and Treaty 8 territory, the traditional lands of First Nations and MÃ©tis peoples.
No form of electronic communication is secure and may be intercepted by others. Carya cannot guarantee the receipt of electronic communication nor a timely response. Where communication is confidential or time sensitive we recommend you call 403-269-9888 during business hours (Monday-Friday, 8:30am-4:30pm). For immediate crisis response please contact the Distress Centre Crisis Line at 403-266-HELP (4537) and in case of an emergency dial 911.
This e-mail is intended solely for the person or entity to which it is addressed and may contain confidential and/or privileged information. Any review, dissemination, copying, printing, forwarding or other use of this e-mail by persons or entities other than the addressee is prohibited. If you have received this e-mail in error, please contact the sender immediately and delete the material from your computer.</t>
  </si>
  <si>
    <t>Parts Phone Issues at SP Volkswagen</t>
  </si>
  <si>
    <t>Hi, The Parts Phone Queue and Park Lines have been having issues now for a long time at SPVW, I have worked with Dave on Options, we have had to regularly Â restart the switches.
Should we consider deleting and recreating the whole Parts ques and phones? Dave you are aware of the parts parking issues _ we really need a permanent solution to this can you escalate this to a critical state.
Thanks,
Ben
BenÂ Trueman
Information Technology Operations Manager
[Auto Canada]
B:Â 780-509-2814Â |Â C:
#200 - 15511 123 Avenue NW | Edmonton | AB | T5V 0C3Â 
btrueman@autocan.caÂ |Â www.autocan.ca</t>
  </si>
  <si>
    <t>Teresa Ma</t>
  </si>
  <si>
    <t>Teresa Ma -  Install Reflex TEST</t>
  </si>
  <si>
    <t>Please assist Teresa with this and let Mandy know once complete
AJ Whitford
Field Services Technician
PH.Â +1 7804246398
14505 114th Avenue NW
Edmonton,       AB
T5M2Y8
AJ.Whitford@mnp.ca
mnp.ca [image]
[image]
From: Mandy Wang &lt;MWang@maclabdevelopment.com&gt;
Sent: January 27, 2021 3:32 PM
To: AJ Whitford &lt;AJ.Whitford@mnp.ca&gt;; Michael Kwan &lt;MKwan@maclabdevelopment.com&gt;
Subject: RE: Laptop for new employee
CAUTION:This email originated from outside of the MNP network. Be cautious of any embedded links and/or attachments.
MISE EN GARDE:Ce courriel ne provient pas du rÃ©seau de MNP. MÃ©fiez-vous des liens ou piÃ¨ces jointes quâ€™il pourrait contenir.
Hi AJ,
Teresa only have Reflex LIVE in her laptop, could you please instal Reflex TEST for her as my original request at the bottom of this email chain?
Thanks,
[image][image][image]
We have moved. Please note our new address.</t>
  </si>
  <si>
    <t>Les Bryan</t>
  </si>
  <si>
    <t>Les Bryan - Change access to folder</t>
  </si>
  <si>
    <t>### Summary of Issue_x000D_
Change access to folder_x000D_
  _x000D_
### Details of Issue_x000D_
A job costing folder (21-01-04 CNRL) was created in Quinn's job costing folder but has been moved to Chris Flamand's job costing folder on J drive.  Please give Chris access to the folder and the files in it_x000D_
  _x000D_
### Have you opened a ticket about this issue before?  _x000D_
 No  _x000D_
  _x000D_
### How many users are impacted by this issue?  _x000D_
 Some  _x000D_
  _x000D_
### How would you classify this issue?  _x000D_
 Minor Inconvenience  _x000D_
  _x000D_
### If your callback number is different than what's on record, please provide it below._x000D_
4033044848</t>
  </si>
  <si>
    <t>FW: Feb 7 - Sterling Place - Power Shut-Down</t>
  </si>
  <si>
    <t>FYI
From: ryan.williams@gwlra.com [mailto:GWL.communication@com.ng1.angusanywhere.com]
Sent: Wednesday, January 27, 2021 3:09 PM
To: Nora Decosemo &lt;Nora.Decosemo@nrcb.ca&gt;
Subject: Feb 7 - Sterling Place - Power Shut-Down
Please see the attached memo along with Epcor notice regarding a power shut down for upgrade on Sunday, February 7th.
Regards,
Ryan Williams
Assistant Property Manager
GWL REALTY ADVISORS
Suite 1800, 10065 Jasper Avenue, Edmonton, ABÂ  T5J 3B1
Ryan.Williams@GWLRA.com
The contents of this communication, including any attachment(s), are confidential and may be privileged. If you are not the intended recipient (or are not receiving this communication on behalf of the intended recipient), please notify the sender immediately and delete or destroy this communication without reading it, and without making, forwarding, or retaining any copy or record of it or its contents. Thank you. Note: We have taken precautions against viruses,but take no responÂ­sibility for loss or damage caused by any virus present.By giving us your email address, you agree to allowGWLRealty Advisors Inc.to contact you from time to time until you tell us otherwise. If you have any questions, please contact us atUnsubscribeCASL@gwlra.com.
Le contenu de la prÃ©sente communication, y compris tout fichier joint, est confiÂ­dentiel et peut Ãªtre privilÃ©giÃ©. Si vous nâ€™Ãªtes pas le destinataire visÃ© (ou si vous ne recevez pas la prÃ©sente communication au nom du destinataire visÃ©), veuillez en aviser immÃ©diatement lâ€™expÃ©diteur et supprimer ou dÃ©truire le prÃ©sent message sans le lire, en tirer des copies, le retransmettre ou en enregistrer le contenu. Merci. Ã€ noter : Nous avons pris des mesures de protection contre les virus, mais nous nâ€™assumons aucune responsabilitÃ© pour ce qui est de la perteou des domÂ­mages causÃ©s par la prÃ©sence dâ€™un virus. En nous donnant votre adresse de courriel, vous autorisezÂ La sociÃ©tÃ© Conseillersimmobiliers GWLÃ  communiquer avec vous de jusquâ€™Ã  indication contraire de votre part. Si vous avez des questions, veuillez communiquer avec nous pardesabonnementLCAP@gwlra.com.</t>
  </si>
  <si>
    <t>FW: File "lexusofedmonton Financial Statement - Jan 2021.xlsx" Has Been Shared With eschindel@lexuso</t>
  </si>
  <si>
    <t>This email looks suspicious but also very good compared to the normal ones that are more obvious. We are not aware of sending it. Maybe you guys can see if it is authentic safely and if not if there is a way to prevent it in the future as I am sure a lot of staff would click it.
Sincerely,
[image]
Evan Schindel | General Manager | Lexus of Edmonton 
Tel: 780-466-8300 | eschindel@lexusofedmonton.ca Â | www.lexusofedmonton.ca
[image]
Lexus of Edmonton family member since 2015
From: lexusofedmonton.ca Admin &lt;eschindel@lexusofedmonton.ca&gt; 
Sent: January 27, 2021 6:23 AM
To: Evan Schindel &lt;eschindel@lexusofedmonton.ca&gt;
Subject: File "lexusofedmonton Financial Statement - Jan 2021.xlsx" Has Been Shared With eschindel@lexusofedmonton.ca
[image]
lexusofedmonton Financial Â   Statements has been shared with you
Let me know if you'd like to review it together. Thanks!
[image]
lexusofedmonton FinancialÂ Statements.xlsx
[image]
This link will work for  eschindel@lexusofedmonton.ca
Open
[image]</t>
  </si>
  <si>
    <t>Cooper Law</t>
  </si>
  <si>
    <t>James Hackett</t>
  </si>
  <si>
    <t>FW: Crypto API Private Key</t>
  </si>
  <si>
    <t>Hello,
One of our staff is getting the popup below â€œCyrptoAPTâ€. It has come up consistently for a few days and continues to come up despite clicking â€œDonâ€™t Allowâ€. I have scanned the system with Sophos with no results.
Can you open a ticket to advise and potentially remote in to check the system?
Thanks,
James M. Hackett,B.A., J.D.
Barrister and Solicitor
Cooper &amp; Company
212 9714 Main Street
Fort McMurrayÂ  ABÂ  T9H 1T6
Phone: (780) 791-7787
Fax: (780) 791-0750
James@coopercompanylaw.com
This e-mail contains confidential information.Â  If you are not the intended recipient or have received this e-mail in error, please notify the sender immediately and destroy this e-mail.Â  Any unauthorized copying, disclosure or distribution of the e-mail or the information it contains, is strictly forbidden.
PPlease consider your environment before printing this e-mail
Please note that Cooper &amp; Company utilizes service providers for the collection and storage of data that are located outside of Canada (ex. cloud email and cloud server storage services). You may contact our office by email atPrivacy@coopercompanylaw.com to request written information of our providers as well as their privacy policies &amp; procedures.
From: Nicola Cooper &lt;Nicola@coopercompanylaw.com&gt;
Sent: January 27, 2021 1:56 PM
To: James M Hackett &lt;James@coopercompanylaw.com&gt;
Subject: Crypto API Private Key
[image]
Part of the community for over 45 yearsÂ Â Â Â Â Â Â Â Â Â Â Â Â Â Â Â Â Â Â Â Â Â Â Â Â Â Â Â  Â Â Â  Â Â Â Â Â Â Â Â Â Â Â Â Â Â  Â Â Â Â From the Desk of: Nicola B. Cooper
[image]
Nicola B. Cooper,B.A., J.D.
Barrister and Solicitor
CooperÂ &amp;Â Company
212 9714 Main Street
Fort McMurrayÂ  ABÂ  T9H 1T6
Phone: (780) 791-7787
Fax: (780) 791-0750
Nicola@coopercompanylaw.com
Follow us on
[image][image]
This e-mail contains confidential information.Â  If you are not the intended recipient or have received this e-mail in error, please notify the sender immediately and destroy this e-mail.Â  Any unauthorized copying, disclosure or distribution of the e-mail, or the information it contains, is strictly forbidden.
PPlease consider your environment before printing this e-mail
Please note that Cooper &amp; Company utilizes service providers for the collection and storage of data that are located outside of Canada (ex. cloud email and cloud server storage services). You may contact our office by email atPrivacy@coopercompanylaw.com to request written information of our providers as well as their privacy policies &amp; procedures.</t>
  </si>
  <si>
    <t>Folder access</t>
  </si>
  <si>
    <t>Hello,
Can you please provide read/write access to Andrew Clifford (aclifford or safety) to the following folder:
Y:\ Generators \ SR Branch Files \ Generator HSE Admin
Thanks!
[Guylaine Email]</t>
  </si>
  <si>
    <t>Poundmaker's Lodge - Request for Computer with Installation</t>
  </si>
  <si>
    <t>From: Julie Nadeau &lt;Julie-Nadeau@poundmaker.org&gt; 
Sent: Wednesday, January 27, 2021 1:52 PM
To: Sales - MNP IT Managed Services &lt;sales@mnptechnology.ca&gt;
Subject: Quote
CAUTION:This email originated from outside of the MNP network. Be cautious of any embedded links and/or attachments.
MISE EN GARDE:Ce courriel ne provient pas du rÃ©seau de MNP. MÃ©fiez-vous des liens ou piÃ¨ces jointes quâ€™il pourrait contenir.
Hi
Can I please receive a quote for a computer with installation
Thank you
Julie Nadeau
Executive Assistant | (780) 983-5529
Poundmakerâ€™s Lodge Treatment Centre</t>
  </si>
  <si>
    <t>Annie Brandt - email edits</t>
  </si>
  <si>
    <t>### Summary of Issue_x000D_
email edits_x000D_
  _x000D_
### Details of Issue_x000D_
-I need an email account created for Tessa Young-Haines that has access to TEAMS and replicates the email of Rachelle Short. 
-I need Kimberly Bussey's email to be removed from anything attached to WEAC, but NOT deleted as she has moved to Elizabeth House._x000D_
  _x000D_
### Have you opened a ticket about this issue before?  _x000D_
 No  _x000D_
  _x000D_
### How many users are impacted by this issue?  _x000D_
 Some  _x000D_
  _x000D_
### How would you classify this issue?  _x000D_
 Work Impacting</t>
  </si>
  <si>
    <t>Carya Calgary - Add Monique's calendar to Theresa's Outlook</t>
  </si>
  <si>
    <t>See below, please add Moniqueâ€™s calendar to Theresaâ€™s Outlook.
Jorge Bustamante
Team Lead, Support Specialist
PH.Â +1 7804246398
14505 114th Avenue NW
Edmonton,       AB
T5M2Y8
Jorge.Bustamante@mnp.ca
mnp.ca [image]
[image]
From: Joanne Chaloner &lt;JoanneC@caryacalgary.ca&gt;
Sent: January 27, 2021 1:30 PM
To: David Stevens &lt;David.Stevens@mnp.ca&gt;; Theresa Watson &lt;TheresaW@caryacalgary.ca&gt;
Cc: Amin Esmaeili &lt;Amin.Esmaeili@mnp.ca&gt;; Jorge Bustamante &lt;Jorge.Bustamante@mnp.ca&gt;; Stephen Warde &lt;Stephen.Warde@mnp.ca&gt;
Subject: RE: Monique's emails
CAUTION:This email originated from outside of the MNP network. Be cautious of any embedded links and/or attachments.
MISE EN GARDE:Ce courriel ne provient pas du rÃ©seau de MNP. MÃ©fiez-vous des liens ou piÃ¨ces jointes quâ€™il pourrait contenir.
It seems to be working now, but she ismissing Moniqueâ€™s calendar.Â  The mail is forwarding (I just tested it with Theresa), and the mailbox is now gone.Â  The auto reply is also working.
[image] | Block sender
[image]
[image]
From: Theresa Watson &lt;TheresaW@caryacalgary.ca&gt;
Sent: Wednesday, January 27, 2021 1:23 PM
To: David Stevens &lt;David.Stevens@mnp.ca&gt;
Cc: Joanne Chaloner &lt;JoanneC@caryacalgary.ca&gt;
Subject: RE: Monique's emails
CAUTION:This email originated from outside of the MNP network. Be cautious of any embedded links and/or attachments.
MISE EN GARDE:Ce courriel ne provient pas du rÃ©seau de MNP. MÃ©fiez-vous des liens ou piÃ¨ces jointes quâ€™il pourrait contenir.
Hey Joanne,
I think there may have been a miscommunication regarding Moniqueâ€™s email. I just want it removed from what I see in my email accounts. I want her email to continue to be functional with the automatic reply as I indicated in my earlier email. I still want her emails forwarded to me. I just got a notification that her data would be lost if chose yes and thatâ€™s not what we need just yet.
Maybe itâ€™s just the way the message is worded that the system generates but now Iâ€™ve told it no so if thatâ€™s the case need to do it again.
Theresa
From: Theresa Watson
Sent: Wednesday, January 27, 2021 9:09 AM
To: david.stevens@mnp.ca
Cc: Joanne Chaloner &lt;JoanneC@caryacalgary.ca&gt;
Subject: Monique's emails
David,
Could we remove Moniqueâ€™s email folder from mine now and just have the emails forwarded. (when I try to do this myself the account doesnâ€™t come up in my list of accounts to delete)? In addition could we put a notification back to incoming emails saying;
Monique Auffrey is no longer with carya. Please direct any inquiries to Theresa Watson, Interim CEO at theresaw@caryacalgary.ca.
Could you also provide access (limited information) to Moniqueâ€™s calendar to Lisa Stebbin, Susan Herman, Carolyn Frew, Linda Tickner, Kate Price and Leanna Craig?
Thankyou
Theresa
No form of electronic communication is secure and may be intercepted by others. Carya cannot guarantee the receipt of electronic communication nor a timely response. Where communication is confidential or time sensitive we recommend you call 403-269-9888 during business hours (Monday-Friday, 8:30am-4:30pm). For immediate crisis response please contact the Distress Centre Crisis Line at 403-266-HELP (4537) and in case of an emergency dial 911.
This e-mail is intended solely for the person or entity to which it is addressed and may contain confidential and/or privileged information. Any review, dissemination, copying, printing, forwarding or other use of this e-mail by persons or entities other than the addressee is prohibited. If you have received this e-mail in error, please contact the sender immediately and delete the material from your computer.
No form of electronic communication is secure and may be intercepted by others. Carya cannot guarantee the receipt of electronic communication nor a timely response. Where communication is confidential or time sensitive we recommend you call 403-269-9888 during business hours (Monday-Friday, 8:30am-4:30pm). For immediate crisis response please contact the Distress Centre Crisis Line...</t>
  </si>
  <si>
    <t>Bill Wotta</t>
  </si>
  <si>
    <t>Printing off from google</t>
  </si>
  <si>
    <t>I search Google for diagrams, manuals, and want to print receipts from google.Â  I can select print and the printer that I want shows up, I sent the doc to print, but no pages printed. I can print from Google on BWottaloe.ca. I try and conduct all Co. Business on this account because Rob is connected and saves some communications.Â  Bill Wotta 780 499 1483Â  10- 3 pm daily.</t>
  </si>
  <si>
    <t>Neil McDonald</t>
  </si>
  <si>
    <t>Tablet Issues for Neil in Service</t>
  </si>
  <si>
    <t>Good Day,
I was wondering if Lance could come out to the Dealership.
I have an older Lenovo Tablet that I am now using and it sometimes gets
glitchy and freezes up.
It may need to be wiped of some of the old programs and files stored on it to
help with itâ€™s performance.
Thank you.
Best Regards,
Neil McDonald | Shop Foreman | Lexus of Edmonton 
Tel: 780-466-8300 | nmcdonald@lexusofedmonton.caÂ  | www.lexusofedmonton.ca
[image]
Lexus of Edmonton family member since 1986</t>
  </si>
  <si>
    <t>Name change on address book</t>
  </si>
  <si>
    <t>Good afternoon,
Can you please change, or if not there this name on the 2020-21 school rep address book list.
Martina Poljan â€“ Martina.Poljan@ecsd.net â€“ I may have had it added but spelled the last name wrong Polijan (please change this) to Poljan.
Please and thank you in advance.
Lorna J
[ECT Local 54 green-blue.jpg]Lorna Baxandall
Administrative Coordinator
Edmonton Catholic Teachers
Local 54 of the Alberta Teachersâ€™ Association
W: (780) 451 1196
lorna.baxandall@ecteachers.ca</t>
  </si>
  <si>
    <t>Melody Baldry - Telephone Reporting Software</t>
  </si>
  <si>
    <t>Hello MNP IT,
Our installed telephone network has software to extract the number of new calls which may be coming into the office. Our phone software is called AVAYA Manager.
I have been directed by â€œComplete Communicationsâ€ our telephone system vendor to use Firefox to bring up the IP address of the software portal.
The reporting app is called Xima Chrinicall. When I type in the IP address, I just get a blank browser screen and a symbol that its not secure.
Could you review our Align security settings to allow for this IP address? I have tried in Chrome and Firefox. The support team at Complete Communications has said that due to JAVA script this app is better used in FireFox or Internet Explorer, than Chrome.
http://192.168.10.216:9080/
This has not worked in approximately 3 years and I would like to start reviewing these call reports again.
Thanks,
Mel
Melody Baldry
Manager &amp; Privacy Officer
Align Orthodontics
Edmonton, Alberta, Canada
Direct: 780.395.2999
Edmonton Main: 780.463.5141
Sherwood Park Main: 780.449.6597
www.alignortho.com
[Email Logo Template]
Confidentiality Notice: This message and any attachments are solely for the intended recipient and may contain confidential or privileged information. If you are not the intended recipient, any disclosure, copying, use, or distribution of the information included in this message and any attachment is prohibited. If you have received this communication in error, please notify myself, by reply email and immediately and permanently delete this message and any attachments.</t>
  </si>
  <si>
    <t>Connie Olson</t>
  </si>
  <si>
    <t>Connie Olson - Notice of Upcoming New Hire,  Francis Owusu</t>
  </si>
  <si>
    <t>Hello,
This email is to notify you of an upcoming employee hire:
Employee Name:Â Â Â Â Francis OwusuÂ 
Department: Strategy
Job Title: Strategy Â Â Â 
Supervisor: Kourch Chan
Effective Date:Â Â  Â Â February 1, 2021
Distribution List &amp; Action Required
IT
RDS:Request for RDS/Network Access
CanFit Update/Login
E-mail:Request for Outlook Account.
E-mail Signature Set-up:
-Â Â Â Â Â Â Â Â Â Name: Francis Owusu
-Â Â Â Â Â Â Â Â Â Position: Research &amp; Evaluation Coordinator
-Â Â Â Â Â Â Â Â Â Program: Strategy
Folder Access:
-Â Â Â Â Â Â Â Â Â (Kourch working with Luiza on accesses)
Apple ID Creation:Request for Apple ID.
Cell-phone Access:Request for cell-phone.
Staff Distribution List:Leaders, All Staff
Shore-tel access required.
Please send account details to: Kourch Chan (kchan@e4calberta.org)
Payroll/Finance
Payroll details will be provided once processed.
Reception
Please update existing employee list.
Communications
For information only.
Program Manager
For information only.
Facilities Manager
Keys/Code Required for Alex Taylor.
If you have any questions or concerns please let me know.
Thank you!
ConnieOlson, RPR, CMP (she/her) e4c
Human Resource Business Partner
COlson@e4calberta.org
T780.424.7543 ext 269
C780.913.5662
9321 Jasper Avenue, Edmonton AB T5H 3T7
e4calberta.org
[image]
This message is intended for the use of the individual or entity to which it is addressed and may contain information that is privileged and confidential. If you are not the intended recipient or the employee responsible for delivery of the message to the intended recipient, please be advised that any dissemination, distribution or copying of this message is strictly prohibited. If you have received this message in error, please notify us immediately by telephone and return the original email to us or destroy this message.
[image]e4c supports environmental conservation - please print wisely.</t>
  </si>
  <si>
    <t>Lisa Pruden - New Contacts</t>
  </si>
  <si>
    <t>Hi,
Could you please add the following emails to our global list asap?
-Â Â Â Â Â Â Â Â Â Ayaz Bhanji - ayaz@bhanji.ca
-Â Â Â Â Â Â Â Â Â Tori Bardell -Â  tori.bardell@bhanji.ca
-Â Â Â Â Â Â Â Â Â Carman McNary - carman.mcnary@dentons.com (there is currently an old email for Carman that should be replaced by this one)
-Â Â Â Â Â Â Â Â Â Jamie Pytel - pytel@kingsgate.legal
Thanks!
Lisa
Lisa Pruden
Executive Assistant to Martin Garber-Conrad
Chief Executive Officer
lpruden@ecfoundation.org
[cid:image004.png@01D5FE99.19870C70]
9910 103 ST NW
EdmontonÂ  ABÂ  T5K 2V7
780.426.0015Â  x103
www.ecfoundation.org
Visit ECF on Facebook
or follow us on Twitter!
[http://www.bing.com/th?id=AwChYGrkW01o08g110x110&amp;amp;w=110&amp;amp;h=110&amp;amp;c=6&amp;amp;qlt=95&amp;amp;pid=RichNav]Â Â [http://www.bing.com/th?id=A%252bYlgJhNfybf7cw136x110&amp;amp;w=110&amp;amp;h=110&amp;amp;c=6&amp;amp;qlt=95&amp;amp;pid=RichNav]Â Â Â www.ECFoundation.org
DISCLAIMER
This communication is intended for the use of the recipient to whom it is addressed, and may contain confidential, personal or privileged information.Â  Please contact us immediately if you are not the intended recipient of this communication, and do not copy, distribute or take action relying on it.Â  Any communication received in error, or subsequent reply should be deleted or destroyed.
If you no longer wish to receive electronic communication from Edmonton Community Foundation, please send an email to:
I do NOT give consent to receive emails from Edmonton Community Foundation</t>
  </si>
  <si>
    <t>Sarah Karesa</t>
  </si>
  <si>
    <t>Sarah Karesa - Lagging Laptop</t>
  </si>
  <si>
    <t>This has been happening for a few months now (since mid-Nov) and was bearable until a week ago. Whenever I use any program on my laptop (e.g., outlook, zoom, internet browser, etc.) inside or outside the cloud I get a lag. My computer essentially freezes for a few moments then unfreezes. It used to happen every 10-15 min and now it feels like between every 30 sec to 5 min.</t>
  </si>
  <si>
    <t>Tim Connah</t>
  </si>
  <si>
    <t>Tim Connah - Ariel Performance software</t>
  </si>
  <si>
    <t>Hi,
I was trying to download Ariel 7.0 Performance software to my Signet laptop but it was blocked.
I checked with Ethan Clark and he said I should contact you guys and ask you to allow it.
[image]
Thanks,
Tim
Tim Connah
[image]
780-405-1590 Cell
403.348.5251 Office
403.348.5653 Fax
tim.connah@signetma.com
www.signetma.com
P Do you really need to print this e-mail?</t>
  </si>
  <si>
    <t>Kitty Sison - Temporary Thin Print License</t>
  </si>
  <si>
    <t>Hello MNP IT,
Starting this Friday January 29, Kitty Sison will be providing some temporary admin support and will require a Thin Print license.
This will be in place for the month of February.
Please assign Kitty a Thin Print license and then review again on March 1, 2020 for a continued need of the license.
This will be for her Hewes and SHPK RDS sessions.
Thanks,
Mel
Melody Baldry
Manager &amp; Privacy Officer
Align Orthodontics
Edmonton, Alberta, Canada
Direct: 780.395.2999
Edmonton Main: 780.463.5141
Sherwood Park Main: 780.449.6597
www.alignortho.com
[Email Logo Template]
Confidentiality Notice: This message and any attachments are solely for the intended recipient and may contain confidential or privileged information. If you are not the intended recipient, any disclosure, copying, use, or distribution of the information included in this message and any attachment is prohibited. If you have received this communication in error, please notify myself, by reply email and immediately and permanently delete this message and any attachments.</t>
  </si>
  <si>
    <t>Northern Development &amp; Investment Group Inc.</t>
  </si>
  <si>
    <t>Arthur Boytinck</t>
  </si>
  <si>
    <t>New Computer Set Up</t>
  </si>
  <si>
    <t>Greetings, I need to purchase and set up a new PC in our officeâ€¦my existing one is old and is soooooooo slowwwwww.
Do you provide any services to migrate my existing programs etc to the new computer?
Regardsâ€¦.Arthur
NORTHERN DEVELOPMENT &amp; INVESTMENT GROUP INC.
Arthur Boytinck,President
T 780.456.0066, ext. 25Â  F 780.456.0091 E arthurb@northerndevelopments.com
#200, 17616 107th Avenue,Edmonton, ABÂ  T5S 1G8
[Northern]
northerndevelopments.com
_______________________________________________________
Northern Development Group is a privately owned family company engaged in the business of developing new
and acquiring existing commercial real estate assets and managing these assets for long term ownership.
NOTE: This communication is intended for the use of the recipient to whom it is addressed, and may contain confidential, personal, and/or privileged information. Please contact me immediately if you are not the intended recipient of this communication, and do not copy, distribute, or take action relying on it. Any communication received in error, or subsequent reply, should be deleted or destroyed.</t>
  </si>
  <si>
    <t>iFW: Looking to purchase a Surface</t>
  </si>
  <si>
    <t>From: Tracy Kuehnemuth &lt;tracy.kuehnemuth@edpub.org&gt; 
Sent: Wednesday, January 27, 2021 8:36 AM
To: Sales - MNP IT Managed Services &lt;sales@mnptechnology.ca&gt;
Subject: Looking to purchase a Surface
CAUTION:This email originated from outside of the MNP network. Be cautious of any embedded links and/or attachments.
MISE EN GARDE:Ce courriel ne provient pas du rÃ©seau de MNP. MÃ©fiez-vous des liens ou piÃ¨ces jointes quâ€™il pourrait contenir.
Good morning,
Heather, our president, would like me to get quotes on
1. Surface Pro 7
2. Surface Book 3
Iâ€™m not sure if your pricing is better but if we can get educational pricing that would be great since Heather is a teacher.
Thanks.
Tracy
*******************************
[image]
Tracy Kuehnemuth
Office Coordinator
401-11010 142 St NW
Edmonton, ABÂ  T5N 2R1
780-455-2164</t>
  </si>
  <si>
    <t>25 x Office 365 E3</t>
  </si>
  <si>
    <t>### What company is this quote for?_x000D_
E4C_x000D_
  _x000D_
### Add or Remove CSP licenses  _x000D_
 Add licenses  _x000D_
  _x000D_
### March 30, 2020 New Microsoft 365 offerings for small and medium-sized businesses. (https://www.microsoft.com/en-us/microsoft-365/blog/2020/03/30/new-microsoft-365-offerings-small-and-medium-sized-businesses/)  _x000D_
  _x000D_
### What Type of license  _x000D_
 Office 365 E3  _x000D_
  _x000D_
### How many licenses to add/remove?_x000D_
25</t>
  </si>
  <si>
    <t>Joscelyne Rivard - Printer offline</t>
  </si>
  <si>
    <t>### Summary of Issue_x000D_
Printer offline_x000D_
  _x000D_
### Details of Issue_x000D_
Lexmark MC2400 Series PS3.  None of the 3 work stations can print to this printer. Message comes up that printer is offline_x000D_
  _x000D_
### Have you opened a ticket about this issue before?  _x000D_
 Yes  _x000D_
  _x000D_
### How many users are impacted by this issue?  _x000D_
 Some  _x000D_
  _x000D_
### How would you classify this issue?  _x000D_
 Unable to Work</t>
  </si>
  <si>
    <t>Sarah Petraschuk</t>
  </si>
  <si>
    <t>Sarah Petraschuk - Cannot generate new emails or add in extra receipents</t>
  </si>
  <si>
    <t>### Summary of Issue_x000D_
Cannot generate new emails or add in extra receipents_x000D_
  _x000D_
### Details of Issue_x000D_
When trying to "reply all" to an email I cannot add in another email address. Also It wont let me create a new email. When I try to add in a contact it just keeps saying "searching"_x000D_
  _x000D_
### Have you opened a ticket about this issue before?  _x000D_
 No  _x000D_
  _x000D_
### How many users are impacted by this issue?  _x000D_
 One  _x000D_
  _x000D_
### How would you classify this issue?  _x000D_
 Unable to Work  _x000D_
  _x000D_
### If your callback number is different than what's on record, please provide it below._x000D_
780-665-3247</t>
  </si>
  <si>
    <t>Yoong Tan</t>
  </si>
  <si>
    <t>Yoong Tan - Mapping Drives</t>
  </si>
  <si>
    <t>Good morning MNP,
I recently updated my password, and now my ACSA server drive wont connect. Can you help me out?
Thanks,
YOONG TANÂ NCSO, CAPM | Course Development Production Coordinator
Alberta Construction Safety Association
225 Parsons Road SW |Â Edmonton ABÂ |Â T6X 0W6
TÂ 780.453.3311 xt 1775 |Â FÂ 780.455.1120 |Â TFÂ 1.800.661.ACSA (2272)
[yourACSA url]
[ACSA social media icon]Â [image][image][image][image]
[image]</t>
  </si>
  <si>
    <t>Julie Nadeau - New Employee, Bruce Hill</t>
  </si>
  <si>
    <t>### Summary of Issue_x000D_
New Employee_x000D_
  _x000D_
### Details of Issue_x000D_
Bruce Hill- PA team
start date Januray 28 2021
UN
PW
EA_x000D_
  _x000D_
### Have you opened a ticket about this issue before?  _x000D_
 No  _x000D_
  _x000D_
### How many users are impacted by this issue?  _x000D_
 One  _x000D_
  _x000D_
### How would you classify this issue?  _x000D_
 Other</t>
  </si>
  <si>
    <t>Quote Request - Pilgrim's Hospice - Pilgrim's Hospice - 2 New Wireless Keyboards</t>
  </si>
  <si>
    <t>### End User Hardware  _x000D_
  _x000D_
### What company is this quote for?_x000D_
Pilgrim's Hospice_x000D_
  _x000D_
### Who made this request and why?_x000D_
Cheryl Waldo, 2 new wireless keyboards for Smart Boards_x000D_
  _x000D_
### Give this request a name_x000D_
Pilgrim's Hospice - 2 New Wireless Keyboards_x000D_
  _x000D_
### Who should the quote be addressed to?  _x000D_
 The primary contact in Connectwise  _x000D_
  _x000D_
### Which location is the product for?_x000D_
Edmonton_x000D_
  _x000D_
### Which ND location is it needed at?  _x000D_
 Next Digital Edmonton  _x000D_
  _x000D_
### When is it needed by OR when is the next site visit for the client's location?  _x000D_
Mon 1 Feb, 2021  _x000D_
  _x000D_
### Do you need labour quoted?  _x000D_
 No  _x000D_
  _x000D_
### What products do you need on this quote?  _x000D_
 Accessories (Mice, keyboards, RAM/SSD upgrades etc)  _x000D_
  _x000D_
### Accessories  _x000D_
  _x000D_
### What do you need?  _x000D_
 Mouse/Keyboard  _x000D_
  _x000D_
### Mouse/Keyboard  _x000D_
 Microsoft Wireless Desktop 900 (Mouse + Keyboard)  _x000D_
  _x000D_
### Mouse/Keyboard -&gt; Quantity required_x000D_
2_x000D_
  _x000D_
### What products do you need quoted?_x000D_
2x Wireless keyboards</t>
  </si>
  <si>
    <t>Jac Taylor</t>
  </si>
  <si>
    <t>Blue Screen</t>
  </si>
  <si>
    <t>Hi Jac,
I am going to pass this along to our support team. Iâ€™ve done that here in this email by emailing support@mnptechnology.ca. I will message our support team coordinator so they know its urgent.
In the meantime have you tried power cycling your computer, by pushing and holding the power button until it powers down?
Support team: this is for Care Pros
Regards,
Ryley
Ryley Boyd
Project Specialist
PH.Â +1 7804246398
14505 114th Avenue NW
Edmonton,       AB
T5M2Y8
Ryley.Boyd@mnp.ca
mnp.ca [image]
[image]
From: Jac Taylor &lt;Jac@CarePros.ca&gt; 
Sent: Wednesday, January 27, 2021 8:31 AM
To: Ryley Boyd &lt;Ryley.Boyd@mnp.ca&gt;
Subject: Re: MNP software install
CAUTION:This email originated from outside of the MNP network. Be cautious of any embedded links and/or attachments.
MISE EN GARDE:Ce courriel ne provient pas du rÃ©seau de MNP. MÃ©fiez-vous des liens ou piÃ¨ces jointes quâ€™il pourrait contenir.
Hi Ryley,
Would you and I be able to connect this morning around 9:45? My computer suddenly went to a blue screen and said it needs to restart but it wonâ€™t go further than that.
Thank you,
Jac 780-991-3338
[Image.jpeg]
Get Outlook for iOS
From: Ryley Boyd &lt;Ryley.Boyd@mnp.ca&gt;
Sent: Wednesday, December 16, 2020 3:05:25 PM
To: Jac Taylor &lt;Jac@CarePros.ca&gt;
Subject: RE: MNP software install
Hi Jac,
I just left you a voicemail, is now still a good time?
Regards,
Ryley
Ryley Boyd
Project Specialist
PH.Â +1 7804246398
14505 114th Avenue NW
Edmonton, AB
T5M2Y8
Ryley.Boyd@mnp.ca
mnp.ca
[image]
[image]
[image]
From: Jac Taylor &lt;Jac@CarePros.ca&gt; 
Sent: Wednesday, December 16, 2020 3:03 PM
To: Ryley Boyd &lt;Ryley.Boyd@mnp.ca&gt;
Subject: Re: MNP software install
CAUTION:This email originated from outside of the MNP network. Be cautious of any embedded links and/or attachments.
MISE EN GARDE:Ce courriel ne provient pas du rÃ©seau de MNP. MÃ©fiez-vous des liens ou piÃ¨ces jointes quâ€™il pourrait contenir.
Sounds great. Chat soon,
From: Ryley Boyd &lt;Ryley.Boyd@mnp.ca&gt;
Sent: Wednesday, December 16, 2020 1:55 PM
To: Jac Taylor &lt;Jac@CarePros.ca&gt;
Subject: RE: MNP software install
Hi Jac,
Letâ€™s try 3 pm today. Talk to you then.
Thanks!
Ryley
Ryley Boyd
Project Specialist
PH.Â +1 7804246398
14505 114th Avenue NW
Edmonton, AB
T5M2Y8
Ryley.Boyd@mnp.ca
mnp.ca
[image]
[image]
[image]
From: Jac Taylor &lt;Jac@CarePros.ca&gt; 
Sent: Wednesday, December 16, 2020 1:37 PM
To: Ryley Boyd &lt;Ryley.Boyd@mnp.ca&gt;
Subject: Re: MNP software install
CAUTION:This email originated from outside of the MNP network. Be cautious of any embedded links and/or attachments.
MISE EN GARDE:Ce courriel ne provient pas du rÃ©seau de MNP. MÃ©fiez-vous des liens ou piÃ¨ces jointes quâ€™il pourrait contenir.
Hi Ryley,
I would be available this afternoon from 2-4, tomorrow from 9:30-12 or Friday 9:30-4.
Thank you,
Jac Taylor
Senior Supervisor
Service Delivery
780-991-3338
jac@carepros.ca
From: Ryley Boyd &lt;Ryley.Boyd@mnp.ca&gt;
Sent: Wednesday, December 16, 2020 1:19 PM
To: Jac Taylor &lt;Jac@CarePros.ca&gt;
Subject: MNP software install
Good afternoon,
I am reaching out to install MNPâ€™s standard software on your workstation. I will need approximately 30 minutes. Let me know when would be a good time.
Thanks!
Ryley
Ryley Boyd
Project Specialist
PH.Â +1 7804246398
14505 114th Avenue NW
Edmonton, AB
T5M2Y8
Ryley.Boyd@mnp.ca
mnp.ca
[image]
[image]
[image]</t>
  </si>
  <si>
    <t>Tony Newton - CDK ISSUES OF CRASHING</t>
  </si>
  <si>
    <t>Good morning,
I am inquiring if you can please take a look into our network connections, as my staff have had to restart their computers up to 3 times already this morning due to our CDK dropping out. (System locks up and drops out with a spinning wheel) â€“ This issue is across the board and need to be able to work with CDK as our operating system.
This affects our techs times, our efficiencies of creating woâ€™s, parts, sublets, Â and any other CDK functions we use on a daily basis.
Regards,
Tony Newton
Service Manager
[cid:image002.jpg@01D637F1.713BF890]
14610 Yellowhead Trail NW Edmonton, AB, T5L 3C5
Branch: 780-454-0491Â Â Â Â  Toll Free: 1-800-363-7819Â Â Â Â  Direct: 780-409-3363Â Â Â  Cell: 780-893-1135Â Â Â  Fax: 780-482-5663
Email:tony.newton@calmont.ca
Website:www.calmont.ca
This email, and any files transmitted with it, are confidential and are intended solely for the use of the individual or entity to which they are addressed. Any unauthorized use or disclosure is prohibited. Please notify the sender if you have received this email in error. Thank you for your co-operation.</t>
  </si>
  <si>
    <t>Bryce Johnston - Deactivate Nadine Reizel's email</t>
  </si>
  <si>
    <t>Can you please inactivate Nadine@pulseveterinary.ca from our email list.
Thank-you,
Bryce Johnston, BComm, CPA
Hospital Director
Pulse Veterinary Specialists &amp; Emergency
450 Ordze Road, Unit #320
Sherwood Park, AB T8B 0C5
Ph: (780) â€“ 570-9999
[image]</t>
  </si>
  <si>
    <t>Joanne Chaloner - ASAP!!!  Please remove users from the ELT email group</t>
  </si>
  <si>
    <t>### Summary of Issue_x000D_
ASAP!!!  Please remove users from the ELT email group_x000D_
  _x000D_
### Details of Issue_x000D_
Hello,  Please remove the following users from the ELT email group:
Jolene Livingston
Monique Auffrey
Rachel Anand_x000D_
  _x000D_
### Have you opened a ticket about this issue before?  _x000D_
 No  _x000D_
  _x000D_
### How many users are impacted by this issue?  _x000D_
 Some  _x000D_
  _x000D_
### How would you classify this issue?  _x000D_
 Unable to Work</t>
  </si>
  <si>
    <t>Domain Renewal Notice - Expires 25-FEB-2021</t>
  </si>
  <si>
    <t>Dickinson Insurance Inc.</t>
  </si>
  <si>
    <t>Darlene Dickinson</t>
  </si>
  <si>
    <t>Service Ticket #1312422 - Fortinet Renewal Notice  (#AAAQ19677)</t>
  </si>
  <si>
    <t>The Eye Studio
FWF60D4614005849
From:do-not-reply-contract@FORTINET.COM &lt;do-not-reply-contract@FORTINET.COM&gt; 
Sent: Tuesday, January 26, 2021 4:49 PM
To: fortinetlicensing@techdata.ca; SCAMPBELL@FORTINET.COM; khurram.haider@techdata.ca; SALES@NEXTDIGITAL.CA
Subject: Mail 1 of 1: Your Order 10-P1-701095 (SO:1010636044)
CAUTION:This email originated from outside of the MNP network. Be cautious of any embedded links and/or attachments.
MISE EN GARDE:Ce courriel ne provient pas du rÃ©seau de MNP. MÃ©fiez-vous des liens ou piÃ¨ces jointes quâ€™il pourrait contenir.
Dear Customer,
Attached is/are Support Contract/s for your order 10-P1-701095 ( Fortinet sales order No. 1010636044 ).
Ship To:
INC.
14505 114 AVENUE
EDMONTON, AB, T5M 2Y8, CA,
Reseller PO / Additional Ship to info : PO L012621EYESTUDIO .
You can also download attached file/s from our website at any time by clicking here
If you have any questions please contact our offices in your region. You can find the contact information for our different locations at http://www.fortinet.com
Best regards,
Fortinet, Inc
US Headquarters, 899 Kifer Road,
Sunnyvale, CA, 94086, USA</t>
  </si>
  <si>
    <t>David Stevens - Please Create Site for MHK Calgary in Unifi Controller</t>
  </si>
  <si>
    <t>### Summary of Issue_x000D_
Please Create Site for MHK Calgary in Unifi Controller_x000D_
  _x000D_
### Details of Issue_x000D_
I am installing a new Ubiquiti WAP on Monday, and thus need a site created in the Unifi Controller.
I am unable to do this myself, please let me know when it is complete and I will configure it.
Ticket#1326720 is the ticket I am using for the install, which will occur on Jan 1st_x000D_
  _x000D_
### Have you opened a ticket about this issue before?  _x000D_
 No  _x000D_
  _x000D_
### How many users are impacted by this issue?  _x000D_
 One  _x000D_
  _x000D_
### How would you classify this issue?  _x000D_
 Work Impacting</t>
  </si>
  <si>
    <t>Leanna Craig - Crisis management Team dist list, remove users</t>
  </si>
  <si>
    <t>Hi,
Can you please remove Rachel and Monique from the above dist list and add Kate Price?
Much thanks,
Leanna
[image]
Leanna Craig, MA, CCC, CPHR
HR Manager
T: 403.205.5243 |E: LeannaC@caryacalgary.ca| C: 403.830.3569
180, 839 5 Ave SW | Calgary, AB | T2P 3C8
[image]Â [image][instagram-1675670]Â [image]
carya (formerly Calgary Family Services)
Stay up to date with the latest carya news, programs, and events by signing up for ourmonthly newsletter.
In the spirit of our efforts to promote reconciliation, we acknowledge the traditional territories and oral practices of the Blackfoot, the Tsuut'ina, the Stoney Nakoda First Nations, the MÃ©tis Nation Region 3, and all people who make their homes in the Treaty 7 region of Southern Alberta. We also respectfully acknowledge that the province of Alberta is comprised of Treaty 6, Treaty 7, and Treaty 8 territory, the traditional lands of First Nations and MÃ©tis peoples.
No form of electronic communication is secure and may be intercepted by others. Carya cannot guarantee the receipt of electronic communication nor a timely response. Where communication is confidential or time sensitive we recommend you call 403-269-9888 during business hours (Monday-Friday, 8:30am-4:30pm). For immediate crisis response please contact the Distress Centre Crisis Line at 403-266-HELP (4537) and in case of an emergency dial 911.
This e-mail is intended solely for the person or entity to which it is addressed and may contain confidential and/or privileged information. Any review, dissemination, copying, printing, forwarding or other use of this e-mail by persons or entities other than the addressee is prohibited. If you have received this e-mail in error, please contact the sender immediately and delete the material from your computer.</t>
  </si>
  <si>
    <t>Katrina Whiteman</t>
  </si>
  <si>
    <t>Landrex - Katrina Workstation Performance Issue / Outlook Freezing</t>
  </si>
  <si>
    <t>Hello,
Katrina reached out to us as her workstation at the Landrex office is experiencing issues with Outlook. Outlook is constantly freezing and hanging the entire system. She may require an Office reinstall. She stated she is not experiencing these issues with her workstation at home which is running the same software.
Please reach out to Katrina on Thursday Â morning as she is away tomorrow.
Thank you.
Jesse Smith, BCom
[Tri-global-Logo-(no-tagline-email-signature)]
Transformation through Business Improvement
Tri-global Solutions Group Inc.
Melton Building â€“ 3rd Floor
300, 10310 Jasper Avenue NW
Edmonton, AB T5J 2W4
Office:Â 780.421.1944 ext. 106
Mobile:Â 780.850.9633
Web:Â https://www.tri-global.com/
This email and any files transmitted with it are privileged, confidential, and intended solely for the use of the individual or entity to which they are addressed. Any unauthorized use or disclosure is prohibited. Please notify the sender if you have received this email in error.</t>
  </si>
  <si>
    <t>AJ Whitford - Carry Steel Update Site Visit Templates</t>
  </si>
  <si>
    <t>### Summary of Issue_x000D_
Carry Steel Update Site Visit Templates_x000D_
  _x000D_
### Details of Issue_x000D_
Please update the Carry Steel templates (Site Visit or otherwise) to use Blake Hamilton as the Site Contact instead of David Brunton_x000D_
  _x000D_
### Have you opened a ticket about this issue before?  _x000D_
 No  _x000D_
  _x000D_
### How many users are impacted by this issue?  _x000D_
 Some  _x000D_
  _x000D_
### How would you classify this issue?  _x000D_
 Work Impacting</t>
  </si>
  <si>
    <t>Configure ACSA Main line to route to IVR</t>
  </si>
  <si>
    <t>Hi Dave,
Hope all is well!
Our call support team was wondering if we could test the IVR functionality for the day on February 5 rather than routing all incoming calls to the Reception HG.
We would, potentially, like to begin utilizing the ECC again if testing is successful.
We would require some stand-by support once it is switched in the event of issues.
Brent SchneiderB.Sc, PMP, CISSP, CISA, CRISC, CISMÂ |Â Manager, Information Systems (IS)
Alberta Construction Safety Association
225 Parsons Road SW |Â Edmonton ABÂ |Â T6X 0W6
TÂ 780.453.3311 ext. 7719 |Â FÂ 780.455.1120 |Â TFÂ 1.800.661.ACSA (2272)
www.youracsa.ca
[image][image][image][image]
[image]</t>
  </si>
  <si>
    <t>Amin Hirji - AAD Sync Issue on IBSGAZDC02</t>
  </si>
  <si>
    <t>From: Microsoft Azure &lt;azure-noreply@microsoft.com&gt;
Sent: Tuesday, January 26, 2021, 3:56 p.m.
To: Amin Hirji
Subject: IBSGAZDC02.igloo.local: Health service data is not up to date. â€“ You have an important alert from Azure Active Directory
We have detected a critical alert on one of your instances.Â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[Microsoft Azure]
--- ---
---
[image]Â Alert for IBSGAZDC02.igloo.local 
Youâ€™re receiving this email because we have detected a critical alert on one of your AdDomainService instances.
--- ---
--- 
Title:
--- 
Health service data is not up to date.
---
--- --- 
Description:
--- 
The AAD Connect Health Service is not receiving the latest data from the server(s) listed above. This may be due to connectivity issues or data collection issues on the server itself.
The latest data received by the AAD Connect Health Service is older than 2 hours. The server specific Alert Details blade indicates the type of data that is not up to date. If a server has not uploaded any data for 30 consecutive days, it will be marked as disabled. See more details atAzure AD Connect Health data retention policy.
---
--- --- 
Raised:
--- 
January 26, 2021 22:56 UTC
---
--- --- 
Server:
--- 
IBSGAZDC02.igloo.local
---
--- --- 
Service:
--- 
igloo.local
---
--- --- 
Tenant:
--- 
Igloo Building Supplies Group
---
--- ---
---
--- 
Recommended action
The server specific Alert Details blade indicates the type of data that is not up to date. The â€œLast Receivedâ€ column shows the last time the AAD Connect Health Service received data for the data type.
For each stale data type, please follow the steps in thetroubleshooting documentation.
To check health of your services monitored by Azure Active Directory Connect Health, visit the Azure AD Connect Health Portal.
If you no longer wish to receive these notifications,read the instructions for updating your settings. Only global administrators can change settings.
--- ---
---
[Facebook][Twitter][YouTube][LinkedIn]
--- ---
--- 
Privacy Statement
Microsoft Corporation,One Microsoft Way, Redmond, WA 98052
[Microsoft]
--- ---
---
[image]</t>
  </si>
  <si>
    <t>Jessica Foyle</t>
  </si>
  <si>
    <t>Jessica Foyle - New email address - Neurology</t>
  </si>
  <si>
    <t>Good afternoon,
Can we get an email account made for Neurology. It will be a basic license.
Neurology@pulseveterinary.ca
Password: Winter2021
Thank you,
[image]
Jessica Foyle
E: jessica@pulseveterinary.ca
P: 780.570.9999
A: 450 Ordze Road, Unit #320.Â  Sherwood Park, AB T8B 0C5
www.pulseveterinary.ca</t>
  </si>
  <si>
    <t>Jessica Foyle - Needs update on new email address requests</t>
  </si>
  <si>
    <t>Good afternoon,
I just need an update on two email address.
Alyssia Flack (could be under Baller)
Casey Smith
Thank you,
[image]
Jessica Foyle
E: jessica@pulseveterinary.ca
P: 780.570.9999
A: 450 Ordze Road, Unit #320.Â  Sherwood Park, AB T8B 0C5
www.pulseveterinary.ca</t>
  </si>
  <si>
    <t>SylvanAdmin</t>
  </si>
  <si>
    <t>HELP</t>
  </si>
  <si>
    <t>Hello
I need help setting up my other monitor.
It turns on and I can switch the mouse between monitors but I canâ€™t display anything on it
Please help :)
thanks
[Shauna Good]</t>
  </si>
  <si>
    <t>MNP Client Portal</t>
  </si>
  <si>
    <t>Hi Lukas,
I'm sending this in to have a ticket created.
Attention Support: Please install MPN Client Portal to Pulse Vet workstations. Permissions for Lukas and Kim should be to view 'All Tickets'
Chris Ippolito
Manager, Client Experience
PH.Â +1 7804246398       Ext 312
14505 114th Avenue NW
Edmonton,       AB
T5M2Y8
Chris.Ippolito@mnp.ca
mnp.ca [image]
[image]
From: Lukas Kawalilak &lt;Lukas@pulseveterinary.ca&gt;
Sent: Tuesday, January 26, 2021 2:34 PM
To: Chris Ippolito &lt;Chris.Ippolito@mnp.ca&gt;
Subject: RE: Submitted ticket
CAUTION: This email originated from outside of the MNP network. Be cautious of any embedded links and/or attachments.
MISE EN GARDE:Ce courriel ne provient pas du rÃ©seau de MNP. MÃ©fiez-vous des liens ou piÃ¨ces jointes quâ€™il pourrait contenir.
Hi Chris,
It looks like it has not been installed on the workstations here.Â  There is the NextDigital Monitoring Service, but not the mnp one.
[image]
Yes, as we discussed on Friday, if all submitted tickets could be sent to myself, Kim, and Bryce.Â  Kim does not check her email during the day so any updates are not received.Â  She also receives hundreds of emails a day, so the tickets get lost in the pile.Â  Bryce and myself are able to give more attention to the IT issues.
Thanks,
LK
[image]
Dr. Lukas Kawalilak
DVM, Diplomate ACVR
Specialist in Veterinary Diagnostic Imaging
E:lukas@pulseveterinary.ca
P: 780.570.9999
A: 450 Ordze Road, Unit #320.Â  Sherwood Park, AB T8B 0C5
www.pulseveterinary.ca
[image]
[image]
From: Lukas Kawalilak &lt;Lukas@pulseveterinary.ca&gt;
Sent: Tuesday, January 26, 2021 1:37 PM
To: Chris Ippolito &lt;Chris.Ippolito@mnp.ca&gt;
Subject: RE: Submitted ticket
CAUTION:This email originated from outside of the MNP network. Be cautious of any embedded links and/or attachments.
MISE EN GARDE:Ce courriel ne provient pas du rÃ©seau de MNP. MÃ©fiez-vous des liens ou piÃ¨ces jointes quâ€™il pourrait contenir.
Hi Chris,
I just heard from Brian confirming an install time on Friday.
I was not aware of the client portal prior to this conversationâ€¦what is the website?Â  I cant find it easily on MNPtechnology.ca.Â  And what is Pulseâ€™s username and password?Â  That will be extremely helpful in keeping track of tickets since all of the correspondence seems to still be set to send to Kim.
Thanks,
LK
[image]
Dr. Lukas Kawalilak
DVM, Diplomate ACVR
Specialist in Veterinary Diagnostic Imaging
E:lukas@pulseveterinary.ca
P: 780.570.9999
A: 450 Ordze Road, Unit #320.Â  Sherwood Park, AB T8B 0C5
www.pulseveterinary.ca
[image]
[image]
From: Lukas Kawalilak &lt;Lukas@pulseveterinary.ca&gt;
Sent: Tuesday, January 26, 2021 8:33 AM
To: Chris Ippolito &lt;Chris.Ippolito@mnp.ca&gt;
Subject: RE: Submitted ticket
CAUTION:This email originated from outside of the MNP network. Be cautious of any embedded links and/or attachments.
MISE EN GARDE:Ce courriel ne provient pas du rÃ©seau de MNP. MÃ©fiez-vous des liens ou piÃ¨ces jointes quâ€™il pourrait contenir.
Sure thing Chris.Â  What time are they planning on coming on Friday?Â  Both Bryce and I are not in on Friday so I need to organize someone to meet the technician.
How do I find the ticket number when I submit from the desktop app?Â  I never received a confirmation email after submitting.
Thanks,
LK
[image]
Dr. Lukas Kawalilak
DVM, Diplomate ACVR
Specialist in Veterinary Diagnostic Imaging
E:lukas@pulseveterinary.ca
P: 780.570.9999
A: 450 Ordze Road, Unit #320.Â  Sherwood Park, AB T8B 0C5
www.pulseveterinary.ca
[image]
[image]
From: Lukas Kawalilak &lt;Lukas@pulseveterinary.ca&gt;
Sent: Tuesday, January 26, 2021 7:04 AM
To: Chris Ippolito &lt;Chris.Ippolito@mnp.ca&gt;
Subject: Submitted ticket
CAUTION:This email originated from outside of the MNP network. Be cautious of any embedded links and/or attachments.
MISE EN GARDE:Ce courriel ne provient pas du rÃ©seau de MNP. MÃ©fiez-vous des liens ou piÃ¨ces jointes quâ€™il pourrait contenir.
Hi Chris,
I submitted a ticket yesterday morning to install some software on some computers in dentistry via the MNP tool on...</t>
  </si>
  <si>
    <t>Andrew Jackson</t>
  </si>
  <si>
    <t>CW Manage access - revoke 2 users, add Nisha</t>
  </si>
  <si>
    <t>This is related to ticket 1349710 which requested access for Jenny Neville. Plans have changed and a different person now needs the same access previously requested for Jenny. See below â€“ we need to remove access for 2 people and add Nisha instead.
Andrew Jackson
Partner
PH. +1       7804246398
14505 114th Avenue NW
Edmonton,       AB
T5M2Y8
Andrew.Jackson@mnp.ca
mnp.ca [image]
[image]
From: Carly Dinan &lt;Carly.Dinan@mnp.ca&gt;
Sent: January 26, 2021 2:06 PM
To: Andrew Jackson &lt;Andrew.Jackson@mnp.ca&gt;
Subject: CW access
Please remove access for
Jennifer Dale
Jenny Neville
Add address for
Nisha Solanki
Nisha.solanki@mnp.ca
Senior Admin
905-607-9777
Carly Dinan
Manager, Finance
PH.Â +1 7804246398 Ext 307
14505 114th Avenue NW
Edmonton, AB
T5M2Y8
Carly.Dinan@mnp.ca
mnp.ca
[image]
[image]</t>
  </si>
  <si>
    <t>Rachel Loerke</t>
  </si>
  <si>
    <t>Rachel Loerke - Phone Hardware Issue</t>
  </si>
  <si>
    <t>Hi,Â 
We are having issues with the screen on line 103. The screen is white and almost unreadable.
Please let me know if there is any steps I can take to fix this!Â 
RachelÂ 
[Image.jpeg]
Get Outlook for iOS</t>
  </si>
  <si>
    <t>David Stevens - URGENT! Brian's MNP Client Portal is not working!</t>
  </si>
  <si>
    <t>### Summary of Issue_x000D_
URGENT! Brian's MNP Client Portal is not working!_x000D_
  _x000D_
### Details of Issue_x000D_
Hi Team,
Please assist Brian Ryu with his MNP Client Portal, he is unable to enter sales requests and other Internal Tickets.
This is urgent!_x000D_
  _x000D_
### Have you opened a ticket about this issue before?  _x000D_
 No  _x000D_
  _x000D_
### How many users are impacted by this issue?  _x000D_
 One  _x000D_
  _x000D_
### How would you classify this issue?  _x000D_
 Work Impacting</t>
  </si>
  <si>
    <t>Ahmad, Sajjad - Position Change, February 1, 2021</t>
  </si>
  <si>
    <t>Good afternoon,
Please be advised that Sajjad Ahmadâ€™s position changes from Supervisor to Manager, Counselling Services effective February 1, 2021. In relation to his position change, please update the following:
-Â Â Â Â Â Â Â Â Â Staff reporting to Sajjad:
oÂ Â Graham Wills (shared with Angela Blakely-Elliott)
oÂ Â Alison Mapp
oÂ Â Patricia Canales
oÂ Â Douglas Beckstead
-Â Â Â Â Â Â Â Â Â Updates to Distribution list:
oÂ Â Replace â€œTeam Robâ€ with â€œTeam Sajjadâ€
oÂ Â Add Sajjad to the OLT â€“ Operational Leadership Team
oÂ Â Remove him from MWC and move to SFC
Please let me know if you have any questions.
Thanks,
Angeli
No form of electronic communication is secure and may be intercepted by others. Carya cannot guarantee the receipt of electronic communication nor a timely response. Where communication is confidential or time sensitive we recommend you call 403-269-9888 during business hours (Monday-Friday, 8:30am-4:30pm). For immediate crisis response please contact the Distress Centre Crisis Line at 403-266-HELP (4537) and in case of an emergency dial 911.
This e-mail is intended solely for the person or entity to which it is addressed and may contain confidential and/or privileged information. Any review, dissemination, copying, printing, forwarding or other use of this e-mail by persons or entities other than the addressee is prohibited. If you have received this e-mail in error, please contact the sender immediately and delete the material from your computer.</t>
  </si>
  <si>
    <t>Shalina Milligan - FW: Remote Check-In</t>
  </si>
  <si>
    <t>See below
[image]
Shalina Milligan
23 Mckenzie Cres Red Deer County, Alberta T4S-2H4
1-403-356-0225
www.sandmdiesel.com
info@sandmdiesel.com
Follow our facebook at https://www.facebook.com/SandMDIESEL/
Follow on Instagram atÂ  s_mdiesel #smdiesel #sandmdiesel
We have moved as of July 15,2018. Please update your files with our new building address. 23Mckenzie Cres, Red Deer County Alberta T4S-2H4
From: Shalina Milligan
Sent: Tuesday, January 26, 2021 8:18 AM
To: 'Jeff Meadows' &lt;Jeff.Meadows@mnp.ca&gt;
Subject: RE: Remote Check-In
Hey
I do have issues,
My email will just shut down and reopen as im typing
A company told me they are getting emails back when trying to email me that they are marked as spam, when iv always gotten their emails before
Internet keeps blocking pages saying to many redirects even though iv cleared cookies
Had to install a new printer as old one crapped out and I cant make it work on any computer except mine so maybe network not showing or something
Couple tech computers are very slow to respond to internet even though we now have fiber internet
[image]
Shalina Milligan
23 Mckenzie Cres Red Deer County, Alberta T4S-2H4
1-403-356-0225
www.sandmdiesel.com
info@sandmdiesel.com
Follow our facebook at https://www.facebook.com/SandMDIESEL/
Follow on Instagram atÂ  s_mdiesel #smdiesel #sandmdiesel
We have moved as of July 15,2018. Please update your files with our new building address. 23Mckenzie Cres, Red Deer County Alberta T4S-2H4
From: Jeff Meadows &lt;Jeff.Meadows@mnp.ca&gt;
Sent: Tuesday, January 12, 2021 11:50 AM
To: Shalina Milligan &lt;shalina@sandmdiesel.com&gt;
Subject: Remote Check-In
Hi Shalina,
Just checking in as part of our bi-monthly site visit. Due to provincial restrictions weâ€™re conducting visits remotely unless thereâ€™s a specific need for onsite work. Are there are any new issues around the office that you are aware of? If so, please let me know: we can resolve most problems remotely.
Thanks,
Jeff Meadows
Field Services Technician
PH.Â 587.273.5062
4922 - 53 St.
Red Deer, AB
T4N2E9
Jeff.Meadows@mnp.ca
mnp.ca
[image]
[image]</t>
  </si>
  <si>
    <t>Kurt Lowe</t>
  </si>
  <si>
    <t>Kurt Lowe - FortiClient VPN Update</t>
  </si>
  <si>
    <t>Good Afternoon,
My VPN connection keeps dropping and one of my coworkers said there is an update for the FortiClient VPN. Would it be possible to get this update?
Thanks,
Kurt
Kurt Lowe, Technologist
Group2
Architecture Interior Design Ltd.
200, 4706 Â 48th Â Avenue Red Deer AB T4N 6J4
T +1Â 403 340 2200 (ext. 435)
group2.ca
Group2 is committed to being both responsive and responsible in navigating these extraordinary times with everyoneâ€™s safety in mind. Since the outset of the COVID-19 situation, we have enabled our employees to work remotely, allowing us to continue business operations and maintain our client commitments.
This email and any files transmitted with it are confidential and intended solely for the use of the individual or entity to whom they are addressed. If you have received this email in error please notify the system manager. This message contains confidential information and is intended only for the individual named. If you are not the named addressee you should not disseminate, distribute or copy this e-mail.</t>
  </si>
  <si>
    <t>Gail Yakemchuk</t>
  </si>
  <si>
    <t>Gail Yakemchuk - BIG Problem with RDS and my Desktop and G Drive</t>
  </si>
  <si>
    <t>I file documents to folders on G Drive  when using RDS.  When I go back ot my desk top teh file folder is not updated!  argghh!  _x000D_
Last week I created a new folder  on GDrive... It does not exist on RDS... argghhh   _x000D_
HELP!</t>
  </si>
  <si>
    <t>Francophonie Albertaine Plurielle</t>
  </si>
  <si>
    <t>Yic Camara</t>
  </si>
  <si>
    <t>Francophonie Albertaine Plurielle - Laptops, Desktop, printer</t>
  </si>
  <si>
    <t>Quote 1
6x Basic Laptop â€“ Same as AAAQ19774-01
2x Surface Pro + type cover
Quote 2
1x Surface Pro + type cover
1x Desktop AIO w/ dual screens
Printer â€“ B&amp;W, MFP, single user
Show multiple choices
Curt Giacomoni
Project Estimator
PH.Â +1 7804246398
14505 114th Avenue NW
Edmonton, AB
T5M2Y8
Curt.Giacomoni@mnp.ca
mnp.ca[image]
[image]</t>
  </si>
  <si>
    <t>Gerry Baert - NuTec PVR</t>
  </si>
  <si>
    <t>### Summary of Issue_x000D_
BCI - NuTec PVR_x000D_
  _x000D_
### Details of Issue_x000D_
Hi team,
I received a note from Gerry that a member of our team (not sure who) was working with Peter from NuTec regarding their "PVR " installed at their office. 
Apparently the device was taken home and when connected to the internet, it works fine. They're now wondering if the FW on-site is blocking this.
Can someone please connect with Peter (NuTec) to discuss a resolution?
Please provide a final update to Gerry or Dirk.
Thank you,_x000D_
  _x000D_
### Have you opened a ticket about this issue before?  _x000D_
 No  _x000D_
  _x000D_
### How many users are impacted by this issue?  _x000D_
 Some  _x000D_
  _x000D_
### How would you classify this issue?  _x000D_
 Work Impacting</t>
  </si>
  <si>
    <t>[JIRA] Automation for Jira assigned TIAP-1006 to you</t>
  </si>
  <si>
    <t>Automation for Jira assigned this issue to you
Toronto Innovation Acceleration Partners/TIAP-1006 Phil Goldbach - URGENT support needed 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
Automation for Jira assigned this issue to you
Toronto Innovation Acceleration Partners
/Â Â   [image] Â  TIAP-1006
 Phil Goldbach - URGENT support needed 
[image]  Automation for Jira  2:08Â PMÂ EST
Assignee: Unassigned [â†’] Jason Gessner
View issue
Get Jira notifications on your phone! Download the Jira Cloud app for Android or iOS.
Manage notifications   Â â€¢Â    Give feedback   Â â€¢Â    Privacy policy
[image]
[image]
[image]</t>
  </si>
  <si>
    <t>FW: Do you have Dell monitors?</t>
  </si>
  <si>
    <t>From: Riccardo Francese &lt;RFrancese@siterg.com&gt; 
Sent: Tuesday, January 26, 2021 12:00 PM
To: Sales - MNP IT Managed Services &lt;sales@mnptechnology.ca&gt;
Subject: Do you have Dell monitors?
CAUTION:This email originated from outside of the MNP network. Be cautious of any embedded links and/or attachments.
MISE EN GARDE:Ce courriel ne provient pas du rÃ©seau de MNP. MÃ©fiez-vous des liens ou piÃ¨ces jointes quâ€™il pourrait contenir.
Do you have any dell monitors in stock, also have the other two laptops arrived?
[Image removed by sender.]
Riccardo Francese
Business Process Manager
T: +1 (780) 400-7487
C: +1 (587) 990-0176
F: +1 (780) 417-6496
E: RFrancese@siterg.com
W:WWW.SITERG.COM
#170, 120 Pembina Rd., Sherwood Park, AB, T8H 0M2
The information contained in this e-mail may contain confidential or privileged material and is intended only for the stated addressee(s). If you are not the valid addressee, the use, disclosure, copying or distribution of this information is prohibited and may be unlawful. If you have received this email message in error, please notify the sender immediately and delete all copies of the message from your computer. All information within or opinions expressed in this message and/or any attachments are those of the author and are not necessarily those of the Centurion Group.</t>
  </si>
  <si>
    <t>QuickBooks</t>
  </si>
  <si>
    <t>Hi,
I have tried to open a QuickBooks file on the QuickBooks Premier Accountant 2021 version and I got this message:
â€œThe action requires Windows administrator permissionsâ€
Can you help me to fix it?
Fernando Lau, CPA, CGA
Caskey &amp; Company LLP |www.ccllp.ca
T 780 487 7135 |F 780 487 7197
EÂ flau@ccllp.ca
#205 10441 178 Street, Edmonton AB, T5S 1R5</t>
  </si>
  <si>
    <t>New User - Diane Allenby</t>
  </si>
  <si>
    <t>Name: Diane Allenby
Title: Dispatcher
Location: Sherwood Park
Same access as: Albert Paradis (including access to Dispatcher, etc)
[image]Â Riccardo Francese
Business Process Manager
T:       +1 (780) 400-7487
C:       +1 (587) 990-0176
F:       +1 (780) 417-6496
E:       RFrancese@siterg.com
W:       WWW.SITERG.COM
#170, 120 Pembina Rd., Sherwood Park, AB, T8H 0M2
The information contained in this e-mail may       contain confidential or privileged material and is intended only for the       stated addressee(s). If you are not the valid addressee, the use,       disclosure, copying or distribution of this information is prohibited and       may be unlawful. If you have received this email message in error, please       notify the sender immediately and delete all copies of the message from       your computer. All information within or opinions expressed in this       message and/or any attachments are those of the author and are not       necessarily those of the Centurion Group.</t>
  </si>
  <si>
    <t>Jaishil Prasad</t>
  </si>
  <si>
    <t>Fieldlaw - Angela Beierbach - 7651</t>
  </si>
  <si>
    <t>Hi,
Could you please check Angela Beierbachâ€™s Mitel account for voicemail. She would like to receive all her voicemail via email as an audio wav file.
Settings on Mitel end looks fine, but she still does not receive voicemail emails.
[image]
Kind Regards,
Jaishil R Prasad
[Long View Systems]
Edmonton MITS System Consultant
..................................................................
Mobile: 825.993.4190 |Main: 587.773.7167
Email:Jaishil.Prasad@lvs1.com
[image]
This message and any attached documents are only for the use of
the intended recipient(s), are confidential and may contain privileged 
information. Any unauthorized review, use, retransmission, or other 
disclosure is strictly prohibited. If you have received this message in 
error, notify the sender immediately, and delete the original message.
Long View approved for General use</t>
  </si>
  <si>
    <t>Paula McFaul</t>
  </si>
  <si>
    <t>Melody Baldry - SHPK Bus01 - DYMO cutting off</t>
  </si>
  <si>
    <t>Hello MNP IT,
An employee is currently working at SHPK BUS01 and the Â DYMO is cutting off. 
She will be leaving work at 12:00pm and this workstation will be available.
It is a DYMO 310 and I believe that the print driver may not be compatible.
Could someone remote onto this workstation to review the drivers. There is not anyone on-site who will be able to assist with troubleshooting.
Thanks,
Mel
Melody Baldry
Manager &amp; Privacy Officer
Align Orthodontics
Edmonton, Alberta, Canada
Direct: 780.395.2999
Edmonton Main: 780.463.5141
Sherwood Park Main: 780.449.6597
www.alignortho.com
[Email Logo Template]
Confidentiality Notice: This message and any attachments are solely for the intended recipient and may contain confidential or privileged information. If you are not the intended recipient, any disclosure, copying, use, or distribution of the information included in this message and any attachment is prohibited. If you have received this communication in error, please notify myself, by reply email and immediately and permanently delete this message and any attachments.</t>
  </si>
  <si>
    <t>RE: Permission to download on SSA cloud server</t>
  </si>
  <si>
    <t>Vicki - Yes this is awkward but when we access zoom on the cloud our mics donâ€™t work.Â  What I usually do is just copy the zoom link and then go off the cloud and open google and past it in.
MNP â€“ if there is a way that we can make zoom work on the cloud it would be very helpful to all of us.
Thanks,
Wendy
Wendy Bonertz
Provincial Program Director
Schizophrenia Society of Alberta
Phone: 403-896-4745
www.schizophrenia.ab.ca
[image]
From: Vicki Quintero &lt;VQuintero@schizophrenia.ab.ca&gt;
Sent: Tuesday, January 26, 2021 10:49 AM
To: 'Support - MNP IT Managed Services' &lt;support@mnptechnology.ca&gt;
Cc: Wendy Bonertz &lt;wbonertz@schizophrenia.ab.ca&gt;; Rubyann Rice &lt;rrice@schizophrenia.ab.ca&gt;
Subject: Permission to download on SSA cloud server
Hi there,
Is there any possible way to get permission access on the cloud server to download zoom?
I am trying to use this laptop for presentation and meetings but I wonâ€™t allow me to download zoom or other applications on the cloud.
Itâ€™s just a minor inconvenience at this time but I donâ€™t want to be constantly sending my work email to my personal email to open zoom offline.
Please let me know if this is possible.
Thank you!
Vicki Quintero
Graphic Designer
Schizophrenia Society of Alberta
vquintero@schizophrenia.ab.ca
www.schizophrenia.ab.ca
[Ebanner-01]</t>
  </si>
  <si>
    <t>FW: POWER POINT</t>
  </si>
  <si>
    <t>Please can you retrieve the file attached in the email below, its urgent
Thank you
From: Danielle Lavigne &lt;danielle.lavigne@igloo.ca&gt; 
Sent: Tuesday, January 26, 2021 9:58 AM
To: Fidelis Uduehi &lt;Fidelis.Uduehi@igloo.ca&gt;
Subject: POWER POINT
Importance: High
Iâ€™m still having issues not being able to open up power point files. This one was saved in the Udrive and I canâ€™t open it.
Why is this happening? I need this file ASAP.
[image]
Can you help please?
[image]
Danielle Lavigne
Account Manager, A.L.A Lighting SpecialistÂ 
Phone/Fax: 780.665.3303 |Â Mobile: 780.399.4120
12832 184 St NW|Â Edmonton, ABÂ |Â T5V1T4
[image]Â Â [image]Â Â [image]Â  Â  Â  Â  Â  Â  Â [image]Â [image]</t>
  </si>
  <si>
    <t>Mike Farhat - Blue Circle Ins. Exchange Drive expansion</t>
  </si>
  <si>
    <t>### Summary of Issue_x000D_
Blue Circle Ins. Exchange Drive expansion_x000D_
  _x000D_
### Details of Issue_x000D_
Please Expand  NC-BCI-MAIL02\C:  drive by 30 GB (15 GB Free/159 GB)_x000D_
  _x000D_
### Have you opened a ticket about this issue before?  _x000D_
 No  _x000D_
  _x000D_
### How many users are impacted by this issue?  _x000D_
 Everyone  _x000D_
  _x000D_
### How would you classify this issue?  _x000D_
 Unable to Work</t>
  </si>
  <si>
    <t>Permission to download on SSA cloud server</t>
  </si>
  <si>
    <t>Hi there,
Is there any possible way to get permission access on the cloud server to download zoom?
I am trying to use this laptop for presentation and meetings but I wonâ€™t allow me to download zoom or other applications on the cloud.
Itâ€™s just a minor inconvenience at this time but I donâ€™t want to be constantly sending my work email to my personal email to open zoom offline.
Please let me know if this is possible.
Thank you!
Vicki Quintero
Graphic Designer
Schizophrenia Society of Alberta
vquintero@schizophrenia.ab.ca
www.schizophrenia.ab.ca
[Ebanner-01]</t>
  </si>
  <si>
    <t>remove from distribution list</t>
  </si>
  <si>
    <t>Good morning,
This is a request to please remove Lisa Stebbins from â€œThe Way Inâ€ distribution list.
Thanks,
Angeli
[image]
Angeli AlipioBBA
HR Generalist
T: 403.205.5233 |C: 403.619.7126 | E: AngeliA@caryacalgary.ca| F: 403.205.5281
180, 839 5 Ave SW | Calgary, AB | T2P 3C8
[image]Â [image]Â [image]
carya (formerly Calgary Family Services)
We are working remotely to help Calgarians through the COVID-19 pandemic. Please reach out to us if you need support.carya is here for you.
In the spirit of our efforts to promote reconciliation, we acknowledge the traditional territories and oral practices of the Blackfoot, the Tsuut'ina, the Stoney Nakoda First Nations, the MÃ©tis Nation Region 3, and all people who make their homes in the Treaty 7 region of Southern Alberta. We also respectfully acknowledge that the province of Alberta is comprised of Treaty 6, Treaty 7, and Treaty 8 territory, the traditional lands of First Nations and MÃ©tis peoples.
No form of electronic communication is secure and may be intercepted by others. Carya cannot guarantee the receipt of electronic communication nor a timely response. Where communication is confidential or time sensitive we recommend you call 403-269-9888 during business hours (Monday-Friday, 8:30am-4:30pm). For immediate crisis response please contact the Distress Centre Crisis Line at 403-266-HELP (4537) and in case of an emergency dial 911.
This e-mail is intended solely for the person or entity to which it is addressed and may contain confidential and/or privileged information. Any review, dissemination, copying, printing, forwarding or other use of this e-mail by persons or entities other than the addressee is prohibited. If you have received this e-mail in error, please contact the sender immediately and delete the material from your computer.</t>
  </si>
  <si>
    <t>Nunavut Planning Commission</t>
  </si>
  <si>
    <t>Jonathan Ehaloak</t>
  </si>
  <si>
    <t>NPC EDM QNAP Failed HD</t>
  </si>
  <si>
    <t>### What company is this quote for?_x000D_
Nunavut Planning Commission_x000D_
  _x000D_
### Who should the quote be addressed to?  _x000D_
 The primary contact in Connectwise  _x000D_
  _x000D_
### Which location is the product for?_x000D_
Edmonton Data Centre_x000D_
  _x000D_
### Is there an existing ticket on another Connectwise board? If so what is the ticket number?_x000D_
1353108_x000D_
  _x000D_
### Which ND location is it needed at?  _x000D_
 Next Digital Edmonton  _x000D_
  _x000D_
### When is it needed by OR when is the next site visit for the client's location?  _x000D_
Fri 29 Jan, 2021  _x000D_
  _x000D_
### What do you need quoted?_x000D_
1 x 3 TB WD Red SATA III NAS Drive
Provide option on quote to purchase second drive as a spare</t>
  </si>
  <si>
    <t>Heather McLeod</t>
  </si>
  <si>
    <t>Good Morning,
Can you please reach out to Heather as she can not print to the network printer.
Thanks,
Carie Campbell
Office Manager
T:
F:
780.459.5263
780.459.1220
carie@landrex.com
***Please note we will be closed for the Holidays from December 18, 2020 returning January 4, 2021.Â  We wish all of you a safe, healthy and joyous holiday season!***
220Â SummitÂ PlazaÂ 190Â BoudreauÂ RoadÂ St.Â AlbertÂ ABÂ T8NÂ 6B9Â //Â landrex.com
[image]
PrivateÂ andÂ confidentialÂ â€‘Â TheÂ informationÂ transmittedÂ isÂ intendedÂ onlyÂ forÂ theÂ personÂ orÂ entityÂ toÂ whichÂ itÂ isÂ addressedÂ andÂ mayÂ containÂ proprietary,Â businessâ€‘confidentialÂ and/orÂ 
privilegedÂ material.Â IfÂ youÂ areÂ notÂ theÂ intendedÂ recipientÂ ofÂ thisÂ messageÂ youÂ areÂ herebyÂ notifiedÂ thatÂ anyÂ use,Â review,Â retransmission,Â dissemination,Â distribution,Â reproductionÂ orÂ anyÂ 
actionÂ takenÂ inÂ relianceÂ uponÂ thisÂ messageÂ isÂ prohibited.Â IfÂ youÂ receivedÂ thisÂ inÂ error,Â pleaseÂ contactÂ theÂ senderÂ andÂ deleteÂ theÂ messageÂ andÂ anyÂ relatedÂ attachmentsÂ orÂ copies.</t>
  </si>
  <si>
    <t>RE:  Email - Diana Steele</t>
  </si>
  <si>
    <t>Good morning,
The email address for dianas@pilgrimshospice.comis not working properly.Â  This is work impacting so can you please have a look into it right away.
Thank you,
Cheryl Waldo
Senior Executive Assistant
Pilgrims Hospice Society
9808 â€“ 148 Street
Edmonton ABÂ  T5N 3E8
T. 780.413.9801 ext. 240 / T. 587.414.5043 (direct)
*Home of the new Roozen Family Hospice Centre
[image]</t>
  </si>
  <si>
    <t>Carmen Horpestad</t>
  </si>
  <si>
    <t>ticket</t>
  </si>
  <si>
    <t>Can you start a ticket. I will be dropping off 3 laptops to be set up.
Thanks
Carmen Horpestad
Executive Director/CEO
LoSeCa Foundation
1-215 Carnegie Drive
St. Albert, AB
Phone: (780) 460-1400 (ext. 231)
Fax: (780) 459-1380
Email:chorpestad@loseca.ca
[LOGO]
This email and any files transmitted with it are confidential and intended solely for the use of the individual or entity to whom they are addressed. If you have received this email in error please notify the sender immediately and delete the email. This message contains confidential information and is intended only for the individual named. If you are not the named addressee you should not disseminate, distribute or copy this e-mail.</t>
  </si>
  <si>
    <t>FW: Some parts I need</t>
  </si>
  <si>
    <t>Curt Giacomoni
Project Estimator
PH.Â +1 7804246398
14505 114th Avenue NW
Edmonton, AB
T5M2Y8
Curt.Giacomoni@mnp.ca
mnp.ca[image]
[image]
From: Gerald Grant &lt;ggrant@northlands.com&gt; 
Sent: Tuesday, January 26, 2021 9:25 AM
To: Curt Giacomoni &lt;Curt.Giacomoni@mnp.ca&gt;
Cc: Flavio Soares &lt;Flavio.Soares@mnp.ca&gt;
Subject: Some parts I need
CAUTION:This email originated from outside of the MNP network. Be cautious of any embedded links and/or attachments.
MISE EN GARDE:Ce courriel ne provient pas du rÃ©seau de MNP. MÃ©fiez-vous des liens ou piÃ¨ces jointes quâ€™il pourrait contenir.
Hello.
I need to get some RAM for older my IBM X3550 7978 Server to replace the 3GB it currently has.Â  I would like to get 4 x 4gb of RAM or maybe 4 x 8gb depending on the price).Â  I have included a photo with the current parts.
Can you fire me a price for this and what the ETA would be?
Gerald Grant
Manager Business Technology
Business Technology
northlands.com
Direct: 780-378-6866 ext.6866
Mobile:Â  (780) 932-7124
[image]
IMPORTANT NOTICE OF ADDRESS CHANGE
Please note that our office has moved and we are now located at 2693 Broadmoor Boulevard, Suite 132, Sherwood Park, Alberta, CA, T8H 0G1
Confidentiality: The information transmitted is intended only for the addressee and may contain confidential, proprietary and/or privileged material. Confidentiality, privilege, and/or its proprietary nature are not lost by this information having been sent to the wrong person. Any unauthorized review, copying, distribution or other use of or the taking of any action in reliance upon this information is prohibited. If you receive this in error, please contact the sender immediately and delete or destroy this message and any copies.</t>
  </si>
  <si>
    <t>Gustavo Soto</t>
  </si>
  <si>
    <t>Gustavo Soto - password not working</t>
  </si>
  <si>
    <t>Hello,
I changed my password yesterday and now I don't have accesses neither with the old password nor with the new one.
Could you assist me with this?
Thank you,</t>
  </si>
  <si>
    <t>Riccardo Francese - Allow website www.cagclearns.ca</t>
  </si>
  <si>
    <t>AttachedÂ 
Sent from my iPhone
[image]Â Riccardo Francese
Business Process Manager
T:       +1 (780) 400-7487
C:       +1 (587) 990-0176
F:       +1 (780) 417-6496
E:       RFrancese@siterg.com
W:       WWW.SITERG.COM
#170, 120 Pembina Rd., Sherwood Park, AB, T8H 0M2
The information contained in this e-mail may       contain confidential or privileged material and is intended only for the       stated addressee(s). If you are not the valid addressee, the use,       disclosure, copying or distribution of this information is prohibited and       may be unlawful. If you have received this email message in error, please       notify the sender immediately and delete all copies of the message from       your computer. All information within or opinions expressed in this       message and/or any attachments are those of the author and are not       necessarily those of the Centurion Group.
Begin forwarded message:
From: Richard Banner &lt;Richard@bearaccessenviro.com&gt;
Date: January 26, 2021 at 7:59:42 AM MST
To: Riccardo Francese &lt;RFrancese@siterg.com&gt;
Subject: FW: Fwd: FAQï»¿
Good Morning Riccardo
I am working with the CAGC and the BC Forest Safety Council on a New Faller Training Program.Â  Can you please unblock the Following Websites as I need to evaluate it and make suggested changes to it.
https://www.cagclearns.ca/
Regards,
[image]Â Richard Banner
HSE Manager
T: +1 (780) 826-8048
C: +1 (780) 812-6451
F: +1 (780) 826-1913
E: Richard@bearaccessenviro.com
W: WWW.BEARACCESSENVIRO.COM
PO Box 7610 / 7402 - 50 Avenue, Bonnyville, AB, T9N 2G8
The information contained in this e-mail may contain confidential or privileged material and is intended only for the stated addressee(s). If you are not the valid addressee, the use, disclosure, copying or distribution of this information is prohibited and may be unlawful. If you have received this email message in error, please notify the sender immediately and delete all copies of the message from your computer. All information within or opinions expressed in this message and/or any attachments are those of the author and are not necessarily those of the Centurion Group.
From: Mike Doyle &lt;mjd@cagc.ca&gt;
Sent: Monday, January 18, 2021 2:38 PM
To: Richard Banner &lt;Richard@bearaccessenviro.com&gt;; Tashia Olmstead &lt;tashia@cagc.ca&gt;; Rod Garland (CAGC) &lt;rodgarland@shaw.ca&gt;
Subject: Re: Fwd: FAQ
Theirs is = https://www.forestrylearninghub.com/
On 1/18/2021 2:30 PM, Mike Doyle wrote:
Working on new website = https://www.cagclearns.ca/
Thoughts on intros to the faller programs - as he notes below?
Do we already have something like that?
-------- Forwarded Message --------
Subject:
FAQ
Date:
Mon, 18 Jan 2021 09:29:39 -0700 (MST)
From:
Greg Shorland &lt;gshorland@shaw.ca&gt;
To:
Mike Doyle &lt;mjd@cagc.ca&gt;
Good Morning Mike.
The FAQ is a great section to answer questions about the programs. Is there a specific way you would like this made ( sections) and questions and content you might have for this section. I am unsure what you would like to do with the Professional Development section.
Everything is marked as free right now, but you can decide if you want to charge thru the LMS for access or grant access, or enroll folks. Questions that don't have to be answered today.
Both the Chainsaw and Faller Programs will need introductions based on how you run the program - If you would like I can reach out to Richard for that.
g</t>
  </si>
  <si>
    <t>FW: Logging on to the Regina server....</t>
  </si>
  <si>
    <t>Kolyn Anderson
Senior Project Specialist
PH.Â +1 4036864357       Ext 404
310 - 4000 4 St SE
Calgary,       AB
T2G2W3
Kolyn.Anderson@mnp.ca
mnp.ca [image]
[image]
From: swanny@phoenixresearch.ca &lt;swanny@phoenixresearch.ca&gt;
Sent: January 26, 2021 7:39 AM
To: Kolyn Anderson &lt;Kolyn.Anderson@mnp.ca&gt;
Subject: Logging on to the Regina server....
CAUTION:This email originated from outside of the MNP network. Be cautious of any embedded links and/or attachments.
MISE EN GARDE:Ce courriel ne provient pas du rÃ©seau de MNP. MÃ©fiez-vous des liens ou piÃ¨ces jointes quâ€™il pourrait contenir.
Hi Kolyn,
If this email should have been sent elsewhere, please re-direct it for me. When we executed the handover, I used Windows remote desktop to log-on to the Kensington server, so that I could add or remove users on the domain. I didnâ€™t try to log-on to the Regina server at the time, but I did so yesterday. I was unable to log-on the same way.
Am I missing something?
Regards,</t>
  </si>
  <si>
    <t>Brad Dennis - Removal of Admin</t>
  </si>
  <si>
    <t>Good Morning!
Can you please have Dave Bruntonâ€™s name and email address removed from the Carry Steel records. He has now retired and does not need to be receiving ticket notifications etc. The two Admins on the account should be Blake Hamilton and myself.
Thanks for your time in this matter.
[image]
BRAD DENNIS | SALES MANAGER
CELL 780.499.5804 | MAIN 780.465.0381 |brad.dennis@carrysteel.com |www.carrysteel.com
Business, The Carry Way</t>
  </si>
  <si>
    <t>The Embroidery Company Inc.</t>
  </si>
  <si>
    <t>Celine Uttaro</t>
  </si>
  <si>
    <t>Email password</t>
  </si>
  <si>
    <t>Good evening,
We have an ECF email address for a consultant that she canâ€™t log into.
Can you please ensure that toberik@ecfoundation.org is active.
Also, can you please reset the password to SunShine99!
Cheers,
Chris Quinn
CFO
9910-103rd Street
Edmonton, AB T5K 2V7
780.426.0015 ext 117
780.970.0056 (cell)
www.ecfoundation.org
Visit ECF on Facebook
or follow us on Twitter!
[Description: Description: imagesCAKE7O7W][http://ec.europa.eu/digital-agenda/futurium/sites/futurium/modules/features/custom/futurium/social-icons/Tw.png]
No Quit, Never Stop!
DISCLAIMER
This communication is intended for the use of the recipient to whom it is addressed, and may contain confidential, personal or privileged information.Â  Please contact us immediately if you are not the intended recipient of this communication, and do not copy, distribute or take action relying on it.Â  Any communication received in error, or subsequent reply should be deleted or destroyed.</t>
  </si>
  <si>
    <t>Susan Herman</t>
  </si>
  <si>
    <t>Susan Herman - Continued crashing of system impeding work</t>
  </si>
  <si>
    <t>Hi there,
Last week I received assistance as my computers processing speed was tapped out due to Microsoft Teams.Â  The temporary solution is no longer working as I am constantly battling my system not responding with basic functions.
Thanks.
Susan
[image]
Susan Herman
Pronouns: (she/her)
Director, Strong Families in Community
T: 403.205.5248 |E: susanh@caryacalgary.ca| F: 403.205.5281
180, 839 5 Ave SW | Calgary, AB | T2P 3C8
[image]Â [image][instagram-1675670]Â [image]
carya (formerly Calgary Family Services)
Stay up to date with the latest carya news, programs, and events by signing up for ourmonthly newsletter.
In the spirit of our efforts to promote reconciliation, we acknowledge the traditional territories and oral practices of the Blackfoot, the Tsuut'ina, the Stoney Nakoda First Nations, the MÃ©tis Nation Region 3, and all people who make their homes in the Treaty 7 region of Southern Alberta. We also respectfully acknowledge that the province of Alberta is comprised of Treaty 6, Treaty 7, and Treaty 8 territory, the traditional lands of First Nations and MÃ©tis peoples.
No form of electronic communication is secure and may be intercepted by others. Carya cannot guarantee the receipt of electronic communication nor a timely response. Where communication is confidential or time sensitive we recommend you call 403-269-9888 during business hours (Monday-Friday, 8:30am-4:30pm). For immediate crisis response please contact the Distress Centre Crisis Line at 403-266-HELP (4537) and in case of an emergency dial 911.
This e-mail is intended solely for the person or entity to which it is addressed and may contain confidential and/or privileged information. Any review, dissemination, copying, printing, forwarding or other use of this e-mail by persons or entities other than the addressee is prohibited. If you have received this e-mail in error, please contact the sender immediately and delete the material from your computer.</t>
  </si>
  <si>
    <t>Tina Fagan</t>
  </si>
  <si>
    <t>Keith Angulo - Password Reset</t>
  </si>
  <si>
    <t>Please reset his password.
[image]
Tina Fagan | Assistant to Executives | Lexus of Edmonton 
Tel: 780-466-8300 | tfagan@lexusofedmonton.caÂ  |www.lexusofedmonton.ca
[image]
Lexus of Edmonton family member since 2014</t>
  </si>
  <si>
    <t>Matt Mandrusiak</t>
  </si>
  <si>
    <t>Matt Mandrusiak - Cannot Access FIMS</t>
  </si>
  <si>
    <t>### Summary of Issue_x000D_
Cannot Access FIMS_x000D_
  _x000D_
### Details of Issue_x000D_
I once again have lost access to FIMS. Had this same claim a week ago, it was fixed for a day, and is now missing again._x000D_
  _x000D_
### Have you opened a ticket about this issue before?  _x000D_
 Yes  _x000D_
  _x000D_
### How many users are impacted by this issue?  _x000D_
 Some  _x000D_
  _x000D_
### How would you classify this issue?  _x000D_
 Work Impacting  _x000D_
  _x000D_
### If your callback number is different than what's on record, please provide it below._x000D_
780-974-7923</t>
  </si>
  <si>
    <t>Dr. Krivuzoff- Sanderson  Dentistry</t>
  </si>
  <si>
    <t>Leanne Perry</t>
  </si>
  <si>
    <t>Leanne Perry - Computer is running slowly</t>
  </si>
  <si>
    <t>### Summary of Issue_x000D_
Dr. Caroline Krivuzoff-Sanderson - Leanne Perry - Computer is running slowly_x000D_
  _x000D_
### Details of Issue_x000D_
Leanne's computer is running slowly according to her. We have cleaned up startup programs/services but it is still a problem. Need to remote in and reproduce issue and investigate further._x000D_
  _x000D_
### Have you opened a ticket about this issue before?  _x000D_
 No  _x000D_
  _x000D_
### How many users are impacted by this issue?  _x000D_
 One  _x000D_
  _x000D_
### How would you classify this issue?  _x000D_
 Work Impacting</t>
  </si>
  <si>
    <t>Terminate MHK Employee on January 29 at 4:30 pm</t>
  </si>
  <si>
    <t>Hi there,
Could you please deactivate Phil Boivinâ€™s profile on Friday, January 29 at 4:30 pm?
Thanks,
Jana
Jana Lumsden       CPA, CMA
Chief Financial Officer
EÂ Â Â Â Â  jlumsden@mhkinsurance.com
DÂ Â Â Â  587.525.6029Â 
CÂ Â Â Â  780.999.7111
12316-107 Avenue, Edmonton, AB  T5M 1Z1
www.mhkinsurance.com
[image]
[image]
We're here to help with your insurance needs. Emails       and phone calls are still encouraged. Appointments are required for       in-office broker meetings. Please wear a mask when       visiting.
MHK welcomes       e-Transfer payments to banking@mhkinsurance.â€‰com.
If you       receive this email in error, please notify us by reply email and destroy       this message. MHK complies with Canada's Anti-Spam and Alberta's PIPA       Legislations. If you no longer wish to receive emails from MHK, please       reply with 'Unsubscribe' in the subject   line.</t>
  </si>
  <si>
    <t>MailBox</t>
  </si>
  <si>
    <t>Hi,
Please give Caitlin 10gb more mailbox size.
Courtney Holick, CPA, CMA
Chief Financial Officer
[cid:image001.jpg@01D69AED.73FB1610]
14610 Yellowhead Trail NW Edmonton, AB, T5L 3C5
Branch: 780-454-0491Â Â Â Â  Toll Free: 1-800-363-7819Â Â Â Â  Direct: 780-409-3359Â Â Â Â  Cell: 780-916-7296
Email:courtney.holick@calmont.ca
Website:www.calmont.ca
This email, and any files transmitted with it, are confidential and are intended solely for the use of the individual or entity to which they are addressed. Any unauthorized use or disclosure is prohibited. Please notify the sender if you have received this email in error. Thank you for your co-operation.</t>
  </si>
  <si>
    <t>Distribution Group</t>
  </si>
  <si>
    <t>Good afternoon,
Can we please add Lisa Campbell to the specialist tech group.
Thank you
[image]
Jessica Foyle
E: jessica@pulseveterinary.ca
P: 780.570.9999
A: 450 Ordze Road, Unit #320.Â  Sherwood Park, AB T8B 0C5
www.pulseveterinary.ca</t>
  </si>
  <si>
    <t>Jessica Foyle - New email address Casey Smith</t>
  </si>
  <si>
    <t>Good afternoon,
Can we please get a new email address with full license (word, excel) for Casey Smith. Please set the password as Winter2021
Casey Smith
casey@pulseveterinary.ca
Thank you,
[image]
Jessica Foyle
E: jessica@pulseveterinary.ca
P: 780.570.9999
A: 450 Ordze Road, Unit #320.Â  Sherwood Park, AB T8B 0C5
www.pulseveterinary.ca</t>
  </si>
  <si>
    <t>HSI Financial Group Inc.</t>
  </si>
  <si>
    <t>HSI Receptionist</t>
  </si>
  <si>
    <t>Problems with Logging In</t>
  </si>
  <si>
    <t>Hello,
It appears that Wes is locked out of his desktop.Â  He tried emailing Mike but received an automated message stating Mike is out of the office.Â  Can someone please help with this issue?
Wesâ€™ number is 250-215-2322.
Thanks,
Marcella PawlowskiÂ        B. Mkt
Relationship Manager
.[image].T: (403)       269-4640
F: (403)       266-0031
reception@hsifinancial.comÂ -Â www.hsifinancial.com
11420 27th Street S.E., Suite 223 Calgary, AB T2Z       3R6
[image]Â [image]Â [image]
.
"A recommendation from a client is a tremendous compliment, a huge responsibility &amp; can never be taken lightly" â€“ Anonymous
THIS IS A CONFIDENTIAL COMMUNICATION. The information contained in this e-mail transmission is intended for the use of the individual or entity to which it is addressed and may contain information that is privileged, proprietary, confidential, and exempt from disclosure. If you are not the intended recipient or the person responsible for delivering the material to the intended recipient, you are notified that any dissemination or copying of this communication is strictly prohibited. If you have received this communication in error, please notify the sender immediately by telephone and destroy this material accordingly.
**We at HSI Financial Group would like to assure you that we are committed to the health and protection of our clients and colleagues. We are actively taking measures to mitigate the spread of COVID-19 and to sustain a healthy and safe workplace. If you have traveled outside Canada within the past 14 days, or if you are experiencing any symptoms related to the COVID-19 virus, we ask that you do not enter the office. For the time being, drop-ins are not permitted and all necessary in-office meetings are by appointment only. If you have an appointment, please do not arrive more than 5 minutes before your scheduled time. Should you need to contact us immediately, please do so by calling the office or by email.**</t>
  </si>
  <si>
    <t>Federation Des Parents</t>
  </si>
  <si>
    <t>Natacha Beauvais</t>
  </si>
  <si>
    <t>Natasha Beauvais - apps not working</t>
  </si>
  <si>
    <t>Raimund Schwind
Process Manager - Incidents
PH.Â +1 7804246398       Ext 365
14505 114th Avenue NW
Edmonton,       AB
T5M2Y8
Raimund.Schwind@mnp.ca
mnp.ca [image]
[image]
From: Info - MNP IT Managed Services &lt;info@mnptechnology.ca&gt;
Sent: January 25, 2021 10:50 AM
To: Raimund Schwind &lt;Raimund.Schwind@mnp.ca&gt;
Subject: FW: Help Needed
See below.Â  This came into info.Â  Not sure if she also reached out to support.
From: Natacha Beauvais &lt;communication@fpfa.ab.ca&gt;
Sent: January 25, 2021 10:12 AM
To: info@nextdigital.ca
Subject: Fwd: Help Needed
CAUTION:This email originated from outside of the MNP network. Be cautious of any embedded links and/or attachments.
MISE EN GARDE:Ce courriel ne provient pas du rÃ©seau de MNP. MÃ©fiez-vous des liens ou piÃ¨ces jointes quâ€™il pourrait contenir.
Hello,
Can someone contact me please. It is urgent.
---------- Forwarded message ---------
DeÂ :Natacha Beauvais &lt;communication@fpfa.ab.ca&gt;
Date: lun. 18 janv. 2021, Ã  10 h 28
Subject: Help Needed
To: &lt;info@nextdigital.ca&gt;
Hello
We have software (EZ CARE and TimeClock) installed on the IGLF's server (we share it and I know you are the one managing the server) and apparently, they have stopped working somehow.
We would need someone to help us fix all that. Our employees used this software all over the province and it is not urgent.
Could you please contact me ASAP?
The best way would be to call me at 780 932 1459 as I work from home.
NatachaÂ Beauvais
Agente de promotion
FÃ©dÃ©ration des parents francophones de l'Alberta
[image]
780 468-6934
[image]
communication@fpfa.ab.ca
[image]
https://fpfa.ab.ca
[twitter]áŠá’¥á¢á‘¿á’Œášá¢á‘²á¦áƒá‘²á£Â (AmiskwacÃ®wÃ¢skahikan), TraitÃ© 6/Territoire MÃ©tis</t>
  </si>
  <si>
    <t>Dirk Bruggencate</t>
  </si>
  <si>
    <t>Dirk Bruggencate - Peace Hill Email Not Received</t>
  </si>
  <si>
    <t xml:space="preserve">Hi,
I think we are going to have to reopen this ticket again, as we have not received any emails from Peace Hills in quite some time.
Thanks
dirk
</t>
  </si>
  <si>
    <t>Important: confirmation of delegated administration changes</t>
  </si>
  <si>
    <t>Confirmation: Next Digital Inc. no longer has administrative permissions.
Confirmation: Next Digital Inc. no longer has administrative permissions.Â |Â View this email in your browser.
[Microsoft]Next Digital Inc. no longer has administrative permissionsÂ [Microsoft]
Organization: E4C
Name:  MNP Admin
User ID:  MNPAdmin@e4cab.onmicrosoft.com
This message confirms that Next Digital Inc. has been removed from the delegated administrator list for your Microsoft Online Services account by your company representative, MNPAdmin@e4cab.onmicrosoft.com.
Partner Support Information:Delegated administrator:Next Digital Inc.
E-mail address:support@nextdigital.ca
Phone number:7804246398
Terms of delegated administration
If you want to re-authorize this partner to act as a delegated administrator for your online services account, you can request that the partner send you a new delegated administration offer.
Sincerely,
The Microsoft Online Services Team
This is a mandatory service communication. To set your contact preferences for other communications,click here.
This message was sent from an unmonitored e-mail address. Please do not reply to this message.
Privacy | Legal
Microsoft Office
One Microsoft Way
Redmond, WA
98052-6399 USA
[Microsoft][Microsoft]
[image]</t>
  </si>
  <si>
    <t>ANNELIESE FRIS</t>
  </si>
  <si>
    <t>ANNELIESE FRIS - Edmonton studio - small boardroom computer</t>
  </si>
  <si>
    <t>### Summary of Issue_x000D_
Edmonton studio - small boardroom computer_x000D_
  _x000D_
### Details of Issue_x000D_
Cable between computer and monitor is loose and seems to be the cause of display going dark when computer is in use. Please review when on site - Doug has direct experience with problem if site tech needs more information._x000D_
  _x000D_
### Have you opened a ticket about this issue before?  _x000D_
 No  _x000D_
  _x000D_
### How many users are impacted by this issue?  _x000D_
 Some  _x000D_
  _x000D_
### How would you classify this issue?  _x000D_
 Work Impacting</t>
  </si>
  <si>
    <t>Ravi Kumar - can't connect to my wireless printer thru wi-fi</t>
  </si>
  <si>
    <t>### Summary of Issue_x000D_
can't connect to my wireless printer thru wi-fi_x000D_
  _x000D_
### Details of Issue_x000D_
see attached file. I have a phone meeting from 1PM to 1.30PM, available after that if you wish to call me_x000D_
  _x000D_
### Have you opened a ticket about this issue before?  _x000D_
 No  _x000D_
  _x000D_
### How many users are impacted by this issue?  _x000D_
 One  _x000D_
  _x000D_
### How would you classify this issue?  _x000D_
 Work Impacting  _x000D_
  _x000D_
### If your callback number is different than what's on record, please provide it below._x000D_
780-913-3248</t>
  </si>
  <si>
    <t>Personal Laptop for Carly</t>
  </si>
  <si>
    <t>From: Carly Dinan &lt;Carly.Dinan@mnp.ca&gt; 
Sent: Saturday, January 23, 2021 10:54 AM
To: Sales - MNP IT Managed Services &lt;sales@mnptechnology.ca&gt;
Subject: Personal Laptop for Carly
Hi Team,
I need a basic laptop. Something for internet and Microsoft office for home. I have a beast of a computer and it officially will no longer power up.
I donâ€™t want to spend a ton and donâ€™t need anything fancy. It can be refurbished. I donâ€™t care the brand. I donâ€™t want a Chromebook.
Can you get me a few options?
Thanks!!
Carly Dinan
Manager, Finance
PH.Â +1 7804246398 Ext 307
14505 114th Avenue NW
Edmonton, AB
T5M2Y8
Carly.Dinan@mnp.ca
mnp.ca
[image]
[image]</t>
  </si>
  <si>
    <t>From: Kristi Perkins &lt;Kristi.Perkins@calmont.ca&gt; 
Sent: Monday, January 25, 2021 11:03 AM
To: Sales - MNP IT Managed Services &lt;sales@mnptechnology.ca&gt;
Subject: Laptop
CAUTION:This email originated from outside of the MNP network. Be cautious of any embedded links and/or attachments.
MISE EN GARDE:Ce courriel ne provient pas du rÃ©seau de MNP. MÃ©fiez-vous des liens ou piÃ¨ces jointes quâ€™il pourrait contenir.
Hi,
Can we please order a spare laptop? It should be set up with both CDK programs as we donâ€™t know where it will end up.
Thanks,
Kristi Perkins, CPA, CGA
Controller
[image]
14610 Yellowhead Trail NW Edmonton, AB, T5L 3C5
Branch: 780-454-0491Â Â Â Â  Toll Free: 1-800-363-7819Â Â Â Â  Direct: 780-482-0275Â Â Â Â  Cell: 780-233-6362Â Â Â Â  Fax: 780-451-5768
Email:kristi.perkins@calmont.ca
Website:www.calmont.ca
This email, and any files transmitted with it, are confidential and are intended solely for the use of the individual or entity to which they are addressed. Any unauthorized use or disclosure is prohibited. Please notify the sender if you have received this email in error. Thank you for your co-operation.</t>
  </si>
  <si>
    <t>Unicon Concrete Specialties</t>
  </si>
  <si>
    <t>Brett Desroches</t>
  </si>
  <si>
    <t>FW: Unicon Additional Panasonic Telephones</t>
  </si>
  <si>
    <t>From: Shawn Parks &lt;Shawn.Parks@mnp.ca&gt; 
Sent: Friday, January 22, 2021 12:29 PM
To: Sales - MNP IT Managed Services &lt;sales@mnptechnology.ca&gt;
Subject: Unicon Additional Panasonic Telephones
Brett Desroches from Unicon requires a quote for the following Panasonic Telephones
2-Panasonic kx-nt556
Brett Desroches email address to send the quote to is
brett@unicon.ca
Unicon Concrete Specialties Ltd.
Main Line: (780) 455-3737
Direct Line: (780) 732-3611
Fax: (780) 454-3183
Email:brett@unicon.ca
Website: unicon.ca
Build Concrete Relationships
Shawn Parks
Business Development
PH.Â +1 7804246398 Ext 321
14505 114th Avenue NW
Edmonton, AB
T5M2Y8
Shawn.Parks@mnp.ca
mnp.ca
[image]
[image]</t>
  </si>
  <si>
    <t>FW: Corrie's emails</t>
  </si>
  <si>
    <t>Hello MNP,
Could you please review for Corrie Tetreauâ€™s email to still forward to Paula McFaul and Tricia Langwald. It seems to have expired and patientâ€™s are getting a bounce back.
This account should be suspended as Corrie no longer works for Align Orthodontics, however her Align TC team is still reviewing her incoming emails for patient care and management.
Thanks,
Melody
[Email Logo Template]
From: Paula McFaul &lt;Paula.McFaul@alignortho.com&gt;
Sent: January 22, 2021 12:57 PM
To: Melody Baldry &lt;Melody.Baldry@alignortho.com&gt;
Cc: Tricia Langwald &lt;Tricia.Langwald@alignortho.com&gt;; Daylene Ericson &lt;Daylene.Ericson@alignortho.com&gt;
Subject: Corrie's emails
Hi Mel,
Corrieâ€™s incoming emails are no longer forwarding to us, they just bounce back to the sender â€˜undeliverableâ€™Â  - not sure if this is what you had intended, but thought Iâ€™d mention itJ
Thank you!
Sincerely,
Paula
Treatment Coordinator
780-463-7011
paula.mcfaul@alignortho.com
[Email Logo Template]
Confidentiality Notice: This message and any attachments are solely for the intended recipient and may contain confidential or privileged information. If you are not the intended recipient, any disclosure, copying, use, or distribution of the information included in this message and any attachment is prohibited. If you have received this communication in error, please notify myself, by reply email and immediately and permanently delete this message and any attachments.</t>
  </si>
  <si>
    <t>Lorna Baxandall - Print function does not work</t>
  </si>
  <si>
    <t>Good Morning,
Can someone call me on my cell 780-221-8320, as I am working from home today.Â  The print function cannot see my Brother series printer.Â  It is checked off, but will not print.
Thank you!
Lorna
[ECT Local 54 green-blue.jpg]Lorna Baxandall
Administrative Coordinator
Edmonton Catholic Teachers
Local 54 of the Alberta Teachersâ€™ Association
W: (780) 451 1196
lorna.baxandall@ecteachers.ca</t>
  </si>
  <si>
    <t>Brian Sakovich - Please reset my Land line PIN - 780-665-3370</t>
  </si>
  <si>
    <t>Crystal Poissant</t>
  </si>
  <si>
    <t>Nicole Smith - Send/Receive Emails</t>
  </si>
  <si>
    <t>Hello,
Are you able to adjust the setting so it send and receives more frequently like every 5 minutes? Instead of every 30 minutes. Also can you update my name in your system for the tickets email and South Orders from Nicole Smith, it just causes confusion because Nicole no longer works here.
Thanks!
[Crystal Poissant Tickets]</t>
  </si>
  <si>
    <t>Ashley Chomiak</t>
  </si>
  <si>
    <t>Kristi Perkins - Slow computer</t>
  </si>
  <si>
    <t>Hi,
Ashley Chomiakâ€™s computer (desktop) is really slow. Can you please check if more ram would help or if it just needs to be replaced?
Thanks!
Kristi Perkins, CPA, CGA
Controller
[cid:image001.jpg@01D46A27.105D5D50]
14610 Yellowhead Trail NW Edmonton, AB, T5L 3C5
Branch: 780-454-0491Â Â Â Â  Toll Free: 1-800-363-7819Â Â Â Â  Direct: 780-482-0275Â Â Â Â  Cell: 780-233-6362Â Â Â Â  Fax: 780-451-5768
Email:kristi.perkins@calmont.ca
Website:www.calmont.ca
This email, and any files transmitted with it, are confidential and are intended solely for the use of the individual or entity to which they are addressed. Any unauthorized use or disclosure is prohibited. Please notify the sender if you have received this email in error. Thank you for your co-operation.</t>
  </si>
  <si>
    <t>Becky Hume</t>
  </si>
  <si>
    <t>Becky Hume - Losing VPN Connection</t>
  </si>
  <si>
    <t>### Summary of Issue_x000D_
Losing VPN Connection_x000D_
  _x000D_
### Details of Issue_x000D_
Hi There, We have been experiencing issues with our VPN today.  I had issues connecting just before 8 am this morning.  I tried three times and it said it couldnt connect to the host. I then rebooted my home laptop and when it came back up it was working.  Since then i have lost connection three times. The last time was between 9:40 and 9:50.  At least three other people working from home today have told me the same thing.  Can you please look into this ASAP._x000D_
  _x000D_
### Have you opened a ticket about this issue before?  _x000D_
 Yes  _x000D_
  _x000D_
### How many users are impacted by this issue?  _x000D_
 Everyone  _x000D_
  _x000D_
### How would you classify this issue?  _x000D_
 Work Impacting  _x000D_
  _x000D_
### If your callback number is different than what's on record, please provide it below._x000D_
780-235-2515</t>
  </si>
  <si>
    <t>ZOOM AND OUTLOOK</t>
  </si>
  <si>
    <t>Morning,
We have two employees whoâ€™s Zoom isnâ€™t syncing with Outlook accounts.
We think it based on permissions.
Can you please contact them and fix the problem.
Heidi Taves - 7807889961
Shannon Earle â€“ 7805310928
Thanks Corey
[MM-logo-3 - Copy]
Corey Hobbs
Director, Communications and Government Relations
McMurray MÃ©tis (MNA Local 1935)
441 Sakitawaw Trail
Fort McMurray, Alberta
T9H 4P3
Phone:Â Â Â Â Â  780.743.2659
Email:Â Â Â Â Â Â corey.hobbs@mcmurraymetis.org
Facebook:www.facebook.com/McMurrayMetis
Twitter:Â Â Â Â www.twitter.com/McMurrayMetis
Website:Â Â www.McMurrayMetis.org
PPlease consider the environment before printing this email.
This message contains confidential information and is intended only for the named addressees.
If you believe that you received this email in error please notify the original sender and delete all copies.</t>
  </si>
  <si>
    <t>Telsco Messages from MS</t>
  </si>
  <si>
    <t>There are synchronization errors in your directory.Â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[Microsoft Azure]
--- ---
---
[image]Â Azure AD Connect Sync errors detected                    
Youâ€™re receiving this email because we have detected a critical alert on your Azure AD Connect service for errors that occurred while data was while synchronizing between your on- premises active directory and your Azure Active Directory.
--- ---
--- 
Title:
--- 
Sync errors detected on your Azure AD Connect service
---
--- --- 
Last export time:
--- 
January 25, 2021 17:06 UTC
---
--- --- 
Error count:
--- 
1 sync errors
---
--- --- 
Service:
--- 
telsco.onmicrosoft.com
---
--- --- 
Tenant:
--- 
TELSCO SECURITY SYSTEMS
---
--- --- 
Report:
--- 
To get more details, see Sync Error Report.
---
--- ---
---
--- 
To learn how to fix sync errors, see troubleshooting sync errors.
If you no longer wish to receive these notifications, read the instructions for updating your settings. Only global administrators can change settings.
--- ---
---
[Facebook][Twitter][YouTube][LinkedIn]
--- ---
--- 
Privacy Statement
Microsoft Corporation, One Microsoft Way, Redmond, WA 98052
[Microsoft]
--- ---
---
[image]</t>
  </si>
  <si>
    <t>Re: ECDC "Connect with us"</t>
  </si>
  <si>
    <t>support@mnptechnology.ca
Carry PerrierÂ Â 
Administrative AssistantÂ Â 
Edmonton Community Development CompanyÂ Â 
Phone: (780) 306-4456
[signature_1633779848][signature_651155901][signature_971688920][signature_552357625]
The Edmonton CDC is transforming 10 derelict properties into neighbourhood assets:
Learn more about ourÂ Project 10Â initiative on our website!
From: Mark Holmgren &lt;mholmgren@edmontoncdc.org&gt;
Date: Monday, January 25, 2021 at 9:42 AM
To: Carry Perrier &lt;CPerrier@edmontoncdc.org&gt;
Subject: Re: ECDC "Connect with us"
Send me their email address please
Mark HolmgrenÂ Â 
Executive DirectorÂ Â 
Edmonton Community Development CompanyÂ Â 
Phone: 780.306.4456 (ext. 1)
There is lots going on at the CDC. Find out more athttp://www.edmontoncdc.org
[image][image][image][image].
From: Carry Perrier &lt;CPerrier@edmontoncdc.org&gt;
Sent: January 25, 2021 9:38 AM
To: Mark Holmgren &lt;mholmgren@edmontoncdc.org&gt;
Subject: Re: ECDC "Connect with us"
Iâ€™ve forwarded it on to MNP.
Carry PerrierÂ Â 
Administrative AssistantÂ Â 
Edmonton Community Development CompanyÂ Â 
Phone: (780) 306-4456
[signature_1633779848][signature_651155901][signature_971688920][signature_552357625]
The Edmonton CDC is transforming 10 derelict properties into neighbourhood assets:
Learn more about ourÂ Project 10Â initiative on our website!
From: Mark Holmgren &lt;mholmgren@edmontoncdc.org&gt;
Date: Saturday, January 23, 2021 at 7:01 PM
To: Carry Perrier &lt;CPerrier@edmontoncdc.org&gt;
Subject: Fwd: ECDC "Connect with us"
I am sure this is phishing but send to our tech people to see it.
And ask them to contact me at my email address to update me on the status of our domains as they are the ones who hold our domains- Â thanks
Get Outlook for iOS
From: Joe Miller &lt;wordpress@edmontoncdc.org&gt;
Sent: Saturday, January 23, 2021 4:23 PM
To: Mark Holmgren
Subject: ECDC "Connect with us"
From: Joe Miller &lt;info@domainregistercorp.com&gt;
Subject: Connect with us
Neighbourhood: XA2KJG7K
Affiliations: R8S202RL
Options:
Message Body:
Notice#: 491343
Date: 2021-01-24
YOUR IMMEDIATE ATTENTION TO THIS MESSAGE IS ABSOLUTELY NECESSARY!
YOUR DOMAIN edmontoncdc.org WILL BE TERMINATED WITHIN 24 HOURS
We have not received your payment for the renewal of your domain edmontoncdc.org
We have made several attempts to reach you by phone, to inform you regarding the TERMINATION of your domain edmontoncdc.org
CLICK HERE FOR SECURE ONLINE PAYMENT:https://domain-register.ga/?n=edmontoncdc.org&amp;r=a&amp;t=1611444178&amp;p=v1
IF WE DO NOT RECEIVE YOUR PAYMENT WITHIN 24 HOURS, YOUR DOMAIN edmontoncdc.org WILL BE TERMINATED
CLICK HERE FOR SECURE ONLINE PAYMENT:https://domain-register.ga/?n=edmontoncdc.org&amp;r=a&amp;t=1611444178&amp;p=v1
ACT IMMEDIATELY.
The submission notification edmontoncdc.org will EXPIRE WITHIN 24 HOURS after reception of this email
--
This e-mail was sent from a contact form on ECDC (https://edmontoncdc.org)</t>
  </si>
  <si>
    <t>Daniella Cox</t>
  </si>
  <si>
    <t>Daniella Cox - Password reset</t>
  </si>
  <si>
    <t>Can you please rest the password to referrals@pulseveterinay.ca and send the new log in credentials to daniella@pulseveterinary.ca
Thank-you,
Bryce Johnston, BComm, CPA
Hospital Director
Pulse Veterinary Specialists &amp; Emergency
450 Ordze Road, Unit #320
Sherwood Park, AB T8B 0C5
Ph: (780) â€“ 570-9999
[image]</t>
  </si>
  <si>
    <t>David Stevens - URGENT! Please force close Firefox</t>
  </si>
  <si>
    <t>### Summary of Issue_x000D_
URGENT! Please force close Firefox_x000D_
  _x000D_
### Details of Issue_x000D_
My FF is locked up and i am in the midst of an urgent ticket with a deadline of (now).
Please close FF on my rds session!_x000D_
  _x000D_
### Have you opened a ticket about this issue before?  _x000D_
 No  _x000D_
  _x000D_
### How many users are impacted by this issue?  _x000D_
 One  _x000D_
  _x000D_
### How would you classify this issue?  _x000D_
 Unable to Work</t>
  </si>
  <si>
    <t>Carry Perrier</t>
  </si>
  <si>
    <t>FW: ECDC "Connect with us"</t>
  </si>
  <si>
    <t>Hi!
Mark was concerned about this email he received over the weekend. Can you tell if itâ€™s a phishing email or not?
Carry PerrierÂ Â 
Administrative AssistantÂ Â 
Edmonton Community Development CompanyÂ Â 
Phone: (780) 306-4456
[signature_1633779848][signature_651155901][signature_971688920][signature_552357625]
The Edmonton CDC is transforming 10 derelict properties into neighbourhood assets:
Learn more about ourÂ Project 10Â initiative on our website!
From: Mark Holmgren &lt;mholmgren@edmontoncdc.org&gt;
Date: Saturday, January 23, 2021 at 7:01 PM
To: Carry Perrier &lt;CPerrier@edmontoncdc.org&gt;
Subject: Fwd: ECDC "Connect with us"
I am sure this is phishing but send to our tech people to see it.
And ask them to contact me at my email address to update me on the status of our domains as they are the ones who hold our domains- Â thanks
Get Outlook for iOS
From: Joe Miller &lt;wordpress@edmontoncdc.org&gt;
Sent: Saturday, January 23, 2021 4:23 PM
To: Mark Holmgren
Subject: ECDC "Connect with us"
From: Joe Miller &lt;info@domainregistercorp.com&gt;
Subject: Connect with us
Neighbourhood: XA2KJG7K
Affiliations: R8S202RL
Options:
Message Body:
Notice#: 491343
Date: 2021-01-24
YOUR IMMEDIATE ATTENTION TO THIS MESSAGE IS ABSOLUTELY NECESSARY!
YOUR DOMAIN edmontoncdc.org WILL BE TERMINATED WITHIN 24 HOURS
We have not received your payment for the renewal of your domain edmontoncdc.org
We have made several attempts to reach you by phone, to inform you regarding the TERMINATION of your domain edmontoncdc.org
CLICK HERE FOR SECURE ONLINE PAYMENT:https://domain-register.ga/?n=edmontoncdc.org&amp;r=a&amp;t=1611444178&amp;p=v1
IF WE DO NOT RECEIVE YOUR PAYMENT WITHIN 24 HOURS, YOUR DOMAIN edmontoncdc.org WILL BE TERMINATED
CLICK HERE FOR SECURE ONLINE PAYMENT:https://domain-register.ga/?n=edmontoncdc.org&amp;r=a&amp;t=1611444178&amp;p=v1
ACT IMMEDIATELY.
The submission notification edmontoncdc.org will EXPIRE WITHIN 24 HOURS after reception of this email
--
This e-mail was sent from a contact form on ECDC (https://edmontoncdc.org)</t>
  </si>
  <si>
    <t>[image]
A high-severity alert has been triggered
âš Microsoft 365 compliance center
Severity:â—High
Time:1/25/2021 4:33:01 PM (UTC)
Activity:Protection
Details: 1 message hit on 4e89af19-2777-43a2-9d2c-08d8c14ee063-270814382598493757-1, sent by test1234@wahanaartha.com to brian.sakovich@igloo.ca at time 1/25/2021 4:33:01 PM.
              View alert details          
Thank you, 
The Office 365 Team
[image]
One Microsoft Way
Redmond, WA
98052-6399 USA
Privacy | Legal</t>
  </si>
  <si>
    <t>URGENT: Shaw Business   Security and Configuration Information</t>
  </si>
  <si>
    <t>We are switching our Internet at our Sherwood Park office to reduce costsâ€¦
Please see below, can we get the IP address ready to change when this happens?
[image]Â Riccardo Francese
Business Process Manager
T:       +1 (780) 400-7487
C:       +1 (587) 990-0176
F:       +1 (780) 417-6496
E:       RFrancese@siterg.com
W:       WWW.SITERG.COM
#170, 120 Pembina Rd., Sherwood Park, AB, T8H 0M2
The information contained in this e-mail may       contain confidential or privileged material and is intended only for the       stated addressee(s). If you are not the valid addressee, the use,       disclosure, copying or distribution of this information is prohibited and       may be unlawful. If you have received this email message in error, please       notify the sender immediately and delete all copies of the message from       your computer. All information within or opinions expressed in this       message and/or any attachments are those of the author and are not       necessarily those of the Centurion Group.
From: Shaw Business - No-Reply &lt;no-reply@shawbusiness.ca&gt;
Sent: Monday, January 25, 2021 8:11 AM
To: Riccardo Francese &lt;RFrancese@siterg.com&gt;
Subject: Shaw Business â€“ Security and Configuration Information
SHAW BUSINESS - SECURITY AND CONFIGURATION INFORMATION
10450 178 St, Edmonton, AB T5S 1S2 
Tech Support: 1-877-SHAWBIZ (1-877-742-9249) 
Bill Inquiry: 1-877-SHAWBIZ (1-877-742-9249) 
Email Support: technicalsupport@shawbusiness.ca
Online Support: http://business.shaw.ca/support
Thank you for choosing Shaw,
This is your Internet Configuration sheet for your business services. Included on this sheet are your company details and information on any services you requested. Please confirm that the information herein is accurate and complete. Should your company information change, it is your responsibility to notify us with the updates. It is critical that your contact information remains current. Please keep this sheet for your records and note the security code listed.
Customer Information 
-------------------------------------------------------------------------------------------
Company Name: SITE RESOURCE GROUP 
Primary Contact: Ricardo Francese 
Address: 170,120-Pembina Road, Sherwood Park, ABÂ  
Phone: (780) 400-7487 
Fax: 
E-mail: rfrancese@siterg.com 
Technical Contact: 
CBS Account: 03092447379 
Modem Identifier: 
Internet Service Type: 1 - Internet
Security Information 
-------------------------------------------------------------------------------------------
IMPORTANT: The security code has been activated for the protection and security of your business and as such should be given out carefully.Â  Technical support will require that you provide verbal confirmation of this
security code before any requests for information or changes to your account will be honoured.
Security Code:Â  44682
IP Configuration Information 
-------------------------------------------------------------------------------------------
Static IP(s) Assigned: 
184.70.70.6Â Â Â Â  Â Â Â Â Â Â Â  Gateway: 184.70.70.5Â Â Â  Â Â Â Â Â Â Â  Subnet Mask: 255.255.255.252
Name Servers: 
Primary Hostname: nsc1.ar.ed.shawcable.net 
Primary Address: 64.59.184.13 
Secondary Hostname: nsc1.we.ed.shawcable.net 
Secondary Address: 64.59.190.242
Important Support Notes:
 Verify all information in this security record is correct. If corrections are needed, seeUpdating business security record &amp; contact info.
 For help with static IPs, seeStatic IP requests, setup &amp; use.
 If you require a PTR record (reverse DNS), see Â Creating PTR Records.
 Maintenance notifications are emailed to the addresses listed in this security record. For more info, seeMaintenance Notifications.
More support can be found at business.shaw.ca/support.
Kim WU80Â Shaw Internet Provisioning Team
T: 877-742-9249 F: 877-725-6176
E:business.shaw.ca/support
[Shaw_logo_RGB.png]
[image]Â Â [image]Â Â Â [image]
This message is confidential and may contain privileged information. We ask that you not use ...</t>
  </si>
  <si>
    <t>RE: Urgent assistance please</t>
  </si>
  <si>
    <t>Hello
May I please get someone to reach out to Barbara, she has called as well as emailed and nothing
She is heading the Edmonton plant at noon, I need this rectified before that
Your help is appreciated
Thanks in advance
Barb Corsini
Office Manager
PH:Â Â  403 543-3322
Fax:Â  403 543-3325
bcorsini@capital-paper.com
http://www.capital-paper.com/
Capital Paper Recycling Ltd
10595 50th St S.E
Calgary AB
T2C 3E3
"Leaders in paper recoveryâ€
From: Operations Calgary
Sent: Monday, January 25, 2021 8:25 AM
To: Next Digital Support; dstevens@nextdigital.ca
Cc: Barb Corsini
Subject: Urgent assistance please
Hi There,
I keep getting this error message. Can you please urgently assist me?
[image]
Barbara Morgan
Operations Calgary
Capital Paper Recycling Ltd
10595 50 Street SE
Calgary, AB T2C 3E3
403.543.3322
Operations-cgy@capital-paper.com
Effective immediately, due to the unsecured nature, we cannot accept Interac E-Transfers. *Unless Authorized by Kim Burns.
The information in this email and any attachments is sent by Capital Paper Recycling LTD. and is intended to be confidential and for the use of only the individual or entity named above. The information may be protected by solicitor-client privilege, work product immunity or other legal principles. If the reader of this message is not the intended recipient, you are notified that unauthorized review, retention, dissemination, distribution, copying or other use of or taking any action in reliance upon this information is strictly prohibited. 
If you received this email in error, please notify us immediately by email reply and delete or destroy this message and any copies.</t>
  </si>
  <si>
    <t>Lenny Hansen's Infinity Email</t>
  </si>
  <si>
    <t>Good morning,
Has the Outlook on Lenny Hansenâ€™s computer been formatted so that he get access his Infinity email account?
Thanks Corey
[MM-logo-3 - Copy]
Corey Hobbs
Director, Communications and Government Relations
McMurray MÃ©tis (MNA Local 1935)
441 Sakitawaw Trail
Fort McMurray, Alberta
T9H 4P3
Phone:Â Â Â Â Â  780.743.2659
Email:Â Â Â Â Â Â corey.hobbs@mcmurraymetis.org
Facebook:www.facebook.com/McMurrayMetis
Twitter:Â Â Â Â www.twitter.com/McMurrayMetis
Website:Â Â www.McMurrayMetis.org
PPlease consider the environment before printing this email.
This message contains confidential information and is intended only for the named addressees.
If you believe that you received this email in error please notify the original sender and delete all copies.</t>
  </si>
  <si>
    <t>Carya - Board Action: Restore Security Access and Revoke Specific User Access</t>
  </si>
  <si>
    <t>Matt Patrick
Manager, Operational Alignment
PH.Â +1 4036864357       Ext 402
310 - 4000 4 St SE
Calgary,       AB
T2G2W3
Matt.Patrick@mnp.ca
mnp.ca [image]
[image]
From: Krista Ring &lt;krista.j.ring@gmail.com&gt;
Sent: January 25, 2021 8:08 AM
To: Matt Patrick &lt;Matt.Patrick@mnp.ca&gt;
Subject: PRIVILEGED AND CONFIDENTIAL
CAUTION:This email originated from outside of the MNP network. Be cautious of any embedded links and/or attachments.
MISE EN GARDE:Ce courriel ne provient pas du rÃ©seau de MNP. MÃ©fiez-vous des liens ou piÃ¨ces jointes quâ€™il pourrait contenir.
Hi Matt,
Thanks for your response.
The carya board requires some urgent actions completed this morning, and they must be kept confidential from all employees of carya for the morning. As you can see, there is some sensitivity to the actions below, so please be extraÂ mindful of the timelines.
 Please confirm when the last system back-up was completed; I know many organizations complete this task over the weekend. If we haven't completed a recent one, one must be done as soon as possible. Please let me know what timelines would be required.
PLEASE WAIT UNTIL 10:00 am TO COMPLETE THE FOLLOWING:
 Reinstate email and system access for Carolyn Frew, Leanna Craig, and Linda Tickner (if it has been suspended).
 Set up a carya email account and system access for Theresa Watson
PLEASE WAIT UNTIL I CALL YOU (AROUND 10:30 AM) TO COMPLETE THE FOLLOWING:
 Remove Monique Auffrey's system and email access
 Retain Monique's email data and provide Theresa Watson with full access
 Forward all of Monique's incoming emails to Theresa Watson; do not put an out of office message on Monique's email
If you have any questions/concerns please let me know.
Krista Ring
403-629-2387</t>
  </si>
  <si>
    <t>Can't get into Synerion or shared files</t>
  </si>
  <si>
    <t>Hello
On my transport computer I cannot get into my Synerion for payroll or any shared files, could you please help
Thank you
Natasha Moyan
Capital Paper Recycling Ltd.
Edmonton Branch
Dispatch-edm@capital-paper.com
15003 -128 ave NW ,
Edmonton ,Alberta t5v 1a5
Tel:780-453-2010
Fax:780-482-2472
"Leaders in paper recoveryâ€
Darryl Burkhardt
Field Services Technician
PH.Â +1 7804246398
14505 114th Avenue NW
Edmonton,       AB
T5M2Y8
Darryl.Burkhardt@mnp.ca
mnp.ca [image]
[image]
From: Darryl Burkhardt [mailto:Darryl.Burkhardt@mnp.ca] 
Sent: January-21-21 8:36 AM
To: Dispatch Edmonton
Subject: RE: Site Visit - January 21, 2021
Here is how it is done. It looks like it is already being done weekly. I set it to defrag now. If it slows down the system and you need to work, you can always stop it and start it later.
Defragment your Windows 10 PC
Windows 10
Optimizing your drives can help your PC run smoother and boot up faster. To optimize them:
1. Select the search bar on the taskbar and enterÂ defrag.
2. SelectÂ Defragment and Optimize Drives.
[image]
1. Select the disk drive you want to optimize.
2. Select theÂ OptimizeÂ button.
https://support.microsoft.com/en-us/windows/defragment-your-windows-10-pc-048aefac-7f1f-4632-d48a-9700c4ec702a
[image]
[image]
From: Dispatch Edmonton &lt;dispatch-edm@capital-paper.com&gt;
Sent: January 21, 2021 8:30 AM
To: Darryl Burkhardt &lt;Darryl.Burkhardt@mnp.ca&gt;
Subject: RE: Site Visit - January 21, 2021
CAUTION:This email originated from outside of the MNP network. Be cautious of any embedded links and/or attachments.
MISE EN GARDE:Ce courriel ne provient pas du rÃ©seau de MNP. MÃ©fiez-vous des liens ou piÃ¨ces jointes quâ€™il pourrait contenir.
Yes please
From: Darryl Burkhardt [mailto:Darryl.Burkhardt@mnp.ca] 
Sent: January-21-21 8:27 AM
To: Dispatch Edmonton
Subject: RE: Site Visit - January 21, 2021
I can connect now and show you. Can I connect now?
Regards
Darryl Burkhardt
Field Services Technician
PH.Â +1 7804246398
14505 114th Avenue NW
Edmonton, AB
T5M2Y8
Darryl.Burkhardt@mnp.ca
mnp.ca
[image]
[image]
Effective immediately, due to the unsecured nature, we cannot accept Interac E-Transfers. *Unless Authorized by Kim Burns.
The information in this email and any attachments is sent by Capital Paper Recycling LTD. and is intended to be confidential and for the use of only the individual or entity named above. The information may be protected by solicitor-client privilege, work product immunity or other legal principles. If the reader of this message is not the intended recipient, you are notified that unauthorized review, retention, dissemination, distribution, copying or other use of or taking any action in reliance upon this information is strictly prohibited. 
If you received this email in error, please notify us immediately by email reply and delete or destroy this message and any copies.
Effective immediately, due to the unsecured nature, we cannot accept Interac E-Transfers. *Unless Authorized by Kim Burns.
The information in this email and any attachments is sent by Capital Paper Recycling LTD. and is intended to be confidential and for the use of only the individual or entity named above. The information may be protected by solicitor-client privilege, work product immunity or other legal principles. If the reader of this message is not the intended recipient, you are notified that unauthorized review, retention, dissemination, distribution, copying or other use of or taking any action in reliance upon this information is strictly prohibited. 
If you received this email in error, please notify us immediately by email reply and delete or destroy this message and any copies.
Effective immediately, due to the unsecured nature, we cannot accept Interac E-Transfers. *Unless Authorized by Kim Burns.
The information in this email and any attachments is sent by Capital Paper Recycling LTD. and is intended to be confidential and for the use of only the individual or entity named above. The info...</t>
  </si>
  <si>
    <t>Edge Equipment Ltd.</t>
  </si>
  <si>
    <t>Matt Lepchuk</t>
  </si>
  <si>
    <t>Domain information</t>
  </si>
  <si>
    <t>Hello,
I am trying to get our domain pointed in the right direction so that we can launch a new website. Are you able to re-point the domain based on the attached image?
Let me know if you have any questions.
[image]
Thanks,
Matthew Lepchuk IMarketing &amp; Sales
[image]
Edge Equipment
12704 149 Street
Edmonton, AB
(780)455-3343
www.edgeequipment.com
www.forestry-mulchers.com</t>
  </si>
  <si>
    <t>Dulcie Timmons</t>
  </si>
  <si>
    <t>IP-IT Camera for Dulcie</t>
  </si>
  <si>
    <t>Dulcie needs a webcam installed.Â  We have one in the IT cabinet for her to use.
Thanks in advance.
-jg
Jon Gulayets, Associate
Group2
Architecture Interior Design Ltd.
200, 4706 Â 48th Â Avenue Red Deer AB T4N 6J4
T +1Â 403 340 2200 x 422
C +1 403 872 7422
group2.ca</t>
  </si>
  <si>
    <t>Jim Kanerva</t>
  </si>
  <si>
    <t>Bad Email??</t>
  </si>
  <si>
    <t>Good morning, Haitao,
Iâ€™ve received two emails from you this morning that look fairly suspicious (see picture of it below).
Iâ€™m deleting them.
Iâ€™m betting this email has been sent to others on your contact list.
Cheers,
[image]
JIM KANERVA,M.ENG., P.ENG. | GENERAL MANAGER
CELL 780.722.6543 | MAIN 780.465.0381 |jim.kanerva@carrysteel.com |www.carrysteel.com
Business, The Carry Way
[image]</t>
  </si>
  <si>
    <t>[JIRA] (TIAP-1004) Urgent - computer crashed</t>
  </si>
  <si>
    <t>Phil Goldbach added 1 new comment. Toronto Innovation Acceleration Partners/TIAP-1004 Urgent - computer crashed 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
Phil Goldbach added 1 new comment.
Toronto Innovation Acceleration Partners
/Â Â   [image] Â  TIAP-1004
 Urgent - computer crashed 
[image]  Phil Goldbach  10:42Â AMÂ EST
Ready for internet reboot. Please call ASAP. Thank you. 416-464-3705
Sent from my iPhone
On Jan 22, 2021, at 5:18 PM, Jafaru Akemokwe &lt;jira@t4gsupport.atlassian.net&gt; wrote:ï»¿
View issue
Get Jira notifications on your phone! Download the Jira Cloud app for Android or iOS.
Manage notifications   Â â€¢Â    Give feedback   Â â€¢Â    Privacy policy
[image]
[image]
[image]</t>
  </si>
  <si>
    <t>Rob Sellers</t>
  </si>
  <si>
    <t>Auto Canada HO - create report on WG usage and Advanced Reporting</t>
  </si>
  <si>
    <t xml:space="preserve">Hi Dave, So if I understand you correctly the screen shot report below is only available at DSS since we are the only ones with enhanced reporting license? Also Besides us and Airdrie, no one else has calls queueâ€™d in workgroups? 
But we could demo the enhanced license (at all our stores? ) for 45 days? 
Thanks, Ben &amp; Rob
</t>
  </si>
  <si>
    <t>phyRe: Ticket#1323661/appleschools/Apple ID -- has been updated</t>
  </si>
  <si>
    <t>Good morning Oarrie and Matt!
Hope you're both doing well!
I wanted to ask about an issue/process we are having with our Apple Id's.Â  Â We are being asked to update a few of our Apple apps withÂ our laptops.Â  I know this is a regular part of maintenance but it has led to a complication withÂ using our own email addresses as Apple Ids.
I will describe in steps what occurs.Â  I hope this allÂ makes sense :).
1.Â  Hit the Apple Icon and the APP store for updates.Â  The pop up comes up as our old Apple Id: (registrations@appleschools.ca). (see attachment App Update step 2).Â  I then replace the old Apple Id with my new one (marisa.orfei@appleschools.ca).Â Â 
I then get a pop upÂ  that says 'this Apple Id has not yet been used with the App Store and I get the option to cancel or review.Â Â 
2.Â  I click the review, it asks me to "Complete you Apple ID and then a screen asking to enter credit card information'.Â Â 
This is where I would like some assistance and advice.Â  I would rather not use our own personal credit card information on an APPLE SchoolsÂ account as I think it would start getting messy ifÂ  staff does this.Â 
We are grateful that creating the individualized Apple Id hasÂ stopped the random pop ups to all of our laptops but I am still hoping that there is a better solution for APPLE Schools.Â  In the meantime, I will advise staff not to put their personal credit cardsÂ 
Matt, you had mentioned that you were looking into a more business solution for Apple Ids and I think that would be terrific if we could figure that all out!!Â Â 
Thanks so much.
Marisa
On Fri, 15 Jan 2021 at 13:47, Support - MNP IT Managed Services &lt;support@mnptechnology.ca&gt; wrote:</t>
  </si>
  <si>
    <t>Operations Calgary</t>
  </si>
  <si>
    <t>Barbara Morgan - OST File Size Limit Reached</t>
  </si>
  <si>
    <t>Hi There,
I keep getting this error message. Can you please urgently assist me?
[image]
Barbara Morgan
Operations Calgary
Capital Paper Recycling Ltd
10595 50 Street SE
Calgary, AB T2C 3E3
403.543.3322
Operations-cgy@capital-paper.com
Effective immediately, due to the unsecured nature, we cannot accept Interac E-Transfers. *Unless Authorized by Kim Burns.
The information in this email and any attachments is sent by Capital Paper Recycling LTD. and is intended to be confidential and for the use of only the individual or entity named above. The information may be protected by solicitor-client privilege, work product immunity or other legal principles. If the reader of this message is not the intended recipient, you are notified that unauthorized review, retention, dissemination, distribution, copying or other use of or taking any action in reliance upon this information is strictly prohibited. 
If you received this email in error, please notify us immediately by email reply and delete or destroy this message and any copies.</t>
  </si>
  <si>
    <t>Chris Vandewark</t>
  </si>
  <si>
    <t>CTS Industries - VPN User Account</t>
  </si>
  <si>
    <t>Good morning,
I need to get a VPN login so that I can sync my user account for some of our windows apps that I cannot access currently since password updates. I work from home and since the change have not been able to access Teams or my OneDrive. I like to work off the VPN as the internet speed is much better without, so I also need to be sure there wonâ€™t be access issues to those apps while offline.
[image]
chris vandewark Â  Â _div. manager, pipe supports
d:780.770.9072 Â | Â p: 780.465.9645Â | Â c: 780.952.4523
chris.vandewark@cts-industries.com Â | Â cts-industries.com</t>
  </si>
  <si>
    <t>Uninstall</t>
  </si>
  <si>
    <t>Can you please uninstall Zoom Info from my computer?
Thanks.
[ShannonStilet-Esignature (2)]
LinkedIn | Facebook</t>
  </si>
  <si>
    <t>Phil Goldbach added 1 new comment. Toronto Innovation Acceleration Partners/TIAP-1004 Urgent - computer crashed 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
Phil Goldbach added 1 new comment.
Toronto Innovation Acceleration Partners
/Â Â   [image] Â  TIAP-1004
 Urgent - computer crashed 
[image]  Phil Goldbach  8:48Â AMÂ EST
Good morning. Reminder that I need to schedule a drop-off for my laptop ASAP. Please let me know by email the way to arrange this. 
Many thanks, 
Phil
Sent from my iPhone
On Jan 22, 2021, at 5:18 PM, Jafaru Akemokwe &lt;jira@t4gsupport.atlassian.net&gt; wrote:ï»¿
View issue
Get Jira notifications on your phone! Download the Jira Cloud app for Android or iOS.
Manage notifications   Â â€¢Â    Give feedback   Â â€¢Â    Privacy policy
[image]
[image]
[image]</t>
  </si>
  <si>
    <t>Jireh Industries</t>
  </si>
  <si>
    <t>Paul Torstensen</t>
  </si>
  <si>
    <t>Breann Lamnek - issues with new pc</t>
  </si>
  <si>
    <t>Scribe transcribed your voicemail message. On Sun Jan 24 2021 16:15 MST, a caller from +17808462895 said: 
Hi there my name is breanna-rodnick(?) I'm with the ACS eight. I have been asked to quote ticket number 135-0109. I am attempting to set up my new work desktop at home so that I can teach tomorrow and I'm having issues connecting this desktop to my home Internet service. If I could please get a call back at 780-872-4672. Thank you. Bye bye.
You have a new voicemail message.
New Voice Message
--- 
From:LAMNEK S 
(780) 846-2895
--- 
To:Emergency Support
--- 
Time:Sun Jan 24 2021 16:15 MST
--- 
Duration:00:33
---
VM-ID:21115239:20982817
Month to date usage: 19 messages / 00:11:18 (hh:mm:ss)</t>
  </si>
  <si>
    <t>Kim Burns</t>
  </si>
  <si>
    <t>Virus protection</t>
  </si>
  <si>
    <t>Good morning, I am trying to install Norton software on my home office computer and it states that Sophos interfering.Â  Appears I canâ€™t remove this software without assistance.Â  Please advise.
Kim Burns
Capital Paper Recycling Ltd.
10595 50TH STREET SE
CALGARY, AB
T2C 3E3
Phone: 403-543-3322
Fax:403-543-3330
Effective immediately, due to the unsecured nature, we cannot accept Interac E-Transfers. *Unless Authorized by Kim Burns.
The information in this email and any attachments is sent by Capital Paper Recycling LTD. and is intended to be confidential and for the use of only the individual or entity named above. The information may be protected by solicitor-client privilege, work product immunity or other legal principles. If the reader of this message is not the intended recipient, you are notified that unauthorized review, retention, dissemination, distribution, copying or other use of or taking any action in reliance upon this information is strictly prohibited. 
If you received this email in error, please notify us immediately by email reply and delete or destroy this message and any copies.</t>
  </si>
  <si>
    <t>RE: Marketing Drive Proposal Saving Access</t>
  </si>
  <si>
    <t>She should have that access already. When the last ticket was in, her permissions were changed for the O drive. If she has logged off and back on since then, the permissions should have changed. Has she actually tried saving yet?
I will confirm with MNP that permissions were granted for the drive, not just the single folder.
From: Nyle Segovia &lt;Nyle.Segovia@group2.ca&gt;
Sent: January 23, 2021 9:47 AM
To: Next Digital &lt;help@nextdigital.ca&gt;; Anneliese Fris &lt;Anneliese.Fris@group2.ca&gt;
Cc: Troy Smith &lt;Troy.Smith@group2.ca&gt;
Subject: Marketing Drive Proposal Saving Access
Hi Anneliese and MNP,
We will need Andreaâ€™s help on another proposal (P20 131) and so she will need the ability to save in the folder. Rather than doing this on a proposal to proposal basis would we be able to give Andrea Ruether access to save in all of the â€œ2.2 Proposalâ€ folders in the Marketing drive? This will save time for making these requests, and by the time the request made it through completion last time we found a work-around anyway.
Best,
Nyle Segovia, Marketing
Group2
Architecture Interior Design Ltd.
630c-10th Street E Saskatoon SK S7H 0G9
T +1Â 306 979 2935 ext. 607
group2.ca
Group2 is committed to being both responsive and responsible in navigating these extraordinary times with everyoneâ€™s safety in mind. Since the outset of the COVID-19 situation, we have enabled our employees to work remotely, allowing us to continue business operations and maintain our client commitments.
This email and any files transmitted with it are confidential and intended solely for the use of the individual or entity to whom they are addressed. If you have received this email in error please notify the system manager. This message contains confidential information and is intended only for the individual named. If you are not the named addressee you should not disseminate, distribute or copy this e-mail.</t>
  </si>
  <si>
    <t>DeRose Bros. Meats Ltd.</t>
  </si>
  <si>
    <t>Frank Derose Jr.</t>
  </si>
  <si>
    <t>Re: Marketing Drive Proposal Saving Access</t>
  </si>
  <si>
    <t>I agree completely with this. Â 
Letâ€™s make it happen.
Sent from my mobile device - excuse any typing errors,
Troy Smith
Principal
Architect SAA AAA MAA AIBC OAA MRAIC LEED AP
Group2 Architecture Interior Design Ltd
306.716.2633
On Jan 23, 2021, at 10:46 AM, Nyle Segovia &lt;Nyle.Segovia@group2.ca&gt; wrote:
ï»¿
Hi Anneliese and MNP,
We will need Andreaâ€™s help on another proposal (P20 131) and so she will need the ability to save in the folder. Rather than doing this on a proposal to proposal basis would we be able to give Andrea Ruether access to save in all of the â€œ2.2 Proposalâ€ folders in the Marketing drive? This will save time for making these requests, and by the time the request made it through completion last time we found a work-around anyway.
Best,
Nyle Segovia, Marketing
Group2
Architecture Interior Design Ltd.
630c-10th Street E Saskatoon SK S7H 0G9
T +1Â 306 979 2935 ext. 607
group2.ca
Group2 is committed to being both responsive and responsible in navigating these extraordinary times with everyoneâ€™s safety in mind. Since the outset of the COVID-19 situation, we have enabled our employees to work remotely, allowing us to continue business operations and maintain our client commitments.
This email and any files transmitted with it are confidential and intended solely for the use of the individual or entity to whom they are addressed. If you have received this email in error please notify the system manager. This message contains confidential information and is intended only for the individual named. If you are not the named addressee you should not disseminate, distribute or copy this e-mail.</t>
  </si>
  <si>
    <t>Nyle Segovia</t>
  </si>
  <si>
    <t>Marketing Drive Proposal Saving Access</t>
  </si>
  <si>
    <t>Hi Anneliese and MNP,
We will need Andreaâ€™s help on another proposal (P20 131) and so she will need the ability to save in the folder. Rather than doing this on a proposal to proposal basis would we be able to give Andrea Ruether access to save in all of the â€œ2.2 Proposalâ€ folders in the Marketing drive? This will save time for making these requests, and by the time the request made it through completion last time we found a work-around anyway.
Best,
Nyle Segovia, Marketing
Group2
Architecture Interior Design Ltd.
630c-10th Street E Saskatoon SK S7H 0G9
T +1Â 306 979 2935 ext. 607
group2.ca
Group2 is committed to being both responsive and responsible in navigating these extraordinary times with everyoneâ€™s safety in mind. Since the outset of the COVID-19 situation, we have enabled our employees to work remotely, allowing us to continue business operations and maintain our client commitments.
This email and any files transmitted with it are confidential and intended solely for the use of the individual or entity to whom they are addressed. If you have received this email in error please notify the system manager. This message contains confidential information and is intended only for the individual named. If you are not the named addressee you should not disseminate, distribute or copy this e-mail.</t>
  </si>
  <si>
    <t>[JIRA] (OG-1074) SharePoint security information needed</t>
  </si>
  <si>
    <t>Automation for Jira made 1 update.Â Les Kondejewski added 1 new comment.Â  Ontario Genomics/OG-1074 SharePoint security information needed 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
Automation for Jira made 1 update.Â Les Kondejewski added 1 new comment.Â 
Ontario Genomics
/Â Â   [image] Â  OG-1074
 SharePoint security information needed 
Updates
[image]  Automation for Jira  9:58Â AMÂ EST
Status: Waiting for customer [â†’] Waiting for support
Comments
[image]  Les Kondejewski  9:58Â AMÂ EST
Hi Jafaru
I will call you Monday morning
Thanks
Les
View issue
Get Jira notifications on your phone! Download the Jira Cloud app for Android or iOS.
Manage notifications   Â â€¢Â    Give feedback   Â â€¢Â    Privacy policy
[image]
[image]
[image]</t>
  </si>
  <si>
    <t>Voicemail from (780) 690-6288 -  received Sat Jan 23 2021 07:40 MST</t>
  </si>
  <si>
    <t>Scribe transcribed your voicemail message. On Sat Jan 23 2021 07:40 MST, a caller from +17806906288 said: 
Hey there my name is Grace Johnson just calling on behalf of Paul's veterinary specialist in emergency right now we have a server or I guess a couple programs running on our servers that are typically links that currently aren't talking to one another. So just hoping we could get somebody to look into that since(?) just tried restarting the two programs on the server and hold that date. Anyway if you can give me a shout back at 780-690-6288 or alternatively you can contact Daniella at Paul she's working her sections today and that phone number is 780-570-9999 thank you. Bye.
You have a new voicemail message.
New Voice Message
--- 
From: 
(780) 690-6288
--- 
To:Emergency Support
--- 
Time:Sat Jan 23 2021 07:40 MST
--- 
Duration:00:38
---
VM-ID:21112874:20980465
Month to date usage: 17 messages / 00:10:06 (hh:mm:ss)</t>
  </si>
  <si>
    <t>Carlos Fernandes</t>
  </si>
  <si>
    <t xml:space="preserve"> Carlos Fernandes - Have new phone but having issues transferring information over</t>
  </si>
  <si>
    <t>Hi Carlos, 
I have received your request. For a much faster response, please email your request to support@mnptechnology.ca 
This goes directly to the Help desk instead of the information email- which is not actively monitored. 
I have cc'd our help desk team on this email so they will be notified of your request and will start a ticket.
Thank you,
Carly
-----Original Message-----
From: Next Digital &lt;noreply@nextdigital.ca&gt; 
Sent: January 22, 2021 4:02 PM
To: info@nextdigital.ca
Subject: New Inquiry from nextdigital.ca
CAUTION: This email originated from outside of the MNP network. Be cautious of any embedded links and/or attachments.
MISE EN GARDE: Ce courriel ne provient pas du rÃ©seau de MNP. MÃ©fiez-vous des liens ou piÃ¨ces jointes quâ€™il pourrait contenir.
CAUTION: This email originated from outside of MNP. Do not click links, open attachments or enter any credentials prior to confirming with the sender the legitimacy of this message.
If you require further information or assistance, please submit a support request to IT (http://support.mnp.ca/ITSystem).
---------------------The original message follows below---------------
----------------------------------------------------------------------
Name: Carlos @ Ideal insulation
Mail: carlosf@idealinsulation.com
Phone: 4038099158
Text: Have new phone but having issues transferring information over</t>
  </si>
  <si>
    <t>Randy Krebes</t>
  </si>
  <si>
    <t>Spam Blocking for Practice Advisor Account</t>
  </si>
  <si>
    <t>There has been a large increase in the volume of spam and phishing emails received recently through thepracticeadvisor@aaa.ab.ca account.Â  I have been adding blocked addresses through the Sophos system for myrkrebes account but not able to do the same for the practice advisor account.Â  Ideally, it would be nice to simply copy all the blocks set up under therkrebes account for the practice advisor account.
I am not sure whether there is any spam block management is happening on any of the other role-based email versus email accounts.
Please advise on potential options.
Thank-you.
Randy Krebes, Architect, AAA, MRAIC
Director of Practice
The Alberta Association of Architects
Duggan House| 10515 Saskatchewan Dr., NW
Edmonton, AB| T6E 4S1
ph:780.432.0224ext. 217| mb: 780.686.3859|fax:780.439.1431
website|eBulletin|LinkedIn|Facebook|Twitter
Confidentiality Note: This email may contain confidential and/or private information.
If you received this email in error, please delete and notify sender.</t>
  </si>
  <si>
    <t>access to shared folder</t>
  </si>
  <si>
    <t>Good afternoon,
This is a request to please move the Prime Time folder that is currently sitting under Shared-SFC/Programs to Shared-MWC folder. The only people that should have read and write access to this Prime Time folder are: Rebecca Inthof, Meagan Grabst, Marije van Engelen, Shauna Pivarnyik and Corinne Zimmerman.
You may also remove Deanne Kobelsky, Angela Blakely-Elliott and Susan Herman access to the Prime Time folder.
Please let me know if you have any questions.
Thanks,
Angeli
[image]
Angeli AlipioBBA
HR Generalist
T: 403.205.5233 |C: 403.619.7126 | E: AngeliA@caryacalgary.ca| F: 403.205.5281
180, 839 5 Ave SW | Calgary, AB | T2P 3C8
[image]Â [image]Â [image]
carya (formerly Calgary Family Services)
We are working remotely to help Calgarians through the COVID-19 pandemic. Please reach out to us if you need support.carya is here for you.
In the spirit of our efforts to promote reconciliation, we acknowledge the traditional territories and oral practices of the Blackfoot, the Tsuut'ina, the Stoney Nakoda First Nations, the MÃ©tis Nation Region 3, and all people who make their homes in the Treaty 7 region of Southern Alberta. We also respectfully acknowledge that the province of Alberta is comprised of Treaty 6, Treaty 7, and Treaty 8 territory, the traditional lands of First Nations and MÃ©tis peoples.
No form of electronic communication is secure and may be intercepted by others. Carya cannot guarantee the receipt of electronic communication nor a timely response. Where communication is confidential or time sensitive we recommend you call 403-269-9888 during business hours (Monday-Friday, 8:30am-4:30pm). For immediate crisis response please contact the Distress Centre Crisis Line at 403-266-HELP (4537) and in case of an emergency dial 911.
This e-mail is intended solely for the person or entity to which it is addressed and may contain confidential and/or privileged information. Any review, dissemination, copying, printing, forwarding or other use of this e-mail by persons or entities other than the addressee is prohibited. If you have received this e-mail in error, please contact the sender immediately and delete the material from your computer.</t>
  </si>
  <si>
    <t>Cheryl Waldo - Unable to Delete some SharePoint sites</t>
  </si>
  <si>
    <t>Hello MNP,
I am trying to delete a couple groups in Sharepoint but am unable to do so.Â  Can you please assist in removing the following folders:
 Policies &amp; Procedures (not Policies &amp; Procedures 2)
 Pilgrims Hospice Team Site
Cheryl Waldo
Senior Executive Assistant
Pilgrims Hospice Society
9808 â€“ 148 Street
Edmonton ABÂ  T5N 3E8
T. 780.413.9801 ext. 240 / T. 587.414.5043 (direct)
*Home of the new Roozen Family Hospice Centre
[image]</t>
  </si>
  <si>
    <t>Angeli Alipio - Dunne, Trina - New Hire, January 18, 2021</t>
  </si>
  <si>
    <t>Good afternoon,
Sorry for sending this later than usual but please see attached Trina Dunneâ€™s new hire form effective January 18, 2021.
Please let me know if you have any questions.
Thanks,
Angeli
[image]
Angeli AlipioBBA
HR Generalist
T: 403.205.5233 |C: 403.619.7126 | E: AngeliA@caryacalgary.ca| F: 403.205.5281
180, 839 5 Ave SW | Calgary, AB | T2P 3C8
[image]Â [image]Â [image]
carya (formerly Calgary Family Services)
We are working remotely to help Calgarians through the COVID-19 pandemic. Please reach out to us if you need support.carya is here for you.
In the spirit of our efforts to promote reconciliation, we acknowledge the traditional territories and oral practices of the Blackfoot, the Tsuut'ina, the Stoney Nakoda First Nations, the MÃ©tis Nation Region 3, and all people who make their homes in the Treaty 7 region of Southern Alberta. We also respectfully acknowledge that the province of Alberta is comprised of Treaty 6, Treaty 7, and Treaty 8 territory, the traditional lands of First Nations and MÃ©tis peoples.
No form of electronic communication is secure and may be intercepted by others. Carya cannot guarantee the receipt of electronic communication nor a timely response. Where communication is confidential or time sensitive we recommend you call 403-269-9888 during business hours (Monday-Friday, 8:30am-4:30pm). For immediate crisis response please contact the Distress Centre Crisis Line at 403-266-HELP (4537) and in case of an emergency dial 911.
This e-mail is intended solely for the person or entity to which it is addressed and may contain confidential and/or privileged information. Any review, dissemination, copying, printing, forwarding or other use of this e-mail by persons or entities other than the addressee is prohibited. If you have received this e-mail in error, please contact the sender immediately and delete the material from your computer.</t>
  </si>
  <si>
    <t xml:space="preserve">Julie Nadeau - New Employee, Cassie Bernard </t>
  </si>
  <si>
    <t>### Summary of Issue_x000D_
New Employee_x000D_
  _x000D_
### Details of Issue_x000D_
Cassie Bernard - LPN Team 
start date January 28.2021
un
pw
ea_x000D_
  _x000D_
### Have you opened a ticket about this issue before?  _x000D_
 No  _x000D_
  _x000D_
### How many users are impacted by this issue?  _x000D_
 One  _x000D_
  _x000D_
### How would you classify this issue?  _x000D_
 Other</t>
  </si>
  <si>
    <t>ANNELIESE FRIS - New User Create - Charlene Karl</t>
  </si>
  <si>
    <t>### What is the new employee's first name?_x000D_
Charlene_x000D_
  _x000D_
### What is the new employee's last name?_x000D_
Karl_x000D_
  _x000D_
### What is the new employee's role description?_x000D_
Intern Architect_x000D_
  _x000D_
### What day will the new employee be starting?  _x000D_
Mon 1 Feb, 2021  _x000D_
  _x000D_
### What Group2 location will they working out of?  _x000D_
 Edmonton Office  _x000D_
  _x000D_
### What Role will they be assigned to? This defines what security groups and network access the user will get.  _x000D_
 Architect/Intern Architect â€“ Marketing Drive Modify, Resource-Share Read access</t>
  </si>
  <si>
    <t>Jorge Bustamante - Bad call quality</t>
  </si>
  <si>
    <t>### Summary of Issue_x000D_
Bad call quality_x000D_
  _x000D_
### Details of Issue_x000D_
Hi team,
Jafaru is still experiencing bad call quality when using the softphone and a headset from home. He's having to forward his calls to his cell phone. Can we get him a deskphone or figure out what's going on with his softphone?
Thanks,
Jorge_x000D_
  _x000D_
### Have you opened a ticket about this issue before?  _x000D_
 Yes  _x000D_
  _x000D_
### How many users are impacted by this issue?  _x000D_
 One  _x000D_
  _x000D_
### How would you classify this issue?  _x000D_
 Work Impacting</t>
  </si>
  <si>
    <t>Steven Carter</t>
  </si>
  <si>
    <t>Re: Installation Request</t>
  </si>
  <si>
    <t>These parts are now received and ready for the install to be scheduled.Â 
Please let us know your availability and I will confirm with the client.
Regards,Â 
Steven Carter
Commercial Operations Manager
Phone: Â (780) 988-7233Â 
Toll Free:Â 1 (866) 926-7233
Website: Â www.libertysecurity.ca
[image]
On Fri, Jan 22, 2021 at 8:56 AM Steven Carter &lt;scarter@libertysecurity.ca&gt; wrote:
Hi,Â 
We have a new installation request for the Town of Mayerthorpe. Please assign this to Dave Beharrell.
Site: Town of Mayerthorpe -Â  Town Office
Address:Â 4911 52 Street, Mayerthorpe, AB.Â 
Contact : Lois - 780-786-2416
Scope of Work:Â Add 8 port digital line card, add on VM license,install 2 desk sets. Wires to be connected to BIX by electrical.Â 
BOM List:Â 
NEC GCD-8DLCA, 8 PORT DIGITAL LINE CARD x 1
SV9100 VMBOX-LIC 01 - VOICE MAIL - x 8
NEC DTZ-12D-3(BK) TEL - 12 BUTTON DIGITAL TERMINAL - x 2
Please use PO-18000 for invoicing.Â 
Equipment is on order and we will reach out to schedule once its received.Â 
Thanks,Â 
Steven Carter
Commercial Operations Manager
Phone: Â (780) 988-7233Â 
Toll Free:Â 1 (866) 926-7233
Website: Â www.libertysecurity.ca
[image]</t>
  </si>
  <si>
    <t>Cliff Skocdopole</t>
  </si>
  <si>
    <t>Cliff Skocdopole - categories in contacts disappeared</t>
  </si>
  <si>
    <t>Hi guys.
In my contacts I had them separated into different categories. Sometime in the last month or so the categories disappeared and only the recent ones show up.
Anything we can do about that?
Probably around 2000 to recategorize.
[Description: New Skocdopole Plow Logo]
Cliff Skocdopole
Skocdopole Construction Ltd.
RR#4 Eckville, Alberta
T0M 0X0
OfficeÂ  403-746-5744
Cellular 403-357-8266
email:cliff@skocdopole.com
web:www.skocdopole.com</t>
  </si>
  <si>
    <t>Automation for Jira made 1 update.Â Les Kondejewski added 1 new comment.Â  Ontario Genomics/OG-1074 SharePoint security information needed 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
Automation for Jira made 1 update.Â Les Kondejewski added 1 new comment.Â 
Ontario Genomics
/Â Â   [image] Â  OG-1074
 SharePoint security information needed 
Updates
[image]  Automation for Jira  3:02Â PMÂ EST
Status: Waiting for customer [â†’] Waiting for support
Comments
[image]  Les Kondejewski  3:02Â PMÂ EST
Hi,
Thanks for setting this up.
Can you send me path so I can find it through file explorer on my PC? Will the folder need to be mapped to my PC?
Les
View issue
Get Jira notifications on your phone! Download the Jira Cloud app for Android or iOS.
Manage notifications   Â â€¢Â    Give feedback   Â â€¢Â    Privacy policy
[image]
[image]
[image]</t>
  </si>
  <si>
    <t>Phil Goldbach added 1 new comment. Toronto Innovation Acceleration Partners/TIAP-1004 Urgent - computer crashed 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
Phil Goldbach added 1 new comment.
Toronto Innovation Acceleration Partners
/Â Â   [image] Â  TIAP-1004
 Urgent - computer crashed 
[image]  Phil Goldbach  2:36Â PMÂ EST
Can I call you at 3:15pm ET?
Sent from my iPhone
On Jan 22, 2021, at 1:54 PM, Jafaru Akemokwe &lt;jira@t4gsupport.atlassian.net&gt; wrote:ï»¿
View issue
Get Jira notifications on your phone! Download the Jira Cloud app for Android or iOS.
Manage notifications   Â â€¢Â    Give feedback   Â â€¢Â    Privacy policy
[image]
[image]
[image]</t>
  </si>
  <si>
    <t>Wendy O'Brien</t>
  </si>
  <si>
    <t>Wendy O'Brien - Cloud issues</t>
  </si>
  <si>
    <t>Good morning, I am having two issues while working from home:
1. On my laptop, I need to be out of the cloud in order to join zoom meetings with my laptop audio/video. I cannot access my email outside the cloud in order to get the meeting invite. I could access email outside the cloud yesterday, but today I get this message:
[image]
1. I need to show a powerpoint in my upcoming zoom meeting. The file is inside the cloud. I cannot seem to save it anywhere where I can access it outside the cloud (while in zoom). I tried emailing it to myself, but I canâ€™t access my email outside the cloudâ€¦
Can you help?
Wendy Oâ€™Brien
Local Staff Administrator
Edmonton Public Local No. 37
Alberta Teachersâ€™ Association
#401, 11010 â€“ 142 Street
Edmonton, Alberta T5N 2R1
780-455-2164
[EPT_Local37_Prim_RGB_S]</t>
  </si>
  <si>
    <t>Kim Burns - David, why do I have this.  I can't search my emails which I need to do?????</t>
  </si>
  <si>
    <t>[image]
Kim Burns
Capital Paper Recycling Ltd.
10595 50TH STREET SE
CALGARY, AB
T2C 3E3
Phone: 403-543-3322
Fax:403-543-3330
Effective immediately, due to the unsecured nature, we cannot accept Interac E-Transfers. *Unless Authorized by Kim Burns.
The information in this email and any attachments is sent by Capital Paper Recycling LTD. and is intended to be confidential and for the use of only the individual or entity named above. The information may be protected by solicitor-client privilege, work product immunity or other legal principles. If the reader of this message is not the intended recipient, you are notified that unauthorized review, retention, dissemination, distribution, copying or other use of or taking any action in reliance upon this information is strictly prohibited. 
If you received this email in error, please notify us immediately by email reply and delete or destroy this message and any copies.</t>
  </si>
  <si>
    <t>Annie Brandt - Delete email</t>
  </si>
  <si>
    <t>### Summary of Issue_x000D_
Delete email_x000D_
  _x000D_
### Details of Issue_x000D_
Delete email account for Tiffany Bellerose._x000D_
  _x000D_
### Have you opened a ticket about this issue before?  _x000D_
 No  _x000D_
  _x000D_
### How many users are impacted by this issue?  _x000D_
 One  _x000D_
  _x000D_
### How would you classify this issue?  _x000D_
 Minor Inconvenience</t>
  </si>
  <si>
    <t>Karen Johns</t>
  </si>
  <si>
    <t>Remove Users from calmontsalesteam@calmont.ca Distribution List</t>
  </si>
  <si>
    <t>Good Afternoon,
Can we please have the following names removed from the distribution list of calmontsalesteam@calmont.ca as they are no longer with the company:
-Â Â Â Â Â Â Â Â Â Amanda Trundle
-Â Â Â Â Â Â Â Â Â Andrew Dowdall
-Â Â Â Â Â Â Â Â Â Angela Ricard
-Â Â Â Â Â Â Â Â Â Natasha Burdeyney
-Â Â Â Â Â Â Â Â Â Temp User
-Â Â Â Â Â Â Â Â Â Toni Fagan
Regards,
Karen Johns
Sales Coordinator
[New Calmont Group Volvo Truck Centre logo]
Calmont Volvo Truck Centre Calgary
We're Customer Driven
5475 53 Street SE, Calgary, Alberta, T2C-4P6
Tel:Â (403)236-1993 Fax: (403)720-0464
Email:karen.johns@calmont.ca
Visit Our Website at:Â  www.calmont.ca</t>
  </si>
  <si>
    <t>Jason Murray</t>
  </si>
  <si>
    <t>Hi,
Can we still get access to Jason Murrayâ€™s old emails?
Courtney Holick,Â CPA, CMA
CFO
Tel: 780-409-3359</t>
  </si>
  <si>
    <t>Elizabeth Link</t>
  </si>
  <si>
    <t>FW: WesterraEquipmen/ 1VRF102Y0E1000317</t>
  </si>
  <si>
    <t>Good Morning,
I received the below spam email this morning.
Thanks,
Liz Link
Parts Technician
[image][image][image]
Weâ€™re Customer Driven
280 Burnt Park Drive Red Deer County, AB T4S 2L4
Branch: 403-346-9011Â Â Â Â  Fax: 403-346-9051
Email: liz.link@calmont.ca
Website: www.calmont.ca
From: Cheryl Trenchard &lt;Cheryl.Trenchard@calmont.ca&gt; 
Sent: Friday, January 22, 2021 10:45 AM
To: Elizabeth Link &lt;Liz.Link@calmont.ca&gt;
Subject:Re: WesterraEquipmen/ 1VRF102Y0E1000317
Hey Liz
I am off today so can you please forward to Next Digital?
Sent from my iPhone
On Jan 22, 2021, at 10:34 AM, Elizabeth Link &lt;Liz.Link@calmont.ca&gt; wrote:
ï»¿
Hey, I got this spam email.
I donâ€™t know if its something we want to mention to the other staff, but I called Jim, and he said donâ€™t open it itâ€™s a virus.
Thanks,
Liz Link
Parts Technician
&lt;image004.jpg&gt;
&lt;image002.png&gt;
&lt;image005.jpg&gt;
Weâ€™re Customer Driven
280 Burnt Park Drive Red Deer County, AB T4S 2L4
Branch: 403-346-9011Â Â Â Â  Fax: 403-346-9051
Email: liz.link@calmont.ca
Website: www.calmont.ca
From: Jim Clark &lt;jclark@westerraequipment.com&gt; 
Sent: Friday, January 22, 2021 10:30 AM
Subject:WesterraEquipmen/ 1VRF102Y0E1000317
Please find below.
[image]
WesterraEquipmen/ 1VRF102Y0E1000317
Jim Clark
 Parts Manager
Westerra Equipment
585 Cree Road
Kamloops, BCÂ Â  V2H 1H9
D:Â 250.314.3600 |Â Fax:Â 250.314.3656
TF:Â 1.888.713.4748 |Â www.westerraequipment.com
FACEBOOKÂ |Â INSTAGRAMÂ |Â LINKEDINÂ |Â TWITTER</t>
  </si>
  <si>
    <t>Matthew Nasby - Remove Email forwarding from Kevin Clulow</t>
  </si>
  <si>
    <t>### Summary of Issue_x000D_
Remove Email forwarding from Kevin Clulow_x000D_
  _x000D_
### Details of Issue_x000D_
Kevin hasn't been with the ACSA for almost a year. I am getting some Spam emails under his email address and I would like all of his emails to stop being forwarded to me._x000D_
  _x000D_
### Have you opened a ticket about this issue before?  _x000D_
 No  _x000D_
  _x000D_
### How many users are impacted by this issue?  _x000D_
 One  _x000D_
  _x000D_
### How would you classify this issue?  _x000D_
 Minor Inconvenience</t>
  </si>
  <si>
    <t>Mallory St. Laurent - New Employee Email - Alyssia Baller</t>
  </si>
  <si>
    <t>Hi there,
Please create a Pulse email account for our new hire: Alyssia Baller.Â 
alyssia@pulseveterinary.ca
**Please add her to the CCS email group as well.
Thank you!
Mallory St. Laurent
Head of Client Services
Pulse Veterinary Specialists &amp; Emergency
450 Ordze Road, #320
Sherwood Park, AB T8B 0C5
P 780-570-9999Emallory@pulseveterinary.ca
[image]</t>
  </si>
  <si>
    <t>FW: New year report:22nd of January</t>
  </si>
  <si>
    <t>Good Morning,
Just want to let you know that I have been receiving several of these scam emails again this month. Please see below.
I have just been deleting them but want to make you aware.
Thanks,
Wendy
Wendy Bonertz
Provincial Program Director
Schizophrenia Society of Alberta
Phone: 403-896-4745
www.schizophrenia.ab.ca
[image]
From: Rubyann Rice &lt;executivedirectors227@gmail.com&gt;
Sent: Friday, January 22, 2021 9:06 AM
To: Wendy Bonertz &lt;wbonertz@schizophrenia.ab.ca&gt;
Subject: New year report:22nd of January
"Be careful, this sender may not be who they claim to be.
Hi
Confirm your availability? I Need you to run a quick request. Get back to me as soon as you can.
Regards,
Rubyann Rice</t>
  </si>
  <si>
    <t>Consulting Engineers of Alberta</t>
  </si>
  <si>
    <t>Inderjeet Singh</t>
  </si>
  <si>
    <t>Inderjeet Singh - Sage 50 Update</t>
  </si>
  <si>
    <t>Hi There,
Let us know if this can be installed after 3:30 pm next Friday.. I have permission from Lisa on time.. Please confirm if it will work at your end..
[image]
https://www.sage.com/en-ca/cp/important-sage-50-accounting-product-update/?CustID=4000646626
Inderjeet Singh
Information Specialist
Consulting Engineers of Alberta
Suite 2160, 10123 99th Street, Edmonton, AB,T5J 3H1
T: 780.421.1852Â EXT. 204 | C: 587.986.9023 |E:isingh@cea.caÂ |www.cea.ca
CEA â€“ Thebusiness voice of the consulting engineering industry since 1978</t>
  </si>
  <si>
    <t>Kate P - access to inboxes</t>
  </si>
  <si>
    <t>Good morning,
This is a request to please grant Kate Price access to the following inboxes:
-Â Â Â Â Â Â Â Â Â Philanthropy
-Â Â Â Â Â Â Â Â Â Jennifer Moir
-Â Â Â Â Â Â Â Â Â Denise Meade
Please let me know if you have any questions.
Thanks,
Angeli
No form of electronic communication is secure and may be intercepted by others. Carya cannot guarantee the receipt of electronic communication nor a timely response. Where communication is confidential or time sensitive we recommend you call 403-269-9888 during business hours (Monday-Friday, 8:30am-4:30pm). For immediate crisis response please contact the Distress Centre Crisis Line at 403-266-HELP (4537) and in case of an emergency dial 911.
This e-mail is intended solely for the person or entity to which it is addressed and may contain confidential and/or privileged information. Any review, dissemination, copying, printing, forwarding or other use of this e-mail by persons or entities other than the addressee is prohibited. If you have received this e-mail in error, please contact the sender immediately and delete the material from your computer.</t>
  </si>
  <si>
    <t>Installation Request - Town Of Mayerthorpe</t>
  </si>
  <si>
    <t>Hi,Â 
We have a new installation request for the Town of Mayerthorpe. Please assign this to Dave Beharrell.
Site: Town of Mayerthorpe -Â  Town Office
Address:Â 4911 52 Street, Mayerthorpe, AB.Â 
Contact : Lois - 780-786-2416
Scope of Work:Â Add 8 port digital line card, add on VM license,install 2 desk sets. Wires to be connected to BIX by electrical.Â 
BOM List:Â 
NEC GCD-8DLCA, 8 PORT DIGITAL LINE CARD x 1
SV9100 VMBOX-LIC 01 - VOICE MAIL - x 8
NEC DTZ-12D-3(BK) TEL - 12 BUTTON DIGITAL TERMINAL - x 2
Please use PO-18000 for invoicing.Â 
Equipment is on order and we will reach out to schedule once its received.Â 
Thanks,Â 
Steven Carter
Commercial Operations Manager
Phone: Â (780) 988-7233Â 
Toll Free:Â 1 (866) 926-7233
Website: Â www.libertysecurity.ca
[image]</t>
  </si>
  <si>
    <t>Leo Barrette</t>
  </si>
  <si>
    <t>Sage Password Reset</t>
  </si>
  <si>
    <t>I need a sage password reset please.Â  I think I recently changed it and ???????
Thanks,
[image]Â Leo Barrette
Senior Vice President
T:       +1 (780) 400-7481
C:       +1 (780) 717-2374
E:       leo.barrette@siterg.com
W:       WWW.SITERG.COM
#170, 120 Pembina Road, Sherwood Park, Alberta, T8H 0M2
The information contained in this e-mail may       contain confidential or privileged material and is intended only for the       stated addressee(s). If you are not the valid addressee, the use,       disclosure, copying or distribution of this information is prohibited and       may be unlawful. If you have received this email message in error, please       notify the sender immediately and delete all copies of the message from       your computer. All information within or opinions expressed in this       message and/or any attachments are those of the author and are not       necessarily those of the Centurion Group.</t>
  </si>
  <si>
    <t>Design Marketing</t>
  </si>
  <si>
    <t>Daryll D</t>
  </si>
  <si>
    <t>Telephone number move for Design Marketing</t>
  </si>
  <si>
    <t>Darryl from Design Marketing called and he would like us to move 1 telephone number that is currently on one of the phones in the front to one of the phones located in the back. He has a NEC phone system so this can be assigned to either Dave or Terry to do.
Please contact Darryl at 780-448-0077 to set up the appointment.
Thanks,
Shawn Parks
Business Development
PH.Â +1 7804246398       Ext 321
14505 114th Avenue NW
Edmonton,       AB
T5M2Y8
Shawn.Parks@mnp.ca
mnp.ca [image]
[image]</t>
  </si>
  <si>
    <t>Phishing emails using Barb Spencer's name</t>
  </si>
  <si>
    <t>Myself and Connie Olson have received phishing messages using Barb Spencer's name. See attachements. Senders have been clocked, pleas advise if we need to take another action.  _x000D_
  _x000D_
_      _x000D_
 Attached files:  _x000D_
- Mail.pdf  _x000D_
- Screenshot 2021-01-22 at 8.32.55 AM.jpeg</t>
  </si>
  <si>
    <t>Microsoft Edge sign in</t>
  </si>
  <si>
    <t>Hi,  _x000D_
  _x000D_
Is there way automate user sign-ins on Microsoft edge for all through GPO?  _x000D_
  _x000D_
Thanks</t>
  </si>
  <si>
    <t>Julie Wright</t>
  </si>
  <si>
    <t>Julie Wright - Microsoft Account Sign in</t>
  </si>
  <si>
    <t>How do I change or figure out my password for jwright@nrcb.gov.ab.ca on microsoft?</t>
  </si>
  <si>
    <t>Asem Eldib made 1 update. Toronto Innovation Acceleration Partners/TIAP-1004 Urgent - computer crashed 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
Asem Eldib made 1 update.
Toronto Innovation Acceleration Partners
/Â Â   [image] Â  TIAP-1004
 Urgent - computer crashed 
[image]  Asem Eldib  9:59Â AMÂ EST
Priority: Highest [â†’] High
View issue
Get Jira notifications on your phone! Download the Jira Cloud app for Android or iOS.
Manage notifications   Â â€¢Â    Give feedback   Â â€¢Â    Privacy policy
[image]
[image]
[image]</t>
  </si>
  <si>
    <t xml:space="preserve">[JIRA] Automation for Jira assigned TIAP-1004 to you - Urgent - computer crashed </t>
  </si>
  <si>
    <t>Automation for Jira assigned this issue to you
Toronto Innovation Acceleration Partners/TIAP-1004 Urgent - computer crashed 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
Automation for Jira assigned this issue to you
Toronto Innovation Acceleration Partners
/Â Â   [image] Â  TIAP-1004
 Urgent - computer crashed 
[image]  Automation for Jira  9:56Â AMÂ EST
Assignee: Unassigned [â†’] Jorge Bustamante
View issue
Get Jira notifications on your phone! Download the Jira Cloud app for Android or iOS.
Manage notifications   Â â€¢Â    Give feedback   Â â€¢Â    Privacy policy
[image]
[image]
[image]</t>
  </si>
  <si>
    <t>[JIRA] (JLABS-416) Port Activation</t>
  </si>
  <si>
    <t>Automation for Jira made 1 update. Johnson and Johnson Innovation/JLABS-416 Port Activation 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
Automation for Jira made 1 update.
Johnson and Johnson Innovation
/Â Â   [image] Â  JLABS-416
 Port Activation 
[image]  Automation for Jira  9:24Â AMÂ EST
Status: Waiting for support [â†’] Waiting for customer
View issue
Get Jira notifications on your phone! Download the Jira Cloud app for Android or iOS.
Manage notifications   Â â€¢Â    Give feedback   Â â€¢Â    Privacy policy
[image]
[image]
[image]</t>
  </si>
  <si>
    <t>Robyn Sibbald</t>
  </si>
  <si>
    <t>Robyn Sibbald - New email addresses- Casey Smith and Neurology</t>
  </si>
  <si>
    <t>Hey there,
Just need a couple of email addresses set up:
If we donâ€™t already have one for Casey Smith casey@pulseveterinary.ca
Then we need a group email for our neurology department neurology@pulseveterinary.ca, which needs to include nicolec@pulseveterinary.ca, lisa@pulseveterinary.ca, and casey@pulseveterinary.ca.
Let me know if you have any questions!
Thanks a bunch,
Robyn
Sent from Mail for Windows 10</t>
  </si>
  <si>
    <t>Quote Request - Lexus - Microphone for Computer</t>
  </si>
  <si>
    <t>### End User Hardware  _x000D_
  _x000D_
### What company is this quote for?_x000D_
Lexus_x000D_
  _x000D_
### Who made this request and why?_x000D_
Robert Watson_x000D_
  _x000D_
### Give this request a name_x000D_
Microphone for Computer_x000D_
  _x000D_
### Who should the quote be addressed to?  _x000D_
 Someone else  _x000D_
  _x000D_
### Who should it be addressed to?_x000D_
Robert Watson_x000D_
  _x000D_
### Which location is the product for?_x000D_
Main_x000D_
  _x000D_
### Is there an existing ticket on another Connectwise board? If so what is the ticket number?_x000D_
1350650_x000D_
  _x000D_
### Which ND location is it needed at?  _x000D_
 Next Digital Edmonton  _x000D_
  _x000D_
### When is it needed by OR when is the next site visit for the client's location?  _x000D_
Thu 28 Jan, 2021  _x000D_
  _x000D_
### Do you need labour quoted?  _x000D_
 No  _x000D_
  _x000D_
### What products do you need on this quote?  _x000D_
 Accessories (Mice, keyboards, RAM/SSD upgrades etc)  _x000D_
  _x000D_
### Accessories  _x000D_
  _x000D_
### What do you need?  _x000D_
 Other  _x000D_
  _x000D_
### What do you need?_x000D_
Microphone.  Doesn't need camera, just need a mic_x000D_
  _x000D_
### What products do you need quoted?_x000D_
Unsure.  Leaving to your discretion</t>
  </si>
  <si>
    <t>Nyhoff Architecture</t>
  </si>
  <si>
    <t>Mairi Nyhoff</t>
  </si>
  <si>
    <t>FW: Office 365</t>
  </si>
  <si>
    <t>Hi team,
Mairi Nyhoff, our previous client (Nyhoff) has requested assistance with their O365.
Can you please assist this client as an hourly?
Thank you,
Amin Esmaeili
Client Experience Manager
PH.Â +1 4036864357       Ext 415
310 - 4000 4 St SE
Calgary,       AB
T2G2W3
Amin.Esmaeili@mnp.ca
mnp.ca 
[image]
[image]
From: Mairi Nyhoff mairi.nyhoff@nyhoff.ca
Sent: January 20, 2021 12:19 PM
To: Amin Esmaeili aesmaeili@nextdigital.ca
Cc: Kevin Nyhoff kevin.nyhoff@nyhoff.ca
Subject: RE: Office 365
CAUTION:This email originated from outside of the MNP network. Be cautious of any embedded links and/or attachments.
MISE EN GARDE:Ce courriel ne provient pas du rÃ©seau de MNP. MÃ©fiez-vous des liens ou piÃ¨ces jointes quâ€™il pourrait contenir.
Hi Amin and happy new year.
I am hoping you can assist me. I just tried accessing my Microsoft Sharepoint for a project and I have no access from my account.
Kevin does have access so this seems strange. It almost appears that mine has been dropped.
I accessed files just before Christmas so I am hoping you can assist.
Thank you,
Mairi
mairi nyhoff
nyhoff architecture inc
cÂ  403.471.5890
www.nyhoff.ca</t>
  </si>
  <si>
    <t>FW: Quote Request - Microsoft Surface  - Matthew Nasby</t>
  </si>
  <si>
    <t>From: Brent Schneider &lt;BSchneider@youracsa.ca&gt; 
Sent: Thursday, January 21, 2021 3:42 PM
To: Sales - MNP IT Managed Services &lt;sales@mnptechnology.ca&gt;
Subject: Quote for new Microsoft Surface - Matthew Nasby
CAUTION:This email originated from outside of the MNP network. Be cautious of any embedded links and/or attachments.
MISE EN GARDE:Ce courriel ne provient pas du rÃ©seau de MNP. MÃ©fiez-vous des liens ou piÃ¨ces jointes quâ€™il pourrait contenir.
Hello,
Can you please send me a quote for a new Surface for Matthew Nasby to replace his existing one.
Thanks.
Brent SchneiderB.Sc, PMP, CISSP, CISA, CRISC, CISMÂ |Â Manager, Information Systems (IS)
Alberta Construction Safety Association
225 Parsons Road SW |Â Edmonton ABÂ |Â T6X 0W6
TÂ 780.453.3311 ext. 7719 |Â FÂ 780.455.1120 |Â TFÂ 1.800.661.ACSA (2272)
www.youracsa.ca
[image][image][image][image]
[image]</t>
  </si>
  <si>
    <t>MNP Technology Solutions</t>
  </si>
  <si>
    <t>FW: Quote request - Lenovo laptops</t>
  </si>
  <si>
    <t>Shawn Kubiski
Partner
PH. +1 7804246398
14505 114th Avenue NW
Edmonton, AB
T5M2Y8
Shawn.Kubiski@mnp.ca
mnp.ca[image]
[image]
From: David Solomon &lt;David.Solomon@mnp.ca&gt; 
Sent: Thursday, January 21, 2021 12:58 PM
To: Shawn Kubiski &lt;Shawn.Kubiski@mnp.ca&gt;
Subject: RE: Quote request - Lenovo laptops
Thanks for follow up Shawn,
Will advise as soon as I know more.
David Solomon
TECHNOLOGY PROCUREMENT MANAGER
From: Shawn Kubiski &lt;Shawn.Kubiski@mnp.ca&gt; 
Sent: January 21, 2021 12:50 PM
To: David Solomon &lt;David.Solomon@mnp.ca&gt;
Subject: RE: Quote request - Lenovo laptops
Hi David,
Sounds like there are a few moving parts to this request and please let me know as soon as possible and if things change as per your note below. I will proceed as requested and get a quote over to you as soon as possible.
Thanks,
Shawn
Shawn Kubiski
Partner
PH. +1 7804246398
14505 114th Avenue NW
Edmonton, AB
T5M2Y8
Shawn.Kubiski@mnp.ca
mnp.ca
[image]
[image]
From: David Solomon &lt;David.Solomon@mnp.ca&gt; 
Sent: Thursday, January 21, 2021 9:37 AM
To: Shawn Kubiski &lt;Shawn.Kubiski@mnp.ca&gt;
Subject: Quote request - Lenovo laptops
Importance: High
Hey Shawn,
We have a project Jeff Turner is working on that may require up to 1000 qty Lenovo laptops.Â  Same CTO spec we currently use with one caveat, French keyboard for some.Â  The price to you wonâ€™t change with Lenovo and so I am guessing we should be even with the pricing on the refresh we just did.
Breakdown below:
600 Qty â€“ 20S1SF1100 â€“ T14 â€“ French Â - Bid request BRPNS000612680, Master Contract No. MC98283442
400 Qty â€“ 20S1S5BY00 â€“ T14 â€“ English â€“ Same as last order we did
No docks on the quote for now.Â  We mainly want to get an order so we are in the que.Â  There are a few more details I canâ€™t disclose on this request but it should be known there is a chance we might have to cancel the order in the next 30 days.Â  I could possibly know this sooner but just an fyi.Â  Ship to is our Mississauga office for now but we would re-direct the order across multiple offices before the laptops were actually built and shipped.
Thanks,
David Solomon
TECHNOLOGY PROCUREMENT MANAGER
DIRECT 403.537.7683
FAX 403.444.0198
Suite 2000, 330 5th Ave SW
Calgary, AB
T2P 0L4
david.solomon@mnp.ca
mnp.ca
[image]
[image]</t>
  </si>
  <si>
    <t>Kim Hawkes - Remove program from our server</t>
  </si>
  <si>
    <t>Hello,
I would like to submit a ticket to remove a program and all associated files from our PVC-APP02 server.Â  The programâ€™s name is â€œIDEXX PACS server applicationâ€.Â  Please contact me at 509 432 4351 to discuss when this can be performed.
Thanks,
LK
[image]
Dr. Lukas Kawalilak
DVM, Diplomate ACVR
Specialist in Veterinary Diagnostic Imaging
E:lukas@pulseveterinary.ca
P: 780.570.9999
A: 450 Ordze Road, Unit #320.Â  Sherwood Park, AB T8B 0C5
www.pulseveterinary.ca</t>
  </si>
  <si>
    <t>Lorna Baxandall - Add name to 2020-21 Address book (school reps)</t>
  </si>
  <si>
    <t>Can you please add the following name to the list:
Jolene Stromecky â€“ Jolene.Stromecky@ecsd.net
Thank you!
Lorna
[ECT Local 54 green-blue.jpg]Lorna Baxandall
Administrative Coordinator
Edmonton Catholic Teachers
Local 54 of the Alberta Teachersâ€™ Association
W: (780) 451 1196
lorna.baxandall@ecteachers.ca</t>
  </si>
  <si>
    <t>Shae Livingston</t>
  </si>
  <si>
    <t>Shae Livingston - Unifi Controller - E4C - New Location</t>
  </si>
  <si>
    <t>### Summary of Issue_x000D_
Unifi Controller - E4C - New Location_x000D_
  _x000D_
### Details of Issue_x000D_
Require a new location created on the Unifi Controller
E4C - Alex Taylor
Will have to also confirm Fortinet has the setup to have use between both the Unifi APs and FortiAPs_x000D_
  _x000D_
### Have you opened a ticket about this issue before?  _x000D_
 No  _x000D_
  _x000D_
### How many users are impacted by this issue?  _x000D_
 One  _x000D_
  _x000D_
### How would you classify this issue?  _x000D_
 Other</t>
  </si>
  <si>
    <t>Jessica Semaganis</t>
  </si>
  <si>
    <t>Jessica Semaganis - Forms</t>
  </si>
  <si>
    <t>### Summary of Issue_x000D_
Forms_x000D_
  _x000D_
### Details of Issue_x000D_
Window for downloading health care card application form gives message, please wait, and download latest version of Adobe Reader.  Does not display for to print form._x000D_
  _x000D_
### Have you opened a ticket about this issue before?  _x000D_
 No  _x000D_
  _x000D_
### How many users are impacted by this issue?  _x000D_
 One  _x000D_
  _x000D_
### How would you classify this issue?  _x000D_
 Work Impacting</t>
  </si>
  <si>
    <t>Tim Clark - RE: Adobe licence</t>
  </si>
  <si>
    <t>Hi Amin,
Where are we at with renewing the Adobe licence? Having the message pop up every time I open a pdf is getting pretty annoying.
Thank you,
[image]
tim clark Â  Â _director, sales &amp; marketing
d:780.784.1813 Â | Â p: 780.465.9645Â  | Â c: 780.902.0720
tim.clark@cts-industries.com Â | Â cts-industries.com
[Linkedin]
From: Tim Clark
Sent: January 19, 2021 5:36 PM
To: Amin Esmaeili &lt;Amin.Esmaeili@mnp.ca&gt;; Support - MNP IT Managed Services &lt;support@mnptechnology.ca&gt;
Subject: RE: Adobe licence
Thank you.
I didnâ€™t realize it had been even close to a year.
[image]
tim clark Â  Â _director, sales &amp; marketing
d:780.784.1813 Â | Â p: 780.465.9645Â  | Â c: 780.902.0720
tim.clark@cts-industries.com Â | Â cts-industries.com
From: Amin Esmaeili &lt;Amin.Esmaeili@mnp.ca&gt;
Sent: January 19, 2021 3:42 PM
To: Tim Clark &lt;Tim.Clark@cts-industries.com&gt;; Support - MNP IT Managed Services &lt;support@mnptechnology.ca&gt;
Subject: RE: Adobe licence
Hi Tim, Â  I had a quick look and see Adobe Acrobat Pro DC on your account is up for renewal. Let us have a check and weâ€™ll let you know what the next steps are. Â  @Support - Hi team, can you
This sender is trusted.
sophospsmartbannerend
Hi Tim,
I had a quick look and see Adobe Acrobat Pro DC on your account is up for renewal.
Let us have a check and weâ€™ll let you know what the next steps are.
@Support -Hi team, can you please review CTS Adobe licenses and share next steps with Tim?
Thank you,
Amin Esmaeili
Client Experience Manager
PH.Â +1 4036864357 Ext 415
310 - 4000 4 St SE
Calgary, AB
T2G2W3
Amin.Esmaeili@mnp.ca
mnp.ca
[image]
[image]
From: Tim Clark &lt;Tim.Clark@cts-industries.com&gt;
Sent: January 19, 2021 2:47 PM
To: Amin Esmaeili &lt;Amin.Esmaeili@mnp.ca&gt;
Subject: Adobe licence
CAUTION:This email originated from outside of the MNP network. Be cautious of any embedded links and/or attachments.
MISE EN GARDE:Ce courriel ne provient pas du rÃ©seau de MNP. MÃ©fiez-vous des liens ou piÃ¨ces jointes quâ€™il pourrait contenir.
Hi Amin,
I had this come up today. I feel like this is early. Can you please review and advise.
Thank you,
[image]
tim clark Â  Â _director, sales &amp; marketing
d:780.784.1813 Â | Â p: 780.465.9645Â  | Â c: 780.902.0720
tim.clark@cts-industries.com Â | Â cts-industries.com</t>
  </si>
  <si>
    <t>Trouble with Deskdirector for Oarrie (ND-L-3627)</t>
  </si>
  <si>
    <t>### Is this request for something new, or to improve something that already exists?  _x000D_
 New Idea or Request  _x000D_
  _x000D_
### What type of solution is this?  _x000D_
 Other  _x000D_
  _x000D_
### Please estimate how many people would use or directly benefit from this solution._x000D_
Trouble with Deskdirector for Oarrie on ND-L-3627_x000D_
  _x000D_
### How often would you estimate this solution would be used or triggered?  _x000D_
 More than Once per Week  _x000D_
  _x000D_
### In the field below, provide some details. Try to focus on your vision of the end result. Don't worry about getting it all perfect - we're going to call you before we start work.  _x000D_
TIP: If this is for a new dashboard or report, you could sketch up a concept on a napkin, in Paint, or Excel, and attach it to this request.  _x000D_
  _x000D_
### Other Details_x000D_
Oarrie is having trouble with the MNP Client Portal on ND-L-3627.  It looks like he is seeing ALL tickets and he was having trouble with the email token, as follows:
-------------
Request Id: 80eda922-a285-40ad-ad29-cb95dfb0aa00
Correlation Id: db4db1ff-85ba-413b-8eae-c018a1c1a921
Timestamp: 2021-01-21T20:39:12Z
Message: AADSTS7000112: Application 'd27c2c00-aa5e-49a8-8277-bfbd8bf975e1'(DeskDirector) is disabled.
------------
Please reinstall deskdirector or proceed as you see fit to resolve.  Ticket #1350258</t>
  </si>
  <si>
    <t>Cathy Hawryluk - New employee email</t>
  </si>
  <si>
    <t>Can we please have a new email created for Mike Hurst Â mikeh@r3demo.com
Please take the Microsoft office 365 license that we had for Chris Heit and replace with Mike Hurst.
Also can you please then give Mike Hurst access to Estimating and Projects folders on the Shared S Drive:
Thanks
Cathy Hawryluk
R3 Deconstruction and Demolition Inc.
RELATIONSHIPS â€“ RESULTS â€“ REPUTATION
#100-18215 114 Avenue NW, Edmonton
PH: 780-453-3326
[R3 Banner]</t>
  </si>
  <si>
    <t>Quote Request - Ideal Insulation - Alicia Archibald - NEW PC</t>
  </si>
  <si>
    <t>### End User Hardware  _x000D_
  _x000D_
### What company is this quote for?_x000D_
Ideal Insulation_x000D_
  _x000D_
### Who made this request and why?_x000D_
Alicia is requesting for a new PC_x000D_
  _x000D_
### Give this request a name_x000D_
Alicia Archibald - NEW PC_x000D_
  _x000D_
### Who should the quote be addressed to?  _x000D_
 Someone else  _x000D_
  _x000D_
### Who should it be addressed to?_x000D_
Trevor Brown, trevorb@idealinsulation.com_x000D_
  _x000D_
### Which location is the product for?_x000D_
Calgary_x000D_
  _x000D_
### Which ND location is it needed at?  _x000D_
 Next Digital Calgary  _x000D_
  _x000D_
### When is it needed by OR when is the next site visit for the client's location?  _x000D_
Thu 28 Jan, 2021  _x000D_
  _x000D_
### Do you need labour quoted?  _x000D_
 No  _x000D_
  _x000D_
### What products do you need on this quote?  _x000D_
 Desktop Computer  _x000D_
  _x000D_
### Desktop Computer  _x000D_
  _x000D_
### Which tier of computer do you want quoted?  _x000D_
 Recommended Tier - i5, 8GB RAM, 256 GB SSD, 3 year warranty  _x000D_
  _x000D_
### Quantity required?_x000D_
1_x000D_
  _x000D_
### Comments_x000D_
Please quote a PC._x000D_
  _x000D_
### Video Adapter(s)  _x000D_
  _x000D_
### Do you need video adapter(s)?  _x000D_
 No  _x000D_
  _x000D_
### What products do you need quoted?_x000D_
Workstation PC</t>
  </si>
  <si>
    <t>Caroline Krivuzoff - Sanderson</t>
  </si>
  <si>
    <t>FW: follow up from install</t>
  </si>
  <si>
    <t>From: Caroline Krivuzoff-Sanderson ckriv@shaw.ca
Sent: January 21, 2021 12:53 PM
To: Kolyn Anderson Kolyn.Anderson@mnp.ca
Subject: follow up from install
Hi Kolyn.
Our office is experiencing some issues since the install, and I will need someone to come in to the office to fix them, soon please. Can we get this arranged today?
For example, suddenly printers arenâ€™t working â€“ either running slow or going offline, computer stations terribly slow, no camera or TV working in op 4, my soundbar disappearing off my computer and the computer speakers picking up instead. The worst situation was yesterday when suddenly we neither had Abeldent or CADI available for a couple of hours which affected our patients and our ability to work.Â  I would like to get it all assessed, up and running so we can rely on our technology.Â  We also still need to move the backup to the back room for security.
Let me know what we need to have running or not at the time, and when Mike or Jeff are available.
Dr. Caroline
[A close up of a device Description generated with high confidence]
Caroline Krivuzoff-Sanderson DMD
General Dentist
6130 67 Street, #270
Red Deer, ABÂ  T4P 3M1
P. [403] 346-0077
E. ckriv@shaw.ca
Drcarolinedentist.com
*Confidential**:Â  This communication is intended only for the individual or institution to which it is addressed and should not be distributed, copied or disclosed to anyone else.Â  The document(s) in this communication may contain personal, confidential, or privileged information, which may be subject to the Freedom of Information and Protection of Privacy Act, the Health Information Act and other legislation.Â  If you have received this communication in error, please notify the sender immediately.Â  Thank you for your cooperation and assistance.*</t>
  </si>
  <si>
    <t>[JIRA] Automation for Jira assigned JLABS-422 to you</t>
  </si>
  <si>
    <t>Automation for Jira assigned this issue to you
Johnson and Johnson Innovation/JLABS-422 List of JLABS Active Ports 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
Automation for Jira assigned this issue to you
Johnson and Johnson Innovation
/Â Â   [image] Â  JLABS-422
 List of JLABS Active Ports 
[image]  Automation for Jira  2:35Â PMÂ EST
Assignee: Unassigned [â†’] Chuck Corvec
View issue
Get Jira notifications on your phone! Download the Jira Cloud app for Android or iOS.
Manage notifications   Â â€¢Â    Give feedback   Â â€¢Â    Privacy policy
[image]
[image]
[image]</t>
  </si>
  <si>
    <t>Cassandra Lundell</t>
  </si>
  <si>
    <t>Outlook delays</t>
  </si>
  <si>
    <t>Hi there:
My outlook has been very slow lately and is showing 11 messages sitting in my outbox, some of which people have responded to. When I switch between my personal inbox and our general email inboxes (YEG and Grants) they are slow to load. This delay starting happening earlier this week. Iâ€™m wondering if someone can help me with this situation.
Thanks.
Cassandra Lundell
Community Grants Manager
[image]
9910 103 ST NW
Edmonton AB Â T5K 2V7
780-426-0015Â  x102
[http://www.bing.com/th?id=AwChYGrkW01o08g110x110&amp;amp;w=110&amp;amp;h=110&amp;amp;c=6&amp;amp;qlt=95&amp;amp;pid=RichNav]Â Â [http://www.bing.com/th?id=A%252bYlgJhNfybf7cw136x110&amp;amp;w=110&amp;amp;h=110&amp;amp;c=6&amp;amp;qlt=95&amp;amp;pid=RichNav]Â Â Â www.ECFoundation.org</t>
  </si>
  <si>
    <t>Edmonton Community Foundation - E3 Nonprofit increase (mailbox size increase)</t>
  </si>
  <si>
    <t>### What company is this quote for?_x000D_
Edmonton Community Foundation_x000D_
  _x000D_
### Is there an existing ticket on another Connectwise board? If so what is the ticket number?_x000D_
1350111_x000D_
  _x000D_
### Add or Remove CSP licenses  _x000D_
 Add licenses  _x000D_
  _x000D_
### March 30, 2020 New Microsoft 365 offerings for small and medium-sized businesses. (https://www.microsoft.com/en-us/microsoft-365/blog/2020/03/30/new-microsoft-365-offerings-small-and-medium-sized-businesses/)  _x000D_
  _x000D_
### What Type of license  _x000D_
 Office 365 E3  _x000D_
  _x000D_
### How many licenses to add/remove?_x000D_
1_x000D_
  _x000D_
### Optional - What users are the licenses for?_x000D_
Martin Garber-Conrad</t>
  </si>
  <si>
    <t>VMWare Renewal - Support Expires 28-MAR-2021</t>
  </si>
  <si>
    <t>### What company is this quote for?_x000D_
KeyMay Industries_x000D_
  _x000D_
### Who should the quote be addressed to?  _x000D_
 The primary contact in Connectwise  _x000D_
  _x000D_
### Which location is the product for?_x000D_
Sherwoofd Park_x000D_
  _x000D_
### Is there an existing ticket on another Connectwise board? If so what is the ticket number?_x000D_
1350252_x000D_
  _x000D_
### Which ND location is it needed at?  _x000D_
 Next Digital Edmonton  _x000D_
  _x000D_
### When is it needed by OR when is the next site visit for the client's location?  _x000D_
Fri 29 Jan, 2021  _x000D_
  _x000D_
### What do you need quoted?_x000D_
Renewal for:
https://ndconnect.nextdigital.ca/v4_6_release/services/system_io/router/openrecord.rails?locale=en_US&amp;recordType=ConfigFV&amp;companyName=nextdigital&amp;recid=867</t>
  </si>
  <si>
    <t>Rafferty Langit</t>
  </si>
  <si>
    <t>Are you able to reset the password for Rafferty.
We need to access his old emails.
Best Regards,
[image]
Tina Fagan | Assistant to Executives | Lexus of Edmonton 
Tel: 780-466-8300 | tfagan@lexusofedmonton.caÂ  |www.lexusofedmonton.ca
[image]
Lexus of Edmonton family member since 2014</t>
  </si>
  <si>
    <t>Riccardo Francese - URGENT: Curtis Allwright Reactivation</t>
  </si>
  <si>
    <t>Please reactivate user
Same access as Brad Barteski
[image]Â Riccardo Francese
Business Process Manager
T:       +1 (780) 400-7487
C:       +1 (587) 990-0176
F:       +1 (780) 417-6496
E:       RFrancese@siterg.com
W:       WWW.SITERG.COM
#170, 120 Pembina Rd., Sherwood Park, AB, T8H 0M2
The information contained in this e-mail may       contain confidential or privileged material and is intended only for the       stated addressee(s). If you are not the valid addressee, the use,       disclosure, copying or distribution of this information is prohibited and       may be unlawful. If you have received this email message in error, please       notify the sender immediately and delete all copies of the message from       your computer. All information within or opinions expressed in this       message and/or any attachments are those of the author and are not       necessarily those of the Centurion Group.</t>
  </si>
  <si>
    <t>Colin Gnyp - New profile for new employee,  Martin Waidhofer</t>
  </si>
  <si>
    <t>Hello,
Do we have any open Microsoft Exchange accounts?Â  Could you send me a list of employee names currently using an account?
I have a new employee that requires an Outlook account.Â  This employee works in the field and will not need a workstation account at this time.Â  Purely mobile.
Please advise
Thank you
[image]
Colin Gnyp
Vice President
O: 403 723 3385
C: 403 988 5560
coling@idealinsulation.com
[image]
ATTICS â€¢ ROOFING â€¢SPRAY FOAM â€¢WALLS
[image]
[image]
[image]
[image]
[image]
[image]</t>
  </si>
  <si>
    <t>Natalie Sterz</t>
  </si>
  <si>
    <t>Natalie Sterz - Can't open document with Corel WordPerfect X8</t>
  </si>
  <si>
    <t>Good morning!
I can't open documents with Corel WordPerfect X8 anymore.
Natalie Sterz
Receptionist
Durocher Simpson Koehli &amp; Erler LLP
Old Strathcona Law Offices
7904 Gateway Boulevard
Edmonton, AB T6E 6C3
780-420-6850 (ph)
780-425-9185 (fax)
reception@dursim.com</t>
  </si>
  <si>
    <t>Next Digital - Edmonton Office Shaw Maintenance CHG0302811 - January 27, 2021 12:00 am to 6:00 am</t>
  </si>
  <si>
    <t>6-hour scheduled maintenance next Wednesday morning.
I cannot find documentation for a Shaw Fibre circuit in our Edmonton office.
We should find out what this will affect and send a scheduled outage notification.
From:Shaw Business Change Control ShawBusiness-ChangeControl@sjrb.ca 
Sent: January 6, 2021 2:06 PM
To: Andrew Jackson ajackson@nextdigital.ca; Armand Lowe Armand.Lowe@mnp.ca; dbeharrekk@gotel.ca; James Armitage James.Armitage@mnp.ca; Mike Agu Mike.Agu@mnp.ca; Sean Dunbar Sean.Dunbar@mnp.ca
Subject: Shaw Business Network Maintenance CHG0302811 - January 27, 2021 12:00 am
Importance: High
CAUTION:This email originated from outside of the MNP network. Be cautious of any embedded links and/or attachments.
MISE EN GARDE:Ce courriel ne provient pas du rÃ©seau de MNP. MÃ©fiez-vous des liens ou piÃ¨ces jointes quâ€™il pourrait contenir.
Shaw)Â Business
Maintenance Advisory Details
This notice is to inform you of maintenance being performed to our network which will affect your service(s) for the impact duration noted below within the planned maintenance time. Site access is not required unless specified. Planned upgrade and maintenance to our Network helps prevent unexpected outages and provides the best in class service for our customers at no additional cost. Every effort will be taken to minimize service interruptions and we apologize for any inconvenience.
Ticket Number:
CHG0302811 - Planned
Event Description:
Forced Fibre Relocation
Planned Start Date:
January 27, 2021 12:00 am (Mountain Time)
Planned End Date:
January 27, 2021 06:00 am (Mountain Time)
Impact Duration:
Outage Up to 6 Hours
Customer Name:
Next Digital Inc
BPSO
Circuit
10496
26275EDED
A:14505 114 Ave, Edmonton, Alberta
Z:14505 114 Ave, Edmonton, Alberta
Please do not reply to this email. If your service remains impacted upon the conclusion of the planned maintenance, please contact our Network Operations Centre (NOC) using the following methods:
Shaw Business NOC: 1-866-244-7475 
For any technical or after hour inquiries noc@shawbusiness.ca
Account inquiries or updates shawbusiness-enterprisesupport@sjrb.ca
This message is sent to you by Shaw Telecom G.P. which carries on business as
Shaw Business Our national address is 3636 23 Avenue NE, Calgary, Alberta, T2E 8Z5
Privacy Policy | Terms Of Use
Â© 2020 Shaw Communications Inc. All Rights Reserved.
This message is confidential and may contain privileged information. We ask that you not use or disclose this message other than with our consent. If you are not an intended recipient, please immediately notify us and delete this message. Thank-you.</t>
  </si>
  <si>
    <t>Dan Lessard</t>
  </si>
  <si>
    <t>Dan Lessard - User at risk detected</t>
  </si>
  <si>
    <t>See your report.Â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[Microsoft Azure]
--- ---
---
User at risk detected
We detected a new user with at least high risk in your Igloo Building Supplies Group directory. This might be because we noticed suspicious account activity or we found their emails and passwords posted in a public location.
--- ---
--- 
View detailed report &gt;
--- ---
---
[Facebook][Twitter][YouTube][LinkedIn]
--- ---
--- 
Privacy Statement
Microsoft Corporation, One Microsoft Way, Redmond, WA 98052
[Microsoft]
--- ---
---
[image]</t>
  </si>
  <si>
    <t>Robert Watson</t>
  </si>
  <si>
    <t>Microphone and Printer</t>
  </si>
  <si>
    <t>Good morning ,
I require a microphone for my computer and also our printer from behind our advisors relocated .
Please see me for more details.
Best Regards
[image]
Robert Watson | Service Manager | Lexus of Edmonton 
Tel: 780-466-8300 | rwatson@lexusofedmonton.ca Â |www.lexusofedmonton.ca
[cid:image003.png@01D41864.15A50700]
Lexus of Edmonton family member since 2002</t>
  </si>
  <si>
    <t>FW: Purpose of Safety Googles</t>
  </si>
  <si>
    <t>Hi there,
Please note that the following staff have been granted access to the agency leaders folders:
Brenda Kotylak
Leanna Andrews
Courtney Cox
Here is the link:
N:\Leaders\Agency Leaders
Call me if you have any questions. 780-886-8787
Thanks
M.LuizaCoelho e4c
Senior Manager
mlcoelho@e4calberta.org
T780.424.7543 ext 132
9321 Jasper Avenue, Edmonton AB T5H 3T7
e4calberta.org
[image]
This message is intended for the use of the individual or entity to which it is addressed and may contain information that is privileged and confidential. If you are not the intended recipient or the employee responsible for delivery of the message to the intended recipient, please be advised that any dissemination, distribution or copying of this message is strictly prohibited. If you have received this message in error, please notify us immediately by telephone and return the original email to us or destroy this message.
[image]e4c supports environmental conservation - please print wisely.
From: Courtney Cox 
Sent: Thursday, January 21, 2021 9:08 AM
To: M.Luiza Coelho &lt;mlcoelho@e4calberta.org&gt;
Cc: Brenda Kotylak &lt;BKotylak@e4calberta.org&gt;; Kelly Bickford &lt;KBickford@e4calberta.org&gt;; Leanna Andrews &lt;LAndrews@e4calberta.org&gt;
Subject: Re: Purpose of Safety Googles
Hi Luiza,
I also donâ€™t have access to the agency leaders folder.
Thanks !
CourtneyCox, BSc, RD (she/her)e4c
Program Coordinator 
Community &amp; School Based Programs
CCox@e4calberta.org
C
780-699-1024
Edmonton AB T5H 3T7
e4calberta.org
[image]
This message is intended for the use of the individual or entity to which it is addressed and may contain information that is privileged and confidential. If you are not the intended recipient or the employee responsible for delivery of the message to the intended recipient, please be advised that any dissemination, distribution or copying of this message is strictly prohibited. If you have received this message in error, please notify us immediately by telephone and return the original email to us or destroy this message.
[image]e4c supports environmental conservation - please print wisely.
On Jan 21, 2021, at 9:00 AM, M.Luiza Coelho &lt;mlcoelho@e4calberta.org&gt; wrote:
Will rectify that.
Will make the request to IT.
Thanks for letting me know.
M.LuizaCoelho e4c
Senior Manager
mlcoelho@e4calberta.org
T
780.424.7543 ext 132
9321 Jasper Avenue, Edmonton AB T5H 3T7
e4calberta.org
[image]
This message is intended for the use of the individual or entity to which it is addressed and may contain information that is privileged and confidential. If you are not the intended recipient or the employee responsible for delivery of the message to the intended recipient, please be advised that any dissemination, distribution or copying of this message is strictly prohibited. If you have received this message in error, please notify us immediately by telephone and return the original email to us or destroy this message.
[image]e4c supports environmental conservation - please print wisely.
From: Brenda Kotylak 
Sent: Thursday, January 21, 2021 8:59 AM
To: M.Luiza Coelho &lt;mlcoelho@e4calberta.org&gt;; Kelly Bickford &lt;KBickford@e4calberta.org&gt;
Cc: Courtney Cox &lt;CCox@e4calberta.org&gt;; Leanna Andrews &lt;LAndrews@e4calberta.org&gt;
Subject: RE: Purpose of Safety Googles
Hi Luzia,
I donâ€™t have access to Agency Leaders folder.
Thank you for the information.
Brenda
BrendaKotylak e4c
Program Coordinator 
School Based Programs
BKotylak@e4calberta.org
T
780-722-4037
C
780-722-4037
9321 Jasper Avenue, Edmonton AB T5H 3T7
e4calberta.org
&lt;image001.png&gt;
This message is intended for the use of the individual or entity to which it is addressed and may contain information that is privileged and confidential. If you are not the intended recipient or the employee responsible for delivery of the message to the intended recipient, please be advised that any dissemination, distribution or copying of this message is strictly prohibited. If you have received this message in er...</t>
  </si>
  <si>
    <t>All-Ways Mechanical Ltd. - Adobe License</t>
  </si>
  <si>
    <t>From: Adobe &lt;message@adobe.com&gt; 
Sent: Wednesday, January 20, 2021 2:30 PM
To: SALES@NEXTDIGITAL.CA
Subject: Your additional license request has been received
CAUTION:This email originated from outside of the MNP network. Be cautious of any embedded links and/or attachments.
MISE EN GARDE:Ce courriel ne provient pas du rÃ©seau de MNP. MÃ©fiez-vous des liens ou piÃ¨ces jointes quâ€™il pourrait contenir.
All-Ways Mechanical Ltd. has added 1 license(s) to their Adobe account. Â â€ŒÂ â€ŒÂ â€ŒÂ â€ŒÂ â€ŒÂ â€ŒÂ â€ŒÂ â€ŒÂ â€ŒÂ â€ŒÂ â€ŒÂ â€ŒÂ â€ŒÂ Â â€ŒÂ â€ŒÂ â€ŒÂ â€ŒÂ â€ŒÂ â€ŒÂ â€ŒÂ â€ŒÂ â€ŒÂ â€ŒÂ â€ŒÂ â€ŒÂ â€ŒÂ Â â€ŒÂ â€ŒÂ â€ŒÂ â€ŒÂ â€ŒÂ â€ŒÂ â€ŒÂ â€ŒÂ â€ŒÂ â€ŒÂ â€ŒÂ â€ŒÂ â€ŒÂ Â â€ŒÂ â€ŒÂ â€ŒÂ â€ŒÂ â€ŒÂ â€ŒÂ â€ŒÂ â€ŒÂ â€ŒÂ â€ŒÂ â€ŒÂ â€ŒÂ â€Œ
[Image removed by sender. Adobe]
Dustin, your additional license request has been received.
All-Ways Mechanical Ltd. has added 1 license(s) to their Adobe account.
Order details
Customer VIP number:E5E6E9EBC0DCC4BF902A
PO number: C01A19A09C65BCCF520A
Number of licenses authorized for purchase: 1
Date of purchase authorization: 20-January-2021 PST
Duration: 2 month(s)
Anniversary Date: 22-March-2021 PDT
PLAN
NAMED-USER LICENSES
Acrobat Pro DC
1
Manage Your Account | Customer Support | Terms of Use
Adobe and the Adobe logo are either registered trademarks or trademarks of Adobe in the United States and/or other countries. All other trademarks are the property of their respective owners.
Adobe, 345 Park Ave., San Jose, CA 95110 USA
[Image removed by sender.]</t>
  </si>
  <si>
    <t>David Posluns</t>
  </si>
  <si>
    <t>Slow computers</t>
  </si>
  <si>
    <t>Jorge Bustamante
Team Lead, Support Specialist
PH.Â +1 7804246398
14505 114th Avenue NW
Edmonton,       AB
T5M2Y8
Jorge.Bustamante@mnp.ca
mnp.ca [image]
[image]
From: Asem Eldib &lt;Asem.Eldib@mnp.ca&gt;
Sent: January 21, 2021 9:05 AM
To: Jorge Bustamante &lt;Jorge.Bustamante@mnp.ca&gt;
Subject: FW: Microsoft licenses
FYI
Asem Eldib
Manager, Operations 
MNP
PH. (416) 462-4200
300 - 340 King St. E
Toronto, ON
M5A 1K8
asem.eldib@mnp.ca
mnp.ca
From: David Posluns &lt;dposluns@cedarpt.com&gt;
Sent: Wednesday, January 20, 2021 3:19 PM
To: Asem Eldib &lt;Asem.Eldib@mnp.ca&gt;
Cc: Arek Cetes &lt;Arek.Cetes@mnp.ca&gt;
Subject: RE: Microsoft licenses
CAUTION:This email originated from outside of the MNP network. Be cautious of any embedded links and/or attachments.
MISE EN GARDE:Ce courriel ne provient pas du rÃ©seau de MNP. MÃ©fiez-vous des liens ou piÃ¨ces jointes quâ€™il pourrait contenir.
Hi Asem:
Speaking of MS, my Outlook on my home PC keeps freezing with the little blue circle. It is very annoying. I have rebooted many times but the service level is intolerable. I do not encounter that problem on my Laptop. Would you be able to run a session and check out my home system? I also need you to run a Â Â session on my office PCÂ  (I will be there tomorrow) because it takes 5 minutes to reboot, and I usually have to restart it twice to get it operating properly. Something isnâ€™t right.
Let me know if you can help.
Thanks,
David</t>
  </si>
  <si>
    <t>Joanne Chaloner - New Hard Drive and RAM for X-2393</t>
  </si>
  <si>
    <t>### Summary of Issue_x000D_
New Hard Drive and RAM for X-2393_x000D_
  _x000D_
### Details of Issue_x000D_
I am leaving Laptop X-2393 in our server room.  It needs a new Hard drive (we have some SSD HHD's on the shelf.  It also needs a RAM upgrade - this was ordered on quote AAAQ1988601, Service Ticket #1340513.  At the next site visit please work on this upgrade, and advise Joey when done.  Thanks!_x000D_
  _x000D_
### Have you opened a ticket about this issue before?  _x000D_
 No  _x000D_
  _x000D_
### How many users are impacted by this issue?  _x000D_
 One  _x000D_
  _x000D_
### How would you classify this issue?  _x000D_
 Other</t>
  </si>
  <si>
    <t>ANNELIESE FRIS - Quote - 2 production workstations - Edmonton studio</t>
  </si>
  <si>
    <t>### Summary of Issue_x000D_
Quote - 2 production workstations - Edmonton studio_x000D_
  _x000D_
### Details of Issue_x000D_
Please provide a quote for two new workstations_x000D_
  _x000D_
### Have you opened a ticket about this issue before?  _x000D_
 No  _x000D_
  _x000D_
### How many users are impacted by this issue?  _x000D_
 Some  _x000D_
  _x000D_
### How would you classify this issue?  _x000D_
 Other</t>
  </si>
  <si>
    <t>Computer exceptionally slow</t>
  </si>
  <si>
    <t>HI there,
Wondering if someone could check into my computer as it has started slowing down over the past week and at times is exceptionally slow and impeding work. I am best available between 12noon and 2pm today. 403-700-4260.
Thanks.
Susan
[image]
Susan Herman
Pronouns: (she/her)
Director, Strong Families in Community
T: 403.205.5248 | E: susanh@caryacalgary.ca||F: 403.205.5281
180, 839 5 Ave SW | Calgary, AB | T2P 3C8
[image]Â [image][instagram-1675670]Â [image]
carya (formerly Calgary Family Services)
Stay up to date with the latest carya news, programs, and events by signing up for ourmonthly newsletter.
In the spirit of our efforts to promote reconciliation, we acknowledge the traditional territories and oral practices of the Blackfoot, the Tsuut'ina, the Stoney Nakoda First Nations, the MÃ©tis Nation Region 3, and all people who make their homes in the Treaty 7 region of Southern Alberta. We also respectfully acknowledge that the province of Alberta is comprised of Treaty 6, Treaty 7, and Treaty 8 territory, the traditional lands of First Nations and MÃ©tis peoples.
No form of electronic communication is secure and may be intercepted by others. Carya cannot guarantee the receipt of electronic communication nor a timely response. Where communication is confidential or time sensitive we recommend you call 403-269-9888 during business hours (Monday-Friday, 8:30am-4:30pm). For immediate crisis response please contact the Distress Centre Crisis Line at 403-266-HELP (4537) and in case of an emergency dial 911.
This e-mail is intended solely for the person or entity to which it is addressed and may contain confidential and/or privileged information. Any review, dissemination, copying, printing, forwarding or other use of this e-mail by persons or entities other than the addressee is prohibited. If you have received this e-mail in error, please contact the sender immediately and delete the material from your computer.</t>
  </si>
  <si>
    <t>Chuck Corvec</t>
  </si>
  <si>
    <t>Chuck Corvec - IT Glue opening folder rather than specific file</t>
  </si>
  <si>
    <t>### Summary of Issue_x000D_
IT Glue opening folder rather than specific file_x000D_
  _x000D_
### Details of Issue_x000D_
I have only noticed this if the file I am trying to open is a pdf file. Specifically this happens a lot when lokking for info for Igloo. I'll give an example. If I am on Igloo's page and I search for Adobe. A number of results will pop up. Two of them are pdf files. If I click on one of them, rather than opening the file it takes me to the folder where the file is. If it is a large list I have to search again to find it_x000D_
  _x000D_
### Have you opened a ticket about this issue before?  _x000D_
 No  _x000D_
  _x000D_
### How many users are impacted by this issue?  _x000D_
 Everyone  _x000D_
  _x000D_
### How would you classify this issue?  _x000D_
 Minor Inconvenience  _x000D_
  _x000D_
### If your callback number is different than what's on record, please provide it below._x000D_
308</t>
  </si>
  <si>
    <t>Yoong Tan - ACSA VPN not logging in</t>
  </si>
  <si>
    <t>Good morning MNP,
Im having some issues logging into my VPN.
Can you please call me at 780-885-2287?
Thanks,
YOONG TANÂ NCSO, CAPM | Course Development Production Coordinator
Alberta Construction Safety Association
225 Parsons Road SW |Â Edmonton ABÂ |Â T6X 0W6
TÂ 780.453.3311 xt 1775 |Â FÂ 780.455.1120 |Â TFÂ 1.800.661.ACSA (2272)
[yourACSA url]
[ACSA social media icon]Â [image][image][image][image]
[image]</t>
  </si>
  <si>
    <t>NC-MF-CS01 snapshots</t>
  </si>
  <si>
    <t>New alert was generated at Wed Jan 20 18:19:58 MST 2021:
Info:NC-MF-CS01Â VirtualMachineÂ is acting abnormally since Wed Jan 20 18:19:58 MST 2021 and was last updated at Wed Jan 20 18:19:58 MST 2021
Alert Definition Name: Virtual machine is running on snapshots for more than 2 days
Alert Definition Description: Virtual machine has large disk snapshots that are consuming disk space
Object Name : NC-MF-CS01
Object Type : VirtualMachine
Alert Impact: risk
Alert State : warning
Alert Type : Virtualization/Hypervisor
Alert Sub-Type : Configuration
Object Health State: info
Object Risk State: warning
Object Efficiency State: info
Control State: Open
Symptoms:
SYMPTOM SET - self
Symptom NameObject NameObject IDMetricMessage InfoVirtual machine has disk snapshots for a long timeNC-MF-CS015481607f-6933-4006-aca6-2607e6d226772.0... &gt;= 2.0
Virtual machine has a snapshot sized more than 1 GBNC-MF-CS015481607f-6933-4006-aca6-2607e6d22677Disk Space|Snapshot Space2.812 &gt; 1.0
Recommendations: 
- If the virtual machine has multiple snapshots, delete the older snapshots
- Do not use a snapshot for more than 24-72 hours.
The snapshot file continues to grow in size when it is retained for a longer period. This can cause the snapshot storage location to run out of space and impact the system performance. 
Refer to the following KB Article:
Best practices for using snapshots in the vSphere environment https://kb.vmware.com/kb/1025279
Notification Rule Name: Virtual machine is running on snapshots for more than 2 days
Notification Rule Description: 
Alert ID : 9aa276de-aee3-4354-a4a0-434622659420
VCOps Server - vRealizeClusterNode
Alert details
[image]</t>
  </si>
  <si>
    <t>Anastasiya Horan</t>
  </si>
  <si>
    <t>Richard Ignacz - Durocher - Printing/Copitrak</t>
  </si>
  <si>
    <t>### Summary of Issue_x000D_
Durocher - Printing/Copitrak_x000D_
  _x000D_
### Details of Issue_x000D_
This issue was emailed in from Linette. I (Richard) recently installed new network equipment but everything worked for the morning until 11:30 after I changed the equipment. So not sure its realted to the equipment change. 
Everyone in our office is having issues, all us staff and the lawyers here as well, with not being able to print to either Xerox machine, and I note that I keep getting pop up messages on my computer that Microsoft outlook and Word has stopped working, or ts_ has stopped working (something to do with printing), now copitrak has stopped coming up for print jobs, and Iâ€™ve told everyone to restart the Cloud, Iâ€™ve had to restart mine three times now and Iâ€™m still having problems._x000D_
  _x000D_
### Have you opened a ticket about this issue before?  _x000D_
 No  _x000D_
  _x000D_
### How many users are impacted by this issue?  _x000D_
 Everyone  _x000D_
  _x000D_
### How would you classify this issue?  _x000D_
 Unable to Work</t>
  </si>
  <si>
    <t>Michelle Rose - Provide Vanessa Pierce access to M: folders (except Financial Reports)</t>
  </si>
  <si>
    <t>Hi MNP,
As a newly minted manager at MHK, can you please provide Vanessa Pierce with access to the Management (M:) drive and all its folders,with the exception of the Financial Reports folder, which should only be accessible to Jill Repchuk and Jana Lumsden.
Thanks.
Michelle
Michelle Rose       BA
Manager, Communications &amp; Corporate Relations/Human Resources
EÂ Â Â Â Â  mrose@mhkinsurance.com
DÂ Â Â Â  587.525.6047Â 
CÂ Â Â Â  780.983.2976
12316-107 Avenue, Edmonton, AB  T5M 1Z1
www.mhkinsurance.com
[image]
[image]
We're here to help with your insurance needs. Emails       and phone calls are still encouraged. Appointments are required for       in-office broker meetings. Please wear a mask when       visiting.
MHK welcomes       e-Transfer payments to banking@mhkinsurance.â€‰com.
If you       receive this email in error, please notify us by reply email and destroy       this message. MHK complies with Canada's Anti-Spam and Alberta's PIPA       Legislations. If you no longer wish to receive emails from MHK, please       reply with 'Unsubscribe' in the subject   line.</t>
  </si>
  <si>
    <t>Jessica Foyle - New email</t>
  </si>
  <si>
    <t>Can we get an new email made. Basic license. 
Payroll@pulseveterinary.ca
Password: Winter2021 
Thank you, 
Sent from my iPhone</t>
  </si>
  <si>
    <t>Soderquist Appraisals Ltd.</t>
  </si>
  <si>
    <t>Shyllo Kofoed</t>
  </si>
  <si>
    <t>Shyllo Kofoed - RDP issues</t>
  </si>
  <si>
    <t>Please assign to me.
Jeff Meadows
Field Services Technician
PH.Â 587.273.5062
4922 - 53 St.
Red Deer,       AB
T4N2E9
Jeff.Meadows@mnp.ca
mnp.ca [image]
[image]
From: Shyllo Kofoed &lt;shyllo@tempusrealestate.com&gt; 
Sent: Wednesday, January 20, 2021 9:53 AM
To: Jeff Meadows &lt;Jeff.Meadows@mnp.ca&gt;
Cc: Gregory Larsen &lt;greg@tempusrealestate.com&gt;
Subject: RDP issues
CAUTION:This email originated from outside of the MNP network. Be cautious of any embedded links and/or attachments.
MISE EN GARDE:Ce courriel ne provient pas du rÃ©seau de MNP. MÃ©fiez-vous des liens ou piÃ¨ces jointes quâ€™il pourrait contenir.
Jeff,
Per our conversation yesterday, I was unable to log into my work computer last night.
Yesterday I left work at 630 and â€œrestartedâ€ my work PC. I always restart when I leave.
At 730, at home, I was unable to log in. Multiple attempts. The VPN worked (always does); the RDP did not.
This morning, my work PC was powered up and at the log in screen once I moved my mouse.
Shyllo</t>
  </si>
  <si>
    <t>Candor Investments</t>
  </si>
  <si>
    <t>Rhonda Weston</t>
  </si>
  <si>
    <t>problems with path in new computer</t>
  </si>
  <si>
    <t>Hi there,
I had a new computer set up last week.
Now I am having a problem when I try to use my Profile tax software - it doesn't like the path - I think it doesn't like the name of the user - we have it as Rhonda.Weston and it doesn't know how to recognize the dot in the name.Â  Is it possible to change this user name at this point?
Thanks
-- 
Rhonda Weston
Controller
Candor Investments Ltd.
403-605-9337</t>
  </si>
  <si>
    <t>Vicki Quintero - Microsoft Office Product Key</t>
  </si>
  <si>
    <t>### Summary of Issue_x000D_
SSA Cloud &amp; microsoft product key_x000D_
  _x000D_
### Details of Issue_x000D_
The SSA cloud keeps disconnecting it happens quite frequently and randomly, interent as far as I know is not the issue as chrome still works. I also need a product key for the microsoft office. Thank you in advance_x000D_
  _x000D_
### Have you opened a ticket about this issue before?  _x000D_
 No  _x000D_
  _x000D_
### How many users are impacted by this issue?  _x000D_
 One  _x000D_
  _x000D_
### How would you classify this issue?  _x000D_
 Minor Inconvenience</t>
  </si>
  <si>
    <t>Brandi Gordon</t>
  </si>
  <si>
    <t>Unable to access Citrix</t>
  </si>
  <si>
    <t>Good afternoon, 
Citrix wouldnâ€™t connect and now I am unable to access it. Could someone please look into this?
Thanks!
Sent from my iPhone</t>
  </si>
  <si>
    <t>Shelley Peebles</t>
  </si>
  <si>
    <t>ticket 1347681</t>
  </si>
  <si>
    <t>Original email sent to Zach. Could Dan Shaw call me please at 780 422 1569. The issue is on my laptop.
Thanks,
Shelley Peebles
Sent from Mail for Windows 10</t>
  </si>
  <si>
    <t>Jana Lumsden - Missing Emails from &lt;bekstrom@keabray.ca&gt;</t>
  </si>
  <si>
    <t>Hi there
I appear to be missing recent customer emails sent to me by Braydon Ekstrom &lt;bekstrom@keabray.ca&gt; and need some help to figure out where they are going and how to direct them to my inbox. I have checked my spam filter and canâ€™t locate them.
One was today at 10:03am â€“ This was the second time I noticed an email was missing. Jennifer Bagu of our office received the same email just fine and I received Weston Ekstromâ€™s email of the same office shortly afterwards.
The first missing email I noticed missing wasWednesday, December 30, 2020 12:54 PM and I thought it was just a strange one-off occurrence. Harpreet forwarded this second email string to me.
If you could please look into this as soon as possible. Iâ€™ve advised our customer that Iâ€™m not receiving emails from him directly for the time being.
Thank you
Alanna
Alanna Rast       CAIB, CIP
Manager, Commercial Lines/Executives
EÂ Â Â Â Â  arast@mhkinsurance.com
DÂ Â Â Â  587.525.6001Â 
CÂ Â Â Â  780.940.2131
12316-107 Avenue, Edmonton, AB  T5M 1Z1
www.mhkinsurance.com
[image]
[image]
We're here to help with your insurance needs. Emails       and phone calls are still encouraged. Appointments are required for       in-office broker meetings. Please wear a mask when       visiting.
MHK welcomes       e-Transfer payments to banking@mhkinsurance.â€‰com.
If you       receive this email in error, please notify us by reply email and destroy       this message. MHK complies with Canada's Anti-Spam and Alberta's PIPA       Legislations. If you no longer wish to receive emails from MHK, please       reply with 'Unsubscribe' in the subject   line.</t>
  </si>
  <si>
    <t>FW: Newforma Workflow Connector for Procore  Enhancement Update</t>
  </si>
  <si>
    <t>Please provide a quote to complete Newforma upgrades for Project Center Server and Project Centre Client as noted in the email below.Â  The â€˜full release notesâ€™ link should provide all necessary info.
Thanks!
-jg
Jon Gulayets, Associate
Group2
Architecture Interior Design Ltd.
200, 4706 Â 48th Â Avenue Red Deer AB T4N 6J4
T +1Â 403 340 2200 x 422
C +1 403 872 7422
group2.ca
From: Aaron Kivett &lt;akivett@newforma.com&gt;
Sent: January 8, 2021 11:00 AM
To: Jon Gulayets &lt;Jon.Gulayets@group2.ca&gt;
Subject: Newforma Workflow Connector for Procore â€” Enhancement Update
[Image]
Happy New Year! Iâ€™m pleased to announce that Newforma has released Newforma Project Center 12.4.5 with several enhancements for our customers utilizing the Workflow Connector for Procore. To get these enhancements, you will need to upgrade Newforma Project Center Server and Newform Project Center clients. Thank you for allowing Newforma to help deliver your projects, and Iâ€™m looking forward to a great 2021. Iâ€™ve attached the full release notes and included the highlights below:
â€¢ Weâ€™ve removed the requirement for â€œActionâ€ in Submittal and â€œPurposeâ€ and â€œTypeâ€ fields when Pending items are created â€“ this means that youâ€™re no longer required to add default values into these Keyword lists for the Connector to function.
â€¢ Streamlined Respond and Close process â€“ weâ€™ve simplified sending files to recipients that arenâ€™t in Procore when an item is responded to. All recipients will now receive a notification the item was closed with a link to download attachments. Additionally, the responses and files are now available on Info Exchange.
â€¢ Remove requirement for Sender ID to be unique in the API â€“ we found that Procore does not enforce uniqueness. Weâ€™ll now allow duplicate Sender IDs on items sent through the Connector (note that this was already allowed in the Project Center client).
â€¢ Add new Success/Fail messages into the Change Log â€“ This new feature will give end-users visibility to the success or failure of delivering a Submittal or RFI to Procore directly within Newforma Project Center.
THANK YOU
[image]
Aaron Kivett
Director of Partnerships
Newforma
Newforma 1750 Elm Street, Manchester, NH, 03104, USA
Unsubscribe | View Online
[image]</t>
  </si>
  <si>
    <t>Angeli Alipio - New user request :: Barry Taylor</t>
  </si>
  <si>
    <t>### Summary of Issue_x000D_
Carya - Rachel - New user request :: Barry Taylor_x000D_
  _x000D_
### Details of Issue_x000D_
Rachel is requesting for Barry to have access everything of Linda's as he's stepping in for her and doing all the finances while she's away.
Barry doesn't seem to have an account so creating a request, please reach out to Amin as he's aware of this request. User form is probably needed from Rachel.
She's requesting to treat as urgent as Barry will be there tomorrow._x000D_
  _x000D_
### Have you opened a ticket about this issue before?  _x000D_
 No  _x000D_
  _x000D_
### How many users are impacted by this issue?  _x000D_
 One  _x000D_
  _x000D_
### How would you classify this issue?  _x000D_
 Unable to Work</t>
  </si>
  <si>
    <t>Rachel Anand (Inactive)</t>
  </si>
  <si>
    <t>Rachel Anand - Enable user accounts in February</t>
  </si>
  <si>
    <t>### Summary of Issue_x000D_
Carya - Rachel - Enable user accounts in February_x000D_
  _x000D_
### Details of Issue_x000D_
As per Rachel:
We have some of our ELT team on leave. Could you please blocked access to the following:
Linda Tickner â€“ until Feb 22
Leanna Craig â€“ until Feb 1
Carolyn Frew â€“ until Feb 1
These accounts have been disabled on AD, please schedule ticket and enable accounts on the specified dates or night before._x000D_
  _x000D_
### Have you opened a ticket about this issue before?  _x000D_
 No  _x000D_
  _x000D_
### How many users are impacted by this issue?  _x000D_
 One  _x000D_
  _x000D_
### How would you classify this issue?  _x000D_
 Minor Inconvenience</t>
  </si>
  <si>
    <t>Jason Branton - no access to adobe</t>
  </si>
  <si>
    <t>### Summary of Issue_x000D_
no access to adobe_x000D_
  _x000D_
### Details of Issue_x000D_
I cant open pdf files anymore, seems like I need a liscence to open adobe_x000D_
  _x000D_
### Have you opened a ticket about this issue before?  _x000D_
 No  _x000D_
  _x000D_
### How many users are impacted by this issue?  _x000D_
 One  _x000D_
  _x000D_
### How would you classify this issue?  _x000D_
 Work Impacting</t>
  </si>
  <si>
    <t>Poundmaker - E3 for Cultural Advisor</t>
  </si>
  <si>
    <t>### What company is this quote for?_x000D_
Poundmaker_x000D_
  _x000D_
### Is there an existing ticket on another Connectwise board? If so what is the ticket number?_x000D_
1349652_x000D_
  _x000D_
### Add or Remove CSP licenses  _x000D_
 Add licenses  _x000D_
  _x000D_
### March 30, 2020 New Microsoft 365 offerings for small and medium-sized businesses. (https://www.microsoft.com/en-us/microsoft-365/blog/2020/03/30/new-microsoft-365-offerings-small-and-medium-sized-businesses/)  _x000D_
  _x000D_
### What Type of license  _x000D_
 Office 365 E3  _x000D_
  _x000D_
### How many licenses to add/remove?_x000D_
1_x000D_
  _x000D_
### Optional - What users are the licenses for?_x000D_
Cultural Advisor</t>
  </si>
  <si>
    <t>Lifestyles financial</t>
  </si>
  <si>
    <t>Good Morning.
This is JJ here with Lifestyles financial. I am having an issue with my computer the last two weeks. It will all of a sudden shut down with no warning. When it does the surge protector/ backup battery will beep as it turns off. I am able to turn the com back on no issues within a couple minutes but I have lost a couple small emails when its happened. I was hoping we could open a ticket and you could advise me how to proceed
Thank you
J.J. McLeodÂ Â Â Â jj@lfservices.ca
Lifestyles Financial services
Toll Free 1-866-967-4760
FaxÂ Â Â Â Â Â Â Â Â 1-866-967-2781</t>
  </si>
  <si>
    <t>SITE Resources - 4-5 cable runs in back garage area</t>
  </si>
  <si>
    <t>We did some office moves here â€“ I am wondering if you can come by and do some cable runs, etcâ€¦
This would be T&amp;M work
Riccardo Francese</t>
  </si>
  <si>
    <t>ATTENTION: Sean Dunbar - any idea why next digital is listed as owner on this and other files?</t>
  </si>
  <si>
    <t>[image]
Karen GingrasÂ Â 
Director of Neighbourhood DevelopmentÂ Â 
Edmonton Community Development CompanyÂ Â 
Phone: 780.306.4456 (ext. 2)
The Edmonton CDC is transforming 10 derelict properties into neighbourhood assets:Â 
Learn more about ourÂ Project 10Â initiative on our website!
[image][image][image][image]</t>
  </si>
  <si>
    <t>FW: Plant OPerations Drive</t>
  </si>
  <si>
    <t>Hello David
Elliot and myself are missing the new â€œPlant Operationsâ€ drive/folder you created.Â  Iâ€™ve run the login script from my desktop but it didnâ€™t map the new drive..Â  Eliot will re-boot his desktop over lunch, but appreciate if you can investigate and advise
Thanks
Gilles
From:Lambert, Jennifer &lt;Jennifer.Lambert@BAYMAG.COM&gt; 
Sent: Wednesday, January 20, 2021 10:42 AM
To: Lafond, Gilles &lt;Gilles.Lafond@BAYMAG.COM&gt;
Subject: Plant OPerations Drive
Hello Gilles,
I think it is you that I askâ€¦â€¦. Can Elliott get access to the Plant Operations drive, so that he and I are able to look at the parts documents he is creating.
Any questions let me or Elliott know.
Thank you,
Jenn Lambert
Purchasing Agent
Baymag Inc.
Plantsite Operations
Exshaw, Alberta
Canada
P- 403.673.3790 ext.237
F- 403.673.3825
jennifer.lambert@baymag.com
Phone: 403-673-3790 ext. 237</t>
  </si>
  <si>
    <t>[JIRA] Automation for Jira mentioned you on JLABS-416</t>
  </si>
  <si>
    <t>Automation for Jira mentioned you on an issue
Johnson and Johnson Innovation/JLABS-416 Port Activation 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
Automation for Jira mentioned you on an issue
Johnson and Johnson Innovation
/Â Â   [image] Â  JLABS-416
 Port Activation 
[image]  Automation for Jira  1:39Â PMÂ EST
Hey @James Anderson,
This ticket will breach its Time to Resolution SLA in 60 minutes. You should action or reassign it as soon as possible.
NOTE: If it reaches 15 mins to Time to Resolution SLA breach, it will escalate to PagerDuty and notify the on-call team member.
View issue
Get Jira notifications on your phone! Download the Jira Cloud app for Android or iOS.
Manage notifications   Â â€¢Â    Give feedback   Â â€¢Â    Privacy policy
[image]
[image]
[image]</t>
  </si>
  <si>
    <t>FW: Messages quarantined since Jan 18, 2021 08:00 AM for vbridgemanmba@e4calberta.org</t>
  </si>
  <si>
    <t>Hi there,
Can you let me know why Barb still receiving Vivâ€™s email? The email has been removed from Barb account long ago. Any update will be great.
Â 
M.LuizaCoelho e4c
Senior Manager
mlcoelho@e4calberta.org
T780.424.7543 ext 132
9321 Jasper Avenue, Edmonton AB T5H 3T7
e4calberta.org
[image]
This message is intended for the use of the individual or entity to which it is addressed and may contain information that is privileged and confidential. If you are not the intended recipient or the employee responsible for delivery of the message to the intended recipient, please be advised that any dissemination, distribution or copying of this message is strictly prohibited. If you have received this message in error, please notify us immediately by telephone and return the original email to us or destroy this message.
[image]e4c supports environmental conservation - please print wisely.
From: Barb Spencer
Sent: Wednesday, January 20, 2021 11:07 AM
To: M.Luiza Coelho &lt;mlcoelho@e4calberta.org&gt;
Subject: FW: Messages quarantined since Jan 18, 2021 08:00 AM for vbridgemanmba@e4calberta.org
Iâ€™m still getting theseâ€¦.
BarbSpencer e4c
Chief Executive Officer
BSpencer@e4calberta.org
T
780.424.7543 ext 165
9321 Jasper Avenue, Edmonton AB T5H 3T7
e4calberta.org
[image]
This message is intended for the use of the individual or entity to which it is addressed and may contain information that is privileged and confidential. If you are not the intended recipient or the employee responsible for delivery of the message to the intended recipient, please be advised that any dissemination, distribution or copying of this message is strictly prohibited. If you have received this message in error, please notify us immediately by telephone and return the original email to us or destroy this message.
[image]e4c supports environmental conservation - please print wisely.
From:do-not-reply@cloud.sophos.com [mailto:do-not-reply@cloud.sophos.com]
Sent: Tuesday, January 19, 2021 8:00 AM
To: ZZZ Vivianne Bridgeman APR 14 2020 &lt;VBridgemanMBA@e4calberta.org&gt;
Subject: Messages quarantined since Jan 18, 2021 08:00 AM for vbridgemanmba@e4calberta.org
Quarantine Summary
[Sophos]
2Â messagesÂ quarantined sinceJan 18, 2021 08:00 AM for vbridgemanmba@e4calberta.org.Manage quarantined messages
Displaying 2 out of 2 messages.
SUBJECT
FROM
RECEIVED
ACTIONS
Are you looking for funding?
"Mr.Franklin PÃ©rez" &lt;contato@investlf.com.br&gt;
Jan 19, 2021 06:43 AM
ReleaseÂ Â |Â Delete
New Childrenâ€™s Book About Grief
Alexis from CTRI &lt;training@ctrinstitute.com&gt;
Jan 18, 2021 11:12 AM
ReleaseÂ Â |Â Delete
Â© 2013 - 2019 Sophos Limited. All rights reserved.
Sophos.com</t>
  </si>
  <si>
    <t>Dynamics/Leathpath</t>
  </si>
  <si>
    <t>Hi,
1.Â Â Â Â Â Â Can we pull the Microsoft Dyanmics license from Ryan Dejong to Chris McCabe?
2.Â Â Â Â Â Â Can we set up Chris McCabe with Leasepath with the same user permissions as Ryan?
Courtney Holick, CPA, CMA
Chief Financial Officer
[cid:image001.jpg@01D69AED.73FB1610]
14610 Yellowhead Trail NW Edmonton, AB, T5L 3C5
Branch: 780-454-0491Â Â Â Â  Toll Free: 1-800-363-7819Â Â Â Â  Direct: 780-409-3359Â Â Â Â  Cell: 780-916-7296
Email:courtney.holick@calmont.ca
Website:www.calmont.ca
This email, and any files transmitted with it, are confidential and are intended solely for the use of the individual or entity to which they are addressed. Any unauthorized use or disclosure is prohibited. Please notify the sender if you have received this email in error. Thank you for your co-operation.</t>
  </si>
  <si>
    <t>Blue Circle Ins. Install SoftPhone application on Calgary and Edmonton Workstations - Ticket...</t>
  </si>
  <si>
    <t xml:space="preserve">Extended Summary_x000D_
Blue Circle Ins. Install SoftPhone application on Calgary and Edmonton Workstations - Ticket #1346548_x000D_
_x000D_
Description_x000D_
### Is this request for something new, or to improve something that already exists?  _x000D_
 New Idea or Request  _x000D_
  _x000D_
### What type of solution is this?  _x000D_
 Other  _x000D_
  _x000D_
### Please estimate how many people would use or directly benefit from this solution._x000D_
25 Users_x000D_
  _x000D_
### How often would you estimate this solution would be used or triggered?  _x000D_
 One Time  _x000D_
  _x000D_
### Please estimate the time or cost savings this solution provides each user or case._x000D_
Client is switching to Cloud SoftPhone solution.save us install the software manually on every workstation_x000D_
  _x000D_
### In the field below, provide some details. Try to focus on your vision of the end result. Don't worry about getting it all perfect - we're going to call you before we start work.  _x000D_
TIP: If this is for a new dashboard or report, you could sketch up a concept on a napkin, in Paint, or Excel, and attach it to this request.  _x000D_
  _x000D_
### Other Details_x000D_
-Utilise Nextvision installing Bria SoftPhone to be installed on calgary and Edmonton Workstations (Win10)
-Installed Once 
-MSI Installer located under \NC-BCI-BE02\IT$\Bria SoftPhone\Bria_Enterprise_6.3.0_105533.msi 
-No install parameters needed (Default ...Next -Next --)_x000D_
</t>
  </si>
  <si>
    <t>Rooms - New Calendar Accounts</t>
  </si>
  <si>
    <t>Good morning,
We currently have a Zoom meeting room calendar that we no longer need.Â  What we need is a calendar set up for: Board Room Booking | Education Room Booking | Private Dining Room Booking.
Please set up emails for each and make the calendar accessible by all staff.Â  I want to see it the same as the Zoom calendar we have, whereas when they book a meeting they include the Zoom email address and it goes straight into the calendar.
We are already getting requests for room bookings so if you could possibly take care of this today, that would be great.
Thank you
Cheryl Waldo
Senior Executive Assistant
Pilgrims Hospice Society
9808 â€“ 148 Street
Edmonton ABÂ  T5N 3E8
T. 780.413.9801 ext. 240 / T. 587.414.5043 (direct)
*Home of the new Roozen Family Hospice Centre
[image]</t>
  </si>
  <si>
    <t>Ciara Williams - Zoom Audio</t>
  </si>
  <si>
    <t>Please assign to me.
Jeff Meadows
Field Services Technician
PH.Â 587.273.5062
4922 - 53 St.
Red Deer,       AB
T4N2E9
Jeff.Meadows@mnp.ca
mnp.ca [image]
[image]
From: Ciara Williams &lt;cwilliams@schizophrenia.ab.ca&gt; 
Sent: Wednesday, January 20, 2021 8:41 AM
To: Jeff Meadows &lt;Jeff.Meadows@mnp.ca&gt;
Cc: Rubyann Rice &lt;rrice@schizophrenia.ab.ca&gt;; Lily Tomanek &lt;ltomanek@schizophrenia.ab.ca&gt;; Carrie Szasz &lt;CSzasz@schizophrenia.ab.ca&gt;; Greg Amundson &lt;gamundson@schizophrenia.ab.ca&gt;
Subject: RE: Site Visit Check-In
CAUTION:This email originated from outside of the MNP network. Be cautious of any embedded links and/or attachments.
MISE EN GARDE:Ce courriel ne provient pas du rÃ©seau de MNP. MÃ©fiez-vous des liens ou piÃ¨ces jointes quâ€™il pourrait contenir.
Good morning Jeff,
Thank you, I have been having issues with Zoom audio on my laptop, as of last week.
I tried to detect the problem and it said a restart was required, but it did not fix the issue.
Would you be able to assist me with this?
I have included the others in this email, to see if they have any IT issues to report.
Thanks,
Ciara Williams
Schizophrenia Society of Alberta
Administrative/Fund Development Assistant
4809 48 Avenue
Red Deer, AB, T4N 3T2
phone: (403) 986-9440
cell: (403) 896-7556
fax: (403) 986-9442
www.schizophrenia.ab.ca
From: Jeff Meadows &lt;Jeff.Meadows@mnp.ca&gt; 
Sent: Tuesday, January 19, 2021 3:17 PM
To: Ciara Williams &lt;cwilliams@schizophrenia.ab.ca&gt;
Subject: Site Visit Check-In
Hi Ciara,
In lieu of an onsite visit today I wanted to check in with you and see if staff have reported any new issues. If so please let me know and I will make sure they get addressed.
Thanks,
Jeff Meadows
Field Services Technician
PH.Â 587.273.5062
4922 - 53 St.
Red Deer, AB
T4N2E9
Jeff.Meadows@mnp.ca
mnp.ca
[image]
[image]</t>
  </si>
  <si>
    <t>Shauna Berge</t>
  </si>
  <si>
    <t>Adobe Editor</t>
  </si>
  <si>
    <t>Hello,
Can you please assign one of our adobe editor licenses to Shauna (sylvanadmin@nexsourcepower.com)?
Thanks,
[Guylaine Email]</t>
  </si>
  <si>
    <t>Simon Chong</t>
  </si>
  <si>
    <t>Auto Canada - Crosstown Parts Fax Line not working</t>
  </si>
  <si>
    <t xml:space="preserve">Good afternoon Dave,
XTN is having issues with their parts fax line. 7807328300. They are not able to send or receive faxes, and when I try calling that number, it gets a busy tone.  And no dial tone either. 
Is there any setting on the phone system that can prevent the fax not to function?
Simon Chong
Helpdesk Manager
IT Coordinator â€“ FCA/Ford Platform
</t>
  </si>
  <si>
    <t>Leah Saruwatari</t>
  </si>
  <si>
    <t>M.Luiza Coelho - Apple ID foe Leah Saruwatari</t>
  </si>
  <si>
    <t>Hi,
I need an apple ID created for Leah SaruwatariLSaruwatari@e4calberta.org
Let me know when is ready.
Thanks
Â 
M.LuizaCoelho e4c
Senior Manager
mlcoelho@e4calberta.org
T780.424.7543 ext 132
9321 Jasper Avenue, Edmonton AB T5H 3T7
e4calberta.org
[image]
This message is intended for the use of the individual or entity to which it is addressed and may contain information that is privileged and confidential. If you are not the intended recipient or the employee responsible for delivery of the message to the intended recipient, please be advised that any dissemination, distribution or copying of this message is strictly prohibited. If you have received this message in error, please notify us immediately by telephone and return the original email to us or destroy this message.
[image]e4c supports environmental conservation - please print wisely.
From: Paula Stenson 
Sent: Tuesday, January 19, 2021 3:04 PM
To: M.Luiza Coelho &lt;mlcoelho@e4calberta.org&gt;; 'Support - MNP IT Managed Services' &lt;support@mnptechnology.ca&gt;; Mwayi Kanjadza &lt;MKanjadza@e4calberta.org&gt;; &gt;&gt;E4C-Admin &lt;E4C-Admin@e4calberta.internal&gt;
Cc: Catherine Parent &lt;CParent@e4calberta.org&gt;; Connie Olson &lt;COlson@e4calberta.org&gt;; Sabrina Sheaves &lt;SSheaves@e4calberta.org&gt;; Maureen Stewart &lt;MStewart@e4calberta.org&gt;; Leah Saruwatari &lt;LSaruwatari@e4calberta.org&gt;
Subject: RE: Notice of Upcoming Hire - Leah Saruwatari
Good afternoon just curious about the apple ID. Leah has Cori Spryâ€™s old phone and we need to set up and ID for Leah, as the previous one was for Cori.
Leah spoke with Apple today and they were unable to help.
What next steps are we looking at.
Thank you for your support with this.
Cheers, P
PaulaStenson e4c
Complex Case Coordinator 
Youth Housing First Program
Pstenson@e4calberta.org
T
780.424.7543
9321 Jasper Avenue, Edmonton AB T5H 3T7
e4calberta.org
[image]
This message is intended for the use of the individual or entity to which it is addressed and may contain information that is privileged and confidential. If you are not the intended recipient or the employee responsible for delivery of the message to the intended recipient, please be advised that any dissemination, distribution or copying of this message is strictly prohibited. If you have received this message in error, please notify us immediately by telephone and return the original email to us or destroy this message.
[image]e4c supports environmental conservation - please print wisely.
From: Amanda Tam 
Sent: Thursday, January 14, 2021 3:31 PM
To: M.Luiza Coelho &lt;mlcoelho@e4calberta.org&gt;; 'Support - MNP IT Managed Services' &lt;support@mnptechnology.ca&gt;; Mwayi Kanjadza &lt;MKanjadza@e4calberta.org&gt;; &gt;&gt;E4C-Admin &lt;E4C-Admin@e4calberta.internal&gt;
Cc: Catherine Parent &lt;CParent@e4calberta.org&gt;; Connie Olson &lt;COlson@e4calberta.org&gt;; Sabrina Sheaves &lt;SSheaves@e4calberta.org&gt;; Paula Stenson &lt;PStenson@e4calberta.org&gt;; Maureen Stewart &lt;MStewart@e4calberta.org&gt;
Subject: Notice of Upcoming Hire - Leah Saruwatari
Hello,
This email is to notify you of an upcoming employee hire:
Employee Name:Leah Saruwatari Â Â Â 
Department: Youth Housing First
Job Title: Housing Support Worker Â Â Â 
Supervisor: Paula Stenson
Effective Date: January 18, 2021
Distribution List &amp; Action Required
IT
RDS: Request for RDS/Network Access
E-mail: Request for Outlook Account.
E-mail Signature Set-up:
-Â Â Â Â Â Â Â Â Â Name: Leah Saruwatari
-Â Â Â Â Â Â Â Â Â Position: Housing Support Worker
-Â Â Â Â Â Â Â Â Â Program: Youth Housing First Program
Folder Access:
-Â Â Â Â Â Â Â Â Â Please mirror user Bryanna Ewing
-Â Â Â Â Â Â Â Â Â Request for Youth Division&gt;5. Youth Housing First&gt;All Staff
Apple ID Creation: Request for Apple ID.
Cell-phone Access:Request for cell-phone.
Staff Distribution List: All Staff
No Shore-tel access required.
Please send account details to: Paula Stenson (Pstenson@e4calberta.org)
Payroll/Finance
Payroll details will be provided once processed.
Requires Debit/Credit Card (Please mirror Bryanna Ewing).
Reception
Please update existing employee list.
Com...</t>
  </si>
  <si>
    <t>New Position - Veronica Ajisola Transitional Support Worker</t>
  </si>
  <si>
    <t>Hello,
This email is to notify you of an upcoming employee transfer:
Employee Name:Veronica Ajisola Â Â Â 
Department: Youth Housing
Job Title: Transitional Support Worker Â Â Â 
Supervisor: Brandie Hermary
Effective Date: January 27, 2021
Distribution List &amp; Action Required
IT
RDS:Request for RDS/Network Access
E-mail:Request for Outlook Account.
E-mail Signature Set-up:
-Â Â Â Â Â Â Â Name: Veronica Ajisola
-Â Â Â Â Â Â Â Position: Transitional Support Worker
-Â Â Â Â Â Â Â Program: Youth Housing Program
Folder Access:
-Â Â Â Â Â Â Â Please mirror user Gian Reyes
-Â Â Â Â Â Â Â Request for N:\Youth Division\2. YHP Staff\Youth Housing Programs Shared Drive
-
Staff Distribution List:All Staff
No Shore-tel access required.
Please send account details to: Brandie Hermary (bhermary@e4calberta.org)
Payroll/Finance
Payroll details will be provided once processed.
Reception
Please update existing employee list.
Communications
For information only.
Program Manager
For information only.
Facilities Manager
For information only.
If you have any questions or concerns please let me know.
Thank you!
ConnieOlson, RPR, CMP (she/her)e4c
Human Resource Business Partner
COlson@e4calberta.org
T
780.424.7543 ext 269
C
780.913.5662
9321 Jasper Avenue, Edmonton AB T5H 3T7
e4calberta.org
[image]
This message is intended for the use of the individual or entity to which it is addressed and may contain information that is privileged and confidential. If you are not the intended recipient or the employee responsible for delivery of the message to the intended recipient, please be advised that any dissemination, distribution or copying of this message is strictly prohibited. If you have received this message in error, please notify us immediately by telephone and return the original email to us or destroy this message.
[image]e4c supports environmental conservation - please print wisely.
ConnieOlson, RPR, CMP (she/her) e4c
Human Resource Business Partner
COlson@e4calberta.org
T780.424.7543 ext 269
C780.913.5662
9321 Jasper Avenue, Edmonton AB T5H 3T7
e4calberta.org
[image]
This message is intended for the use of the individual or entity to which it is addressed and may contain information that is privileged and confidential. If you are not the intended recipient or the employee responsible for delivery of the message to the intended recipient, please be advised that any dissemination, distribution or copying of this message is strictly prohibited. If you have received this message in error, please notify us immediately by telephone and return the original email to us or destroy this message.
[image]e4c supports environmental conservation - please print wisely.</t>
  </si>
  <si>
    <t>FW: FM Hub email fwd</t>
  </si>
  <si>
    <t>Hi there,
Can you please have the FM Hub email removed from Tanya Tellier and forwarded to Marina Aleeve.
Let me know if you have any questions,
Thanks
M.LuizaCoelho e4c
Senior Manager
mlcoelho@e4calberta.org
T780.424.7543 ext 132
9321 Jasper Avenue, Edmonton AB T5H 3T7
e4calberta.org
[image]
This message is intended for the use of the individual or entity to which it is addressed and may contain information that is privileged and confidential. If you are not the intended recipient or the employee responsible for delivery of the message to the intended recipient, please be advised that any dissemination, distribution or copying of this message is strictly prohibited. If you have received this message in error, please notify us immediately by telephone and return the original email to us or destroy this message.
[image]e4c supports environmental conservation - please print wisely.
From: Tanya Tellier-McCandless 
Sent: Monday, January 18, 2021 6:18 PM
To: M.Luiza Coelho &lt;mlcoelho@e4calberta.org&gt;
Subject: FM Hub email fwd
Hi Luiza,
One more request for our IT â€“ please have our FM Hub email forwarded to Marina Aleeve and remove the forward from my email.
Pretty please and thank you Sis
Tanya
TanyaTellier-McCandlesse4c
Manager â€“ Financial Management Hub
TTellier-McCandless@e4calberta.org
T
780-429-5018 ext 157
10215 97 St., Edmonton AB T5J 0L5
e4calberta.org
[image]
This message is intended for the use of the individual or entity to which it is addressed and may contain information that is privileged and confidential. If you are not the intended recipient or the employee responsible for delivery of the message to the intended recipient, please be advised that any dissemination, distribution or copying of this message is strictly prohibited. If you have received this message in error, please notify us immediately by telephone and return the original email to us or destroy this message.
[image]e4c supports environmental conservation - please print wisely.</t>
  </si>
  <si>
    <t>Access to a network folder</t>
  </si>
  <si>
    <t>Good morning,
Can you please provide Cassandra and myself to the folder listed below:
[image]
Chris Quinn
CFO
9910-103rd Street
Edmonton, AB T5K 2V7
780.426.0015 ext 117
780.970.0056 (cell)
www.ecfoundation.org
Visit ECF on Facebook
or follow us on Twitter!
[Description: Description: imagesCAKE7O7W][http://ec.europa.eu/digital-agenda/futurium/sites/futurium/modules/features/custom/futurium/social-icons/Tw.png]
No Quit, Never Stop!
DISCLAIMER
This communication is intended for the use of the recipient to whom it is addressed, and may contain confidential, personal or privileged information.Â  Please contact us immediately if you are not the intended recipient of this communication, and do not copy, distribute or take action relying on it.Â  Any communication received in error, or subsequent reply should be deleted or destroyed.</t>
  </si>
  <si>
    <t>Jennifer MacLean</t>
  </si>
  <si>
    <t>Jennifer MacLean - Needs to Access the Special Projects\CAFT  Folder</t>
  </si>
  <si>
    <t>He there,
Please note that Jennifer MacLean has been granted access to the following folder:
N:\Special Projects\Carf Accreditation
She should be able to modify and make edits.
Let me know if you have any questions,
Thanks
Â 
M.LuizaCoelho e4c
Senior Manager
mlcoelho@e4calberta.org
T780.424.7543 ext 132
9321 Jasper Avenue, Edmonton AB T5H 3T7
e4calberta.org
[image]
This message is intended for the use of the individual or entity to which it is addressed and may contain information that is privileged and confidential. If you are not the intended recipient or the employee responsible for delivery of the message to the intended recipient, please be advised that any dissemination, distribution or copying of this message is strictly prohibited. If you have received this message in error, please notify us immediately by telephone and return the original email to us or destroy this message.
[image]e4c supports environmental conservation - please print wisely.
From: Sabrina Sheaves 
Sent: Tuesday, January 19, 2021 3:21 PM
To: M.Luiza Coelho &lt;mlcoelho@e4calberta.org&gt;
Cc: Jennifer MacLean &lt;JMacLean@e4calberta.org&gt;
Subject: CARF Folder
Hello
Can we please give Â Jennifer MacLean access to the Carf Folder?
Thank you
SabrinaSheaves, (she/her)e4c
Program Manager 
Youth Services (YHP, YHF, and Safe Spaces)
SSheaves@e4calberta.org
T
780.424.7543 ext. 136
C
780.668.0181
9321 Jasper Avenue, Edmonton AB T5H 3T7
e4calberta.org
[image]
This message is intended for the use of the individual or entity to which it is addressed and may contain information that is privileged and confidential. If you are not the intended recipient or the employee responsible for delivery of the message to the intended recipient, please be advised that any dissemination, distribution or copying of this message is strictly prohibited. If you have received this message in error, please notify us immediately by telephone and return the original email to us or destroy this message.
[image]e4c supports environmental conservation - please print wisely.</t>
  </si>
  <si>
    <t>RE: Email lists</t>
  </si>
  <si>
    <t>Hello,
I sent this email last week asking for help reviewing the email lists/groups in use at Pulse and have not heard back.Â  Has a ticket been created?
Thanks,
LK
[image]
Dr. Lukas Kawalilak
DVM, Diplomate ACVR
Specialist in Veterinary Diagnostic Imaging
E:lukas@pulseveterinary.ca
P: 780.570.9999
A: 450 Ordze Road, Unit #320.Â  Sherwood Park, AB T8B 0C5
www.pulseveterinary.ca
From: Lukas Kawalilak
Sent: January 13, 2021 9:04 PM
To: support@mnptechnology.ca
Subject: Email lists
Hello,
I would like to review all of the current email lists in use for the @pulseveterinary.ca email.Â  Can someone please provide a summary of the individuals included in each list?
Thanks,
LK
[image]
Dr. Lukas Kawalilak
DVM, Diplomate ACVR
Specialist in Veterinary Diagnostic Imaging
E:lukas@pulseveterinary.ca
P: 780.570.9999
A: 450 Ordze Road, Unit #320.Â  Sherwood Park, AB T8B 0C5
www.pulseveterinary.ca</t>
  </si>
  <si>
    <t>Jorge Bustamante - Unifi access for Team Leads</t>
  </si>
  <si>
    <t>### Summary of Issue_x000D_
Unifi access for Team Leads_x000D_
  _x000D_
### Details of Issue_x000D_
Hey team,
Any chance that the TLs could have mirrored permissions to the SSSs? This would be on the unifi.nextdigital.ca portal. We can't even reboot any of the access points._x000D_
  _x000D_
### Have you opened a ticket about this issue before?  _x000D_
 No  _x000D_
  _x000D_
### How many users are impacted by this issue?  _x000D_
 Some  _x000D_
  _x000D_
### How would you classify this issue?  _x000D_
 Work Impacting</t>
  </si>
  <si>
    <t>My surface is extremely slow</t>
  </si>
  <si>
    <t>Hello,
I am running into all sorts of performance issues with my surface tablet. I try to close out what isnâ€™t necessary to speed things up, however it really doesnâ€™t help. The surface also seems to be running REALLY HOT too. I donâ€™t know how old this tablet is or if there is other items running in the background that I donâ€™t know of, but I am hoping this can be looked at.
I should be available between 2-330 today.
MATTHEW NASBY, CRSP, CSP, CIT, P. GSCÂ |Â COR Manager
Alberta Construction Safety Association
225 Parsons Road SW |Â Edmonton ABÂ |Â T6X 0W6
TÂ 780.453.3311 ext. 1855 |Â FÂ 780.455.1120 |Â TFÂ 1.800.661.ACSA (2272)
www.youracsa.ca
[cid:image001.png@01D3E2E9.BD9014B0][cid:image002.png@01D3E2E9.BD9014B0][cid:image004.png@01D3E2E9.BD9014B0][cid:image005.png@01D3E2E9.BD9014B0]
[image]</t>
  </si>
  <si>
    <t>New E3 License for R3 Deconstruction User Fara Vargas</t>
  </si>
  <si>
    <t>### What company is this quote for?_x000D_
R3 Deconstruction_x000D_
  _x000D_
### Is there an existing ticket on another Connectwise board? If so what is the ticket number?_x000D_
1349118_x000D_
  _x000D_
### Add or Remove CSP licenses  _x000D_
 Add licenses  _x000D_
  _x000D_
### March 30, 2020 New Microsoft 365 offerings for small and medium-sized businesses. (https://www.microsoft.com/en-us/microsoft-365/blog/2020/03/30/new-microsoft-365-offerings-small-and-medium-sized-businesses/)  _x000D_
  _x000D_
### What Type of license  _x000D_
 Office 365 E3  _x000D_
  _x000D_
### How many licenses to add/remove?_x000D_
1_x000D_
  _x000D_
### Optional - What users are the licenses for?_x000D_
Fara Vargas</t>
  </si>
  <si>
    <t>Barracuda issues</t>
  </si>
  <si>
    <t>All:
I am having issues with the barracuda quarantine. All of our BIS Trainer emails and notifications are being sent to the quarantine and not being delivered. This is slowing down approvals of our onboarding and other business critical systems. Please advise on how we may correct this ongoing issue.
[image]Â Ken Davies
Health, Safety &amp; Environmental Manager
T:       +1 (780) 400-7455
C:       +1 (780) 292-3413
F:       +1 (780) 417-6496
E:       KDavies@siterg.com
W:       WWW.SITERG.COM
#170, 120 Pembina Road, Sherwood Park, AB, T8H 0M2
The information contained in this e-mail may       contain confidential or privileged material and is intended only for the       stated addressee(s). If you are not the valid addressee, the use,       disclosure, copying or distribution of this information is prohibited and       may be unlawful. If you have received this email message in error, please       notify the sender immediately and delete all copies of the message from       your computer. All information within or opinions expressed in this       message and/or any attachments are those of the author and are not       necessarily those of the Centurion Group.</t>
  </si>
  <si>
    <t>ACSA - Desktop Quote</t>
  </si>
  <si>
    <t>From: Brent Schneider &lt;BSchneider@youracsa.ca&gt; 
Sent: Wednesday, January 20, 2021 9:06 AM
To: Sales &lt;sales@nextdigital.ca&gt;
Cc: Shawn Kubiski &lt;Shawn.Kubiski@mnp.ca&gt;
Subject: Desktop Quote
CAUTION:This email originated from outside of the MNP network. Be cautious of any embedded links and/or attachments.
MISE EN GARDE:Ce courriel ne provient pas du rÃ©seau de MNP. MÃ©fiez-vous des liens ou piÃ¨ces jointes quâ€™il pourrait contenir.
Good Morning,
Could you please provide me a quote for 5 workstations, specifications similar to our last order of the Dell 3050 micro desktops.
Thanks.
Brent SchneiderB.Sc, PMP, CISSP, CISA, CRISC, CISMÂ |Â Manager, Information Systems (IS)
Alberta Construction Safety Association
225 Parsons Road SW |Â Edmonton ABÂ |Â T6X 0W6
TÂ 780.453.3311 ext. 7719 |Â FÂ 780.455.1120 |Â TFÂ 1.800.661.ACSA (2272)
www.youracsa.ca
[image][image][image][image]
[image]</t>
  </si>
  <si>
    <t>Becky Hume - Spam issue</t>
  </si>
  <si>
    <t>### Summary of Issue_x000D_
Spam issue_x000D_
  _x000D_
### Details of Issue_x000D_
Emails from Ginger.Poetz@aivinc.com keep going to my spam filter. I have hit the "allow" button several times but they still go in there.  Is there any way to make this stop._x000D_
  _x000D_
### Have you opened a ticket about this issue before?  _x000D_
 No  _x000D_
  _x000D_
### How many users are impacted by this issue?  _x000D_
 One  _x000D_
  _x000D_
### How would you classify this issue?  _x000D_
 Minor Inconvenience</t>
  </si>
  <si>
    <t>John Hanki</t>
  </si>
  <si>
    <t>E3 License for Fara</t>
  </si>
  <si>
    <t>### What company is this quote for?_x000D_
R3 Deconstruction and Demolition_x000D_
  _x000D_
### Is there an existing ticket on another Connectwise board? If so what is the ticket number?_x000D_
1349118_x000D_
  _x000D_
### Add or Remove CSP licenses  _x000D_
 Add licenses  _x000D_
  _x000D_
### March 30, 2020 New Microsoft 365 offerings for small and medium-sized businesses. (https://www.microsoft.com/en-us/microsoft-365/blog/2020/03/30/new-microsoft-365-offerings-small-and-medium-sized-businesses/)  _x000D_
  _x000D_
### What Type of license  _x000D_
 Office 365 E3  _x000D_
  _x000D_
### How many licenses to add/remove?_x000D_
1_x000D_
  _x000D_
### Optional - What users are the licenses for?_x000D_
Fara</t>
  </si>
  <si>
    <t>FW: Request for 5 Workstations</t>
  </si>
  <si>
    <t>Robert Labonte</t>
  </si>
  <si>
    <t>Group2 Edmonton Wifi Connection Problem</t>
  </si>
  <si>
    <t>Good morning,
I brought my laptop into the office today and have been unable to connect to the Wifi. My iPhone was having similar problems. How can this problem be resolved this morning? I have an important Teams interview this afternoon at 2:00 and would like to use my Laptop for that call.
Best regards,
Robert H R Labonte, Associate
ARCHITECT, AAA, OAA, MRAIC, NCARB, ULI ALBERTA
Group2
Architecture Interior Design Ltd.
900-10150 100th Street NW Edmonton AB T5J 0P6
T +1 780 447 2990 (ext. 517)
C +1 587 873 4153
group2.ca
Group2 is committed to being both responsive and responsible in navigating these extraordinary times with everyoneâ€™s safety in mind. Since the outset of the COVID-19 situation, we have enabled our employees to work remotely, allowing us to continue business operations and maintain our client commitments.
This email and any files transmitted with it are confidential and intended solely for the use of the individual or entity to whom they are addressed. If you have received this email in error please notify the system manager. This message contains confidential information and is intended only for the individual named. If you are not the named addressee you should not disseminate, distribute or copy this e-mail.</t>
  </si>
  <si>
    <t>FW: Your mailbox is almost full.</t>
  </si>
  <si>
    <t>Hello,
As per Martinâ€™s request below, could you please expand his outlook mailbox so he has more room?
Thanks!
Lisa
Lisa Pruden
Executive Assistant to Martin Garber-Conrad
Chief Executive Officer
lpruden@ecfoundation.org
[cid:image004.png@01D5FE99.19870C70]
From: Martin Garber-Conrad 
Sent: Wednesday, January 20, 2021 8:58 AM
To: Lisa Pruden &lt;LPruden@ecfoundation.org&gt;
Subject: FW: Your mailbox is almost full.
Importance: High
I giuess we didnâ€™t delete enough.Â  Please ask IT to expand my mailbox!
Thanks and best wishes!
From: Microsoft Outlook &lt;MicrosoftExchange329e71ec88ae4615bbc36ab6ce41109e@myECF.onmicrosoft.com&gt; 
Sent: January 20, 2021 2:57 AM
To: Martin Garber-Conrad &lt;Martin@ECFoundation.org&gt;
Subject: Your mailbox is almost full.
Importance: High
Your mailbox is almost full.
49.03 GB
49.5 GB
To make room in your mailbox, delete any items you don't need and empty your Deleted Items folder.
Learn more about storage limits.
Mailbox address:
Martin@ECFoundation.org</t>
  </si>
  <si>
    <t>Sandie Smith</t>
  </si>
  <si>
    <t>How do I open this attachment?</t>
  </si>
  <si>
    <t>Hi â€“ I need to open this attachment â€“ itâ€™s a haul card that I need to create a LEM for.Â  Can you please let me know how.Â  Iâ€™m working from home â€“ my cell number is 780-573-3180.
Thanks,
[image]Â Sandie Smith
Project Administrator
T:       +1 (780) 639-1329
C:       +1 (780)573-3180
E:       SSmith@siterg.com
W:       WWW.SITERG.COM
, Cold Lake, Alberta, T9M 1P1
The information contained in this e-mail may       contain confidential or privileged material and is intended only for the       stated addressee(s). If you are not the valid addressee, the use,       disclosure, copying or distribution of this information is prohibited and       may be unlawful. If you have received this email message in error, please       notify the sender immediately and delete all copies of the message from       your computer. All information within or opinions expressed in this       message and/or any attachments are those of the author and are not       necessarily those of the Centurion Group.
From: Lindsey Smith &lt;smith.lindsey@outlook.com&gt;
Sent: Tuesday, January 19, 2021 6:27 PM
To: Sandie Smith &lt;SSmith@siterg.com&gt;
Subject: Jan 19
Time
Lindsey</t>
  </si>
  <si>
    <t>Hello Helpdesk,Â  Please allow remote access (through remote desktop) for Judy Fortini on D-7801.Â  Judy Fortini needs to be able to remote over to that desktop from the cloud, as there is a program installed in it locally that she needs to be able to access.Â  Please let us know when this has been done.
Thanks,
Joey
[image]
Joanne Chaloner
Accountant
T: 403-205-5270 | E: JoanneC@caryacalgary.ca|F: 403-205-5273
180, 839 5 Ave SW | Calgary, AB | T2P 3C8
[image]Â [image][instagram-1675670]Â [image]
carya (formerly Calgary Family Services)
Stay up to date with the latest carya news, programs, and events by signing up for ourmonthly newsletter.
In the spirit of our efforts to promote reconciliation, we acknowledge the traditional territories and oral practices of the Blackfoot, the Tsuut'ina, the Stoney Nakoda First Nations, the MÃ©tis Nation Region 3, and all people who make their homes in the Treaty 7 region of Southern Alberta. We also respectfully acknowledge that the province of Alberta is comprised of Treaty 6, Treaty 7, and Treaty 8 territory, the traditional lands of First Nations and MÃ©tis peoples.
No form of electronic communication is secure and may be intercepted by others. Carya cannot guarantee the receipt of electronic communication nor a timely response. Where communication is confidential or time sensitive we recommend you call 403-269-9888 during business hours (Monday-Friday, 8:30am-4:30pm). For immediate crisis response please contact the Distress Centre Crisis Line at 403-266-HELP (4537) and in case of an emergency dial 911.
This e-mail is intended solely for the person or entity to which it is addressed and may contain confidential and/or privileged information. Any review, dissemination, copying, printing, forwarding or other use of this e-mail by persons or entities other than the addressee is prohibited. If you have received this e-mail in error, please contact the sender immediately and delete the material from your computer.</t>
  </si>
  <si>
    <t>Martin Jubinville</t>
  </si>
  <si>
    <t>Access Issue - bookkeeper email</t>
  </si>
  <si>
    <t>Good day
Again, Nathalie have an access issue with password.Â  Please call her tomorrow on the 21st (as she wonâ€™t be available today) at 514 952-8454
I would ask this time to seek for a permanent solution.Â  Itâ€™s the third or fourth time in a row that sheâ€™s having password issue, please fix it once for all.
Thanks
Martin
[Multotec-Canada-Signature-Portrait-small]Martin Jubinville Eng., M.A.Sc.
Commercial Manager
Multotec Canada
Office: (450) 651-5858 ext. 201
Mobile: (514) 772-3946
Email:martin@multotec.ca
Website:www.multotec.ca
[Multotec GV Cyclone Banner 3 ]</t>
  </si>
  <si>
    <t>WK Trucking Inc.</t>
  </si>
  <si>
    <t>Shauna Kit</t>
  </si>
  <si>
    <t>VMWare Renewal Notice</t>
  </si>
  <si>
    <t xml:space="preserve">Please quote a renewal for the attached VMWare item, config attached, which expires within 90 days. 
</t>
  </si>
  <si>
    <t>Ecko Marine &amp; Power Inc.</t>
  </si>
  <si>
    <t>Steven Eckert</t>
  </si>
  <si>
    <t>Steven Eckert - Power Outage, request to shut down server</t>
  </si>
  <si>
    <t>Scribe transcribed your voicemail message. On Tue Jan 19 2021 20:15 MST, a caller from +17809660052 said: 
Hi this is Steven from Echo Marine. Our power went out a little while ago from my understanding I'm wondering if you can log in and shut the server down and shut the server down before the backup runs out and maybe it's too late already. 780-966-0052 thank you. Bye.
You have a new voicemail message.
New Voice Message
--- 
From: 
(780) 966-0052
--- 
To:Emergency Support
--- 
Time:Tue Jan 19 2021 20:15 MST
--- 
Duration:00:22
---
VM-ID:21061096:20929194
Month to date usage: 16 messages / 00:09:24 (hh:mm:ss)</t>
  </si>
  <si>
    <t>Hi Jafaru,
A M365 E3 license has been provisioned to usertaizeel@landrex.com. Please let us know if any further configuration is required on our part for the new user.
Sincerely,
Michael Bohnet
[Tri-global-Logo-(no-tagline-email-signature)]
Transformation through Business Improvement
Tri-global Solutions Group Inc.
Melton Building â€“ 3rd Floor
300, 10310 Jasper Avenue NW
Edmonton, AB T5J 2W4
Office:Â 780.421.1944
Web: https://www.tri-global.com
This email and any files transmitted with it are privileged, confidential, and intended solely for the use of the individual or entity to which they are addressed. Any unauthorized use or disclosure is prohibited. Please notify the sender if you have received this email in error.
From: Jafaru Akemokwe &lt;Jafaru.Akemokwe@mnp.ca&gt; 
Sent: Tuesday, January 19, 2021 4:39 PM
To: Tri-global Support &lt;support@tri-global.com&gt;
Cc: Support - MNP IT Managed Services &lt;support@mnptechnology.ca&gt;
Subject: Carie Campbell - Landrex - New Email address - Taizeel@landrex.com
Hi,
I hope this message meets you well,
We wish to notify you that as requested by Carie Campbell of Landrex we have created an account for a Consultant in the Active Directory Domain with the following Details
Username:Â Â Â Â Â Â Â Â  Taizeel
Email Address:Â taizeel@landrex.com
We would also wish to notify you that we have performed a manual Sync to Office 365, we hereby wish to request that an Office 365 license be assigned to the User to enable the user mailbox
Please feel free to contact me for any clarifications or updates.
Regards
Jafaru Akemokwe
Support Specialist
PH.Â +1 7804246398
14505 114th Avenue NW
Edmonton, AB
T5M2Y8
Jafaru.Akemokwe@mnp.ca
mnp.ca
[image]
[image]</t>
  </si>
  <si>
    <t>Trevor Hanson</t>
  </si>
  <si>
    <t>Trevor Hanson - Assistance with opening and converting ".HEIC" extension files.</t>
  </si>
  <si>
    <t>Hi Helpdesk
A Client has emailed me fourteen (14) â€œ.HEICâ€ extension type files that I cannot open on my computer.
(See sample or example of 2 files attached to this email)
I suspect that they are image-photo files taken or created with an Apple device.
Can you provide some assistance so that I can open them and insert the images into five (5) Word report files that I am currently working on?
Thanks,
TrevorHanson
Soderquist Appraisals Ltd.
Office: Â  403-346-5533
Cell: Â Â Â Â Â  587-877-6385</t>
  </si>
  <si>
    <t>Baymag - Exshaw Control Room PCs, Cabinet and Cables</t>
  </si>
  <si>
    <t>### End User Hardware  _x000D_
  _x000D_
### What company is this quote for?_x000D_
Baymag_x000D_
  _x000D_
### Who made this request and why?_x000D_
Gilles - For the new Control Room._x000D_
  _x000D_
### Give this request a name_x000D_
Baymag - Exshaw Control Room PCs, Cabinet and Cables_x000D_
  _x000D_
### Who should the quote be addressed to?  _x000D_
 The primary contact in Connectwise  _x000D_
  _x000D_
### Which location is the product for?_x000D_
Exshaw Plant_x000D_
  _x000D_
### Which ND location is it needed at?  _x000D_
 Next Digital Calgary  _x000D_
  _x000D_
### When is it needed by OR when is the next site visit for the client's location?  _x000D_
Wed 10 Feb, 2021  _x000D_
  _x000D_
### Do you need labour quoted?  _x000D_
 No  _x000D_
  _x000D_
### What products do you need on this quote?  _x000D_
 Desktop Computer  _x000D_
 Video adapter  _x000D_
 Accessories (Mice, keyboards, RAM/SSD upgrades etc)  _x000D_
  _x000D_
### Desktop Computer  _x000D_
  _x000D_
### Which tier of computer do you want quoted?  _x000D_
 Performance Tier - i7, 16GB RAM, 512GB SSD, Quadro Video Card, 3 year warranty  _x000D_
  _x000D_
### Quantity required?_x000D_
1_x000D_
  _x000D_
### Comments_x000D_
Please quote 1 x HP Workstation PC - must be equivalent to a Z240s (newer model is fine). 
This PC will need to be set up to run 4 Displays, and thus will need a good video card, please ensure that there is a Quadro or workstation Card Quotes, and ideally it will have 4 x DP outputs.._x000D_
  _x000D_
### Video Adapter(s)  _x000D_
  _x000D_
### Do you need video adapter(s)?  _x000D_
 Yes  _x000D_
  _x000D_
### Video port(s) on computer  _x000D_
 DVI  _x000D_
 Displayport  _x000D_
  _x000D_
### Video port(s) on monitor(s)  _x000D_
 DVI  _x000D_
 Displayport  _x000D_
  _x000D_
### Number of monitors to connect (per computer)_x000D_
4_x000D_
  _x000D_
### Comment_x000D_
For this ORDER, Please quote: 4 x 25'-30' DisplayPort Cables 
8 x 25'-30' DVI Cables_x000D_
  _x000D_
### Accessories  _x000D_
  _x000D_
### What do you need?  _x000D_
 Other  _x000D_
  _x000D_
### What do you need?_x000D_
1 x Workstation UPS, has to be Specc'd to run 2x HP Z240 Workstations (existing), 1 x NEW HP Workstation (on this quote), 2 x HP Elitedesk PCs.
Server Cabinet Rack (in Calgary Office) - Matt has already discussed this with Kubi.</t>
  </si>
  <si>
    <t>Carie Campbell - Landrex - New Email address - Taizeel@landrex.com</t>
  </si>
  <si>
    <t>Hi,
I hope this message meets you well,
We wish to notify you that as requested by Carie Campbell of Landrex we have created an account for a Consultant in the Active Directory Domain with the following Details
Username:Â Â Â Â Â Â Â Â  Taizeel
Email Address:Â  taizeel@landrex.com
We would also wish to notify you that we have performed a manual Sync to Office 365, we hereby wish to request that an Office 365 license be assigned to the User to enable the user mailbox
Please feel free to contact me for any clarifications or updates.
Regards
Jafaru Akemokwe
Support Specialist
PH.Â +1 7804246398
14505 114th Avenue NW
Edmonton,       AB
T5M2Y8
Jafaru.Akemokwe@mnp.ca
mnp.ca [image]
[image]</t>
  </si>
  <si>
    <t>Courtney Holick - FW: Your mailbox is almost full.</t>
  </si>
  <si>
    <t>Please increase my mailbox size if this is legit.
Courtney Holick, CPA, CMA
CFO
Calmont
780-409-3359
From: Microsoft Outlook
Sent: Tuesday, January 19, 2021 4:11 PM
To: Courtney Holick &lt;Courtney.Holick@calmont.ca&gt;
Subject: Your mailbox is almost full.
Importance: High
Your mailbox is almost full.
41324 MB
41779 MB
Current size
Maximum size
Please reduce your mailbox size. Delete any items you don't need from your mailbox and empty your Deleted Items folder.</t>
  </si>
  <si>
    <t>Jeff Froese</t>
  </si>
  <si>
    <t>Jeff Froese - Turning off auto OCR in Adobe?</t>
  </si>
  <si>
    <t>Hi folks,
When time allows on your end, can one of you give me a shout?
I am working on a PDF and there are pages that keep auto OCRâ€™ing. I fear that this may have caused the pdf to become corrupted and I donâ€™t want it to happen again (is auto OCR a possible cause?)
I am hesitant to re-open sore wounds by asking if this maybe a reappearance of problems related to the dreaded ticket #1247761.
Thank you,
Jeff Froese
Approval Officer
Natural Resources Conservation Board
#303, 4920 â€“ 51st Street
Red Deer, AB T4N 6K8
Tel: 403-340-5795
Email:jeff.froese@nrcb.ca
Website:www.nrcb.ca
This communication is intended for the use of the recipient to which it is addressed, and may contain confidential, personal and or privileged information. Please contact us immediately if you are not the intended recipients of this communication, and do not copy, distribute, or take action relying on it. Any communication received in error, or subsequent reply, should be deleted.</t>
  </si>
  <si>
    <t>Barbara Morgan - RE: Email adjustments please</t>
  </si>
  <si>
    <t>Hi there,
I never got a reply back on thisâ€¦.
Barbara Morgan
Operations Calgary
Capital Paper Recycling Ltd
10595 50 Street SE
Calgary, AB T2C 3E3
403.543.3322
Operations-cgy@capital-paper.com
From: Operations Calgary
Sent: January-19-21 8:38 AM
To: 'Next Digital Support' &lt;help@nextdigital.ca&gt;; 'dstevens@nextdigital.ca' &lt;dstevens@nextdigital.ca&gt;
Cc: Barb Corsini &lt;bcorsini@capital-paper.com&gt;
Subject: Email adjustments please
Good Morning,
My emails from operations-cgy@capital-paper.com are being copied to transport@capital-paper.com
Can we have this stopped now please, as I am no longer primarily sitting at the transport computer?
I do need for the other way to remain though â€“ transport@capital-paper.com still needs to be copied to me at operations-cgy@capital-paper.com.
Hope that makes sense?
Thank you,
Barbara Morgan
Operations Calgary
Capital Paper Recycling Ltd
10595 50 Street SE
Calgary, AB T2C 3E3
403.543.3322
Operations-cgy@capital-paper.com
Effective immediately, due to the unsecured nature, we cannot accept Interac E-Transfers. *Unless Authorized by Kim Burns.
The information in this email and any attachments is sent by Capital Paper Recycling LTD. and is intended to be confidential and for the use of only the individual or entity named above. The information may be protected by solicitor-client privilege, work product immunity or other legal principles. If the reader of this message is not the intended recipient, you are notified that unauthorized review, retention, dissemination, distribution, copying or other use of or taking any action in reliance upon this information is strictly prohibited. 
If you received this email in error, please notify us immediately by email reply and delete or destroy this message and any copies.</t>
  </si>
  <si>
    <t>Hi Tim,
I had a quick look and see Adobe Acrobat Pro DC on your account is up for renewal.
Let us have a check and weâ€™ll let you know what the next steps are.
@Support -Hi team, can you please review CTS Adobe licenses and share next steps with Tim?
Thank you,
Amin Esmaeili
Client Experience Manager
PH.Â +1 4036864357       Ext 415
310 - 4000 4 St SE
Calgary,       AB
T2G2W3
Amin.Esmaeili@mnp.ca
mnp.ca [image]
[image]
From: Tim Clark &lt;Tim.Clark@cts-industries.com&gt;
Sent: January 19, 2021 2:47 PM
To: Amin Esmaeili &lt;Amin.Esmaeili@mnp.ca&gt;
Subject: Adobe licence
CAUTION:This email originated from outside of the MNP network. Be cautious of any embedded links and/or attachments.
MISE EN GARDE:Ce courriel ne provient pas du rÃ©seau de MNP. MÃ©fiez-vous des liens ou piÃ¨ces jointes quâ€™il pourrait contenir.
Hi Amin,
I had this come up today. I feel like this is early. Can you please review and advise.
Thank you,
[image]
tim clark Â  Â _director, sales &amp; marketing
d:780.784.1813 Â | Â p: 780.465.9645Â  | Â c: 780.902.0720
tim.clark@cts-industries.com Â | Â cts-industries.com</t>
  </si>
  <si>
    <t>Kim Boser</t>
  </si>
  <si>
    <t>FW: Barracuda Email Security Service Quarantine Notification</t>
  </si>
  <si>
    <t>How do we get the option to stop messages from being quarantined.
Have the same happen with emails from Industrial Scientific
[image]Â Kim Boser
Project Manager
C:       +1 (780) 201-0077
E:       KBoser@siterg.com
W:       WWW.SITERG.COM
#170, 120 Pembina Road, Sherwood Park, AB, T8H 0M2
The information contained in this e-mail may       contain confidential or privileged material and is intended only for the       stated addressee(s). If you are not the valid addressee, the use,       disclosure, copying or distribution of this information is prohibited and       may be unlawful. If you have received this email message in error, please       notify the sender immediately and delete all copies of the message from       your computer. All information within or opinions expressed in this       message and/or any attachments are those of the author and are not       necessarily those of the Centurion Group.
From: Barracuda Networks &lt;quarantine@ess.uk.barracudanetworks.com&gt;
Sent: Tuesday, January 19, 2021 3:28 PM
To: Kim Boser &lt;KBoser@siterg.com&gt;
Subject: Barracuda Email Security Service Quarantine Notification
[Image removed by sender.]
Barracuda
Essentials
MANAGE QUARANTINE
1 Inbound Quarantine Emails
kboser@siterg.com
From
Date
Subject
Actions
Jeff Brooks &lt;jeff@naeqs.com&gt;
01/19/21 02:59 PM
Re: PO Request for 56-20-B0066 for NAEQS
DELIVER
BLOCK LIST
VIEW MESSAGE LOG
ClickDELIVER to have that message delivered to your primary inbox.
ClickBLOCK LIST to have that sender added to the Block List.
Disclaimer
Please do not forward this email. Forwarding this email will give the recipient access to all the emails in your Barracuda Email Security Service inbox.
About this email
This email was sent from Barracuda Essentials for Email Security because you or your administrator has requested that you be notified of your quarantined messages.</t>
  </si>
  <si>
    <t>Kristy Roskey</t>
  </si>
  <si>
    <t>Kristy Roskey Password</t>
  </si>
  <si>
    <t>Can you please reset the Microsoft/Email password for Kristy Roskey.
If possible can you make the password Winter2021 and force a reset on the next log in?
Thank-you,
Bryce Johnston, BComm, CPA
Hospital Director
Pulse Veterinary Specialists &amp; Emergency
450 Ordze Road, Unit #320
Sherwood Park, AB T8B 0C5
Ph: (780) â€“ 570-9999
[image]</t>
  </si>
  <si>
    <t>Automation for Jira made 1 update.Â Les Kondejewski added 1 new comment.Â  Ontario Genomics/OG-1074 SharePoint security information needed 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
Automation for Jira made 1 update.Â Les Kondejewski added 1 new comment.Â 
Ontario Genomics
/Â Â   [image] Â  OG-1074
 SharePoint security information needed 
Updates
[image]  Automation for Jira  5:02Â PMÂ EST
Status: Waiting for customer [â†’] Waiting for support
Comments
[image]  Les Kondejewski  5:02Â PMÂ EST
I just sent the meeting invitation with zoom link â€“ for 5pm tonight.
https://us02web.zoom.us/j/88350483301?pwd=SkFDRmtwc2JETGkyNlZoK1grZ1p0QT09&amp;from=addon
If not tonight we can meet tomorrow.
View issue
Get Jira notifications on your phone! Download the Jira Cloud app for Android or iOS.
Manage notifications   Â â€¢Â    Give feedback   Â â€¢Â    Privacy policy
[image]
[image]
[image]</t>
  </si>
  <si>
    <t>Paula Stenson</t>
  </si>
  <si>
    <t>Good afternoon just curious about the apple ID. Leah has Cori Spryâ€™s old phone and we need to set up and ID for Leah, as the previous one was for Cori.
Leah spoke with Apple today and they were unable to help.
What next steps are we looking at.
Thank you for your support with this.
Cheers, P
PaulaStenson e4c
Complex Case Coordinator
Youth Housing First Program
Pstenson@e4calberta.org
T780.424.7543
9321 Jasper Avenue, Edmonton AB T5H 3T7
e4calberta.org
[image]
This message is intended for the use of the individual or entity to which it is addressed and may contain information that is privileged and confidential. If you are not the intended recipient or the employee responsible for delivery of the message to the intended recipient, please be advised that any dissemination, distribution or copying of this message is strictly prohibited. If you have received this message in error, please notify us immediately by telephone and return the original email to us or destroy this message.
[image]e4c supports environmental conservation - please print wisely.
From: Amanda Tam 
Sent: Thursday, January 14, 2021 3:31 PM
To: M.Luiza Coelho &lt;mlcoelho@e4calberta.org&gt;; 'Support - MNP IT Managed Services' &lt;support@mnptechnology.ca&gt;; Mwayi Kanjadza &lt;MKanjadza@e4calberta.org&gt;; &gt;&gt;E4C-Admin &lt;E4C-Admin@e4calberta.internal&gt;
Cc: Catherine Parent &lt;CParent@e4calberta.org&gt;; Connie Olson &lt;COlson@e4calberta.org&gt;; Sabrina Sheaves &lt;SSheaves@e4calberta.org&gt;; Paula Stenson &lt;PStenson@e4calberta.org&gt;; Maureen Stewart &lt;MStewart@e4calberta.org&gt;
Subject: Notice of Upcoming Hire - Leah Saruwatari
Hello,
This email is to notify you of an upcoming employee hire:
Employee Name:Leah Saruwatari Â Â Â 
Department: Youth Housing First
Job Title: Housing Support Worker Â Â Â 
Supervisor: Paula Stenson
Effective Date: January 18, 2021
Distribution List &amp; Action Required
IT
RDS: Request for RDS/Network Access
E-mail: Request for Outlook Account.
E-mail Signature Set-up:
-Â Â Â Â Â Â Â Name: Leah Saruwatari
-Â Â Â Â Â Â Â Position: Housing Support Worker
-Â Â Â Â Â Â Â Program: Youth Housing First Program
Folder Access:
-Â Â Â Â Â Â Â Please mirror user Bryanna Ewing
-Â Â Â Â Â Â Â Request for Youth Division&gt;5. Youth Housing First&gt;All Staff
Apple ID Creation: Request for Apple ID.
Cell-phone Access:Request for cell-phone.
Staff Distribution List: All Staff
No Shore-tel access required.
Please send account details to: Paula Stenson (Pstenson@e4calberta.org)
Payroll/Finance
Payroll details will be provided once processed.
Requires Debit/Credit Card (Please mirror Bryanna Ewing).
Reception
Please update existing employee list.
Communications
For information only.
Program Manager
For information only.
Facilities Manager
For information only.
If you have any questions or concerns please let me know.
Thank you!
AmandaTam, B. Com (she/her)e4c
Human Resources Generalist 
Human Resources
ATam@e4calberta.org
T
780.424.7543 ext 164
C
780.721.2331
9321 Jasper Avenue, Edmonton AB T5H 3T7
e4calberta.org
[image]
This message is intended for the use of the individual or entity to which it is addressed and may contain information that is privileged and confidential. If you are not the intended recipient or the employee responsible for delivery of the message to the intended recipient, please be advised that any dissemination, distribution or copying of this message is strictly prohibited. If you have received this message in error, please notify us immediately by telephone and return the original email to us or destroy this message.
[image]e4c supports environmental conservation - please print wisely.</t>
  </si>
  <si>
    <t>Annie Brandt - Can't access websites outside my RDS on my computer</t>
  </si>
  <si>
    <t>### Summary of Issue_x000D_
Can't access websites outside my RDS on my computer_x000D_
  _x000D_
### Details of Issue_x000D_
Can't access Amazon Prime busines; Canada life benefits_x000D_
  _x000D_
### Have you opened a ticket about this issue before?  _x000D_
 No  _x000D_
  _x000D_
### How many users are impacted by this issue?  _x000D_
 One  _x000D_
  _x000D_
### How would you classify this issue?  _x000D_
 Work Impacting</t>
  </si>
  <si>
    <t>[JIRA] (OG-1075) HP laptop Touchpad issue</t>
  </si>
  <si>
    <t>Yoo Jin Park added 1 new comment. Ontario Genomics/OG-1075 HP laptop Touchpad issue 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
Yoo Jin Park added 1 new comment.
Ontario Genomics
/Â Â   [image] Â  OG-1075
 HP laptop Touchpad issue 
[image]  Yoo Jin Park  4:46Â PMÂ EST
Hi James,
My number is 778-829-2795 â€“ I am available tomorrow at 11am or after 3:45PM.
Let me know when would work for you.
Thanks,
YooJin.
View issue
Get Jira notifications on your phone! Download the Jira Cloud app for Android or iOS.
Manage notifications   Â â€¢Â    Give feedback   Â â€¢Â    Privacy policy
[image]
[image]
[image]</t>
  </si>
  <si>
    <t>Island Ford  (COAG)</t>
  </si>
  <si>
    <t>Rhonda Organ</t>
  </si>
  <si>
    <t>Island Ford - Dealermine button not working</t>
  </si>
  <si>
    <t xml:space="preserve">Hi Dave, 
We have a button on our phone that we could transfer calls to Dealermine and the button is now lit up and not working. Can you look into it for me please.
-- 
Kind Regards
Rhonda Organ, 
Office Manager
</t>
  </si>
  <si>
    <t>Quote Request - LoSeCa Foundation - Laptop needs failed Hard Drive replaced</t>
  </si>
  <si>
    <t>### End User Hardware  _x000D_
  _x000D_
### What company is this quote for?_x000D_
LoSeCa Foundation_x000D_
  _x000D_
### Who made this request and why?_x000D_
Renee Fletcher/ Hard Drive on her laptop has failed_x000D_
  _x000D_
### Give this request a name_x000D_
Laptop needs failed Hard Drive replaced_x000D_
  _x000D_
### Who should the quote be addressed to?  _x000D_
 The primary contact in Connectwise  _x000D_
  _x000D_
### Which location is the product for?_x000D_
Sonora_x000D_
  _x000D_
### Is there an existing ticket on another Connectwise board? If so what is the ticket number?_x000D_
1349665_x000D_
  _x000D_
### Which ND location is it needed at?  _x000D_
 Next Digital Edmonton  _x000D_
  _x000D_
### When is it needed by OR when is the next site visit for the client's location?  _x000D_
Tue 26 Jan, 2021  _x000D_
  _x000D_
### Do you need labour quoted?  _x000D_
 Yes  _x000D_
  _x000D_
### What products do you need on this quote?  _x000D_
 Accessories (Mice, keyboards, RAM/SSD upgrades etc)  _x000D_
  _x000D_
### Accessories  _x000D_
  _x000D_
### What do you need?  _x000D_
 HDD/SSD  _x000D_
  _x000D_
### HDD/SSD  _x000D_
 1TB HDD  _x000D_
  _x000D_
### What form factor is the drive bay this needs to be installed into?  _x000D_
 2.5" SATA  _x000D_
  _x000D_
### Quantity required_x000D_
1_x000D_
  _x000D_
### What products do you need quoted?_x000D_
Replacement Hard Drive for HP Notebook - 15-bw018ca</t>
  </si>
  <si>
    <t>[JIRA] Automation for Jira mentioned you on OG-1075</t>
  </si>
  <si>
    <t>Automation for Jira mentioned you on an issue
Ontario Genomics/OG-1075 HP laptop Touchpad issue 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
Automation for Jira mentioned you on an issue
Ontario Genomics
/Â Â   [image] Â  OG-1075
 HP laptop Touchpad issue 
[image]  Automation for Jira  4:00Â PMÂ EST
Hey @James Anderson,
This ticket will breach its Time to Resolution SLA in 60 minutes. You should action or reassign it as soon as possible.
NOTE: If it reaches 15 mins to Time to Resolution SLA breach, it will escalate to PagerDuty and notify the on-call team member.
View issue
Get Jira notifications on your phone! Download the Jira Cloud app for Android or iOS.
Manage notifications   Â â€¢Â    Give feedback   Â â€¢Â    Privacy policy
[image]
[image]
[image]</t>
  </si>
  <si>
    <t>CW Manage access - Jenny Neville</t>
  </si>
  <si>
    <t>Carly is going to be getting some help from Jenny on the MNP finance team. She will need to be setup on our system, but do not follow our normal user onboarding process. She should only have a CW Manage ID with MFA and no other access to our system. (No IT Glue, no Automate, etc.)
Give her the same CW Manage security access as Connie.
Once creds are created, youâ€™ll need to reach out to Jenny and make sure she can login, and likely assist with getting her MFA working.
Let me and Carly know when done please.
Her details are as follows:
Jenny Neville
Jenny.neville@mnp.ca
Administrative Assistant
613-691-8535
Andrew Jackson
Partner
PH. +1       7804246398
14505 114th Avenue NW
Edmonton,       AB
T5M2Y8
Andrew.Jackson@mnp.ca
mnp.ca [image]
[image]</t>
  </si>
  <si>
    <t>Amanda Tam</t>
  </si>
  <si>
    <t>Notice of Upcoming Student Hires - Kathy Kim, Jennifer Wang</t>
  </si>
  <si>
    <t>Hello,
This email is to notify you of an upcoming student hires:
Request #1:
Employee Name:Kathy Kim Â Â Â 
Department: Community and School Based Programs
Job Title: Program Assistant Â Â 
Supervisor: Kelly Bickford
Effective Date: January 20, 2021
Distribution List &amp; Action Required
IT
RDS: Request for RDS/Network Access
E-mail: Request for Outlook Account.
E-mail Signature Set-up:
-Â Â Â Â Â Â Â Name: Kathy Kim
-Â Â Â Â Â Â Â Position: Program Assistant
-Â Â Â Â Â Â Â Program: Community and School Based Programs
Folder Access:
-Â Â Â Â Â Â Â Please mirror user Darian Selander
Equipment Requests: Request for Computer/Laptop.
No Shore-tel access required.
Please send account details to: Darian Selander (dselander@e4calberta.org) and Kelly Bickford (kbickford@e4calberta.org)
Program Manager
For information only.
Request #2:
Employee Name:Jennifer Wang Â Â Â Â 
Department: Community and School Based Programs
Job Title: Program Assistant Â Â 
Supervisor: Kelly Bickford
Effective Date: January 20, 2021
Distribution List &amp; Action Required
IT
RDS: Request for RDS/Network Access
E-mail: Request for Outlook Account.
E-mail Signature Set-up:
-Â Â Â Â Â Â Â Name: Jennifer Wang
-Â Â Â Â Â Â Â Position: Program Assistant
-Â Â Â Â Â Â Â Program: Community and School Based Programs
Folder Access:
-Â Â Â Â Â Â Â Please mirror user Darian Selander
Equipment Requests: Request for Computer/Laptop.
No Shore-tel access required.
Please send account details to: Darian Selander (dselander@e4calberta.org) and Kelly Bickford (kbickford@e4calberta.org)
Program Manager
For information only.
If you have any questions or concerns please let me know.
Thank you!
AmandaTam, B. Com (she/her) e4c
Human Resources Generalist
Human Resources
ATam@e4calberta.org
T780.424.7543 ext 164
C780.721.2331
9321 Jasper Avenue, Edmonton AB T5H 3T7
e4calberta.org
[image]
This message is intended for the use of the individual or entity to which it is addressed and may contain information that is privileged and confidential. If you are not the intended recipient or the employee responsible for delivery of the message to the intended recipient, please be advised that any dissemination, distribution or copying of this message is strictly prohibited. If you have received this message in error, please notify us immediately by telephone and return the original email to us or destroy this message.
[image]e4c supports environmental conservation - please print wisely.</t>
  </si>
  <si>
    <t>CAUTION: This email originated from outside of the MNP network. Be cautious of any embedded links and/or attachments.
MISE EN GARDE: Ce courriel ne provient pas du rÃ©seau de MNP. MÃ©fiez-vous des liens ou piÃ¨ces jointes quâ€™il pourrait contenir.
This email alert was generated by Sophos Central. Do not reply to this email.
[Sophos Central]
Sophos Central Event Details for Calmont Leasing Ltd
What happened: Safe Browsing detected browser Google Chrome has been compromised
Where it happened: CALMONT-D-6618
Path: C:\Program Files (x86)\Google\Chrome\Application\chrome.exe
What was detected: Intruder
User associated with device: Shop1
How severe it is: High
Help sources:
Sophos Central specific articles: https://community.sophos.com/kb?TopicId=9000.
Sophos Central Frequently Asked Questions (FAQ) - https://community.sophos.com/kb/en-us/119598.
Sign in to https://central.sophos.com/ for more information
Note: Depending on the alert email frequency setting you choose, we will either send one email for one alert of each type (for example, an alert for a protection-failed event) in any 24-hour period, or send one email for each alert. You might have more alerts of the same type in the dashboard of the Sophos Central console.</t>
  </si>
  <si>
    <t>Nicole Willmer added 1 new comment. Johnson and Johnson Innovation/JLABS-416 Port Activation 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
Nicole Willmer added 1 new comment.
Johnson and Johnson Innovation
/Â Â   [image] Â  JLABS-416
 Port Activation 
[image]  Nicole Willmer  2:02Â PMÂ EST
Hi James,
What time is John available on Friday? Or would he have availability on either Monday or Tuesday or next week?
Kind regards,
Nicole
View issue
Get Jira notifications on your phone! Download the Jira Cloud app for Android or iOS.
Manage notifications   Â â€¢Â    Give feedback   Â â€¢Â    Privacy policy
[image]
[image]
[image]</t>
  </si>
  <si>
    <t>Ubiquiti AP need</t>
  </si>
  <si>
    <t>Good morning Eugene,
Below, is a quote for wireless equipment needed, to restore WIFI at your location.Â  As you recall, this was originally recommended last year, to help strengthen your current officeÂ  wifi but, you postponed to move forward at that time.
Our tech team has noted that this equipment can be purchased locally and installed at your location fairly quickly. If you approve, please take a moment to review and forward your approval to proceed.
Thank you for your time and attention to this request. 
Best regards,
Vito
Quote Number: AAAQ19973
https://www.quotevalet.com/concierge.aspx?DocumentId=506a9193-fe31-4744-92d6-18c5f240510e&amp;TenantId=cea2edee-e401-4b8b-9e82-d745c217b9a3
Vito Filippi
Strategic Advisor
DIRECT +1 7804246398
14505 114th Avenue NW
Edmonton, AB
T5M2Y8
Vito.Filippi@mnp.ca
mnp.ca</t>
  </si>
  <si>
    <t>[JIRA] Josh Rogers assigned JLABS-419 to you - Port Activation</t>
  </si>
  <si>
    <t>Josh Rogers assigned this issue to you
Johnson and Johnson Innovation/JLABS-419 Port Activation - Avicanna 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
Josh Rogers assigned this issue to you
Johnson and Johnson Innovation
/Â Â   [image] Â  JLABS-419
 Port Activation - Avicanna 
[image]  Josh Rogers  1:22Â PMÂ EST
Assignee: Josh Rogers [â†’] James Anderson
View issue
Get Jira notifications on your phone! Download the Jira Cloud app for Android or iOS.
Manage notifications   Â â€¢Â    Give feedback   Â â€¢Â    Privacy policy
[image]
[image]
[image]</t>
  </si>
  <si>
    <t>cannot close PDF's -please call - thanks</t>
  </si>
  <si>
    <t>Julie Nadeau - Credential</t>
  </si>
  <si>
    <t>### Summary of Issue_x000D_
Credential_x000D_
  _x000D_
### Details of Issue_x000D_
UA: Cultural-Advisor (PA Team access) 
PW: 
EA: Cultural-Advisor@poundmaker.org_x000D_
  _x000D_
### Have you opened a ticket about this issue before?  _x000D_
 No  _x000D_
  _x000D_
### How many users are impacted by this issue?  _x000D_
 Some  _x000D_
  _x000D_
### How would you classify this issue?  _x000D_
 Other</t>
  </si>
  <si>
    <t>Laura Friend</t>
  </si>
  <si>
    <t>Laura Friend - Electronic Signature Set up</t>
  </si>
  <si>
    <t>### Summary of Issue_x000D_
Electronic Signature Set up_x000D_
  _x000D_
### Details of Issue_x000D_
Electronic signature no longer works and not able to re-set up myself._x000D_
  _x000D_
### Have you opened a ticket about this issue before?  _x000D_
 No  _x000D_
  _x000D_
### How many users are impacted by this issue?  _x000D_
 One  _x000D_
  _x000D_
### How would you classify this issue?  _x000D_
 Minor Inconvenience</t>
  </si>
  <si>
    <t>Pastor Don - Install Office 2019</t>
  </si>
  <si>
    <t>Jeff Meadows
Field Services Technician
PH.Â 587.273.5062
4922 - 53 St.
Red Deer,       AB
T4N2E9
Jeff.Meadows@mnp.ca
mnp.ca [image]
[image]
From: OfficeMC &lt;officemc@telus.net&gt; 
Sent: Tuesday, January 19, 2021 9:33 AM
To: Jeff Meadows &lt;Jeff.Meadows@mnp.ca&gt;
Subject: Remote Site Visit
CAUTION:This email originated from outside of the MNP network. Be cautious of any embedded links and/or attachments.
MISE EN GARDE:Ce courriel ne provient pas du rÃ©seau de MNP. MÃ©fiez-vous des liens ou piÃ¨ces jointes quâ€™il pourrait contenir.
Hi Jeff,
I hope you and your family are keeping well.
Just wanted to send a quick email in case we missed each other again today, mostly due to my limited work hours. I was hoping you could install the Office 2019 that we received through Tech Soup. I had ordered it when we got Pastor Donâ€™s laptop, but TechSoup was having difficulties with that program at that time, so it was suggested to download the 2016 version, which I did, and is what is on Pastor Donâ€™s laptop right now. If you can update that for us, that would be great. The instructions were long and confusing. I thought maybe you had done it before and may not be such a tedious process, sorry if it isJ
Other than that, everything seems to be running fairly well at the moment.
I will have Pastor Donâ€™s laptop up and running for when you call, so you can log in remotely.
Please let me know if you need any passwords, otherwise, they have not been changed since I gave them to you last.
Blessings,
Alicia McClelland</t>
  </si>
  <si>
    <t>Matt Kennedy</t>
  </si>
  <si>
    <t>Re: Ticket #1330891/Matt Kennedy - Email not working CLOSED NO RESPONSE</t>
  </si>
  <si>
    <t xml:space="preserve">Please call me to discuss.Â   
Sent from my iPhone  
On Jan 18, 2021, at 10:06 AM, Support - MNP IT Managed Services &lt;support@mnptechnology.ca&gt; wrote:
ï»¿      
</t>
  </si>
  <si>
    <t>FW: adding someone to OLT distribution/phone list</t>
  </si>
  <si>
    <t>Hello Helpdesk,
Can you please add Sajjad Ahmad to the OLD distribution/phone list in the Global Address List?Â  Please advise Judy Fortini (ccâ€™d here) when this is complete.
Thanks,
Joey
[image]
Joanne Chaloner
Accountant
T: 403-205-5270 | E: JoanneC@caryacalgary.ca|F: 403-205-5273
180, 839 â€“ 5 Avenue SW | Calgary, AB | T2P 3C8
From: Judy Fortini &lt;JudyF@caryacalgary.ca&gt; 
Sent: Tuesday, January 19, 2021 10:18 AM
To: Joanne Chaloner &lt;JoanneC@caryacalgary.ca&gt;
Subject: adding someone to OLT distribution/phone list
Hi Joanne,
I am wondering if youÂ  know how to add someone ( Sajaad) to the OLT distribution/phone list for Outlook.
Thanks
Judy
Ps thank you for the xmas card and lotto ticket, that was very thoughtful J
[image]
Judy Fortini
Adminstative Supervisor
Philanthrophy Assistant
T: 403-269-9888Â  | E: JudyF@caryacalgary.ca| F: 403-205-5281
180, 839 5 Ave SW | Calgary, AB | T2P 3C8
[cid:image003.jpg@01D6E502.9BE01EA0]Â [cid:image004.jpg@01D6E502.9BE01EA0]Â [cid:image005.jpg@01D6E502.9BE01EA0]
carya (formerly Calgary Family Services)
Want to learn more about carya?Â Sign up for our newsletter!
In the spirit of our efforts to promote reconciliation, we acknowledge the traditional territories and oral practices of the Blackfoot, the Tsuut'ina, the Stoney Nakoda First Nations, the MÃ©tis Nation Region 3, and all people who make their homes in the Treaty 7 region of Southern Alberta. We also respectfully acknowledge that the province of Alberta is comprised of Treaty 6, Treaty 7, and Treaty 8 territory, the traditional lands of First Nations and MÃ©tis peoples.
No form of electronic communication is secure and may be intercepted by others. Carya cannot guarantee the receipt of electronic communication nor a timely response. Where communication is confidential or time sensitive we recommend you call 403-269-9888 during business hours (Monday-Friday, 8:30am-4:30pm). For immediate crisis response please contact the Distress Centre Crisis Line at 403-266-HELP (4537) and in case of an emergency dial 911.
This e-mail is intended solely for the person or entity to which it is addressed and may contain confidential and/or privileged information. Any review, dissemination, copying, printing, forwarding or other use of this e-mail by persons or entities other than the addressee is prohibited. If you have received this e-mail in error, please contact the sender immediately and delete the material from your computer.</t>
  </si>
  <si>
    <t>Exdol Taylor (Inactive)</t>
  </si>
  <si>
    <t>Office 365 Exchange Online for Shayne Hosack</t>
  </si>
  <si>
    <t>### What company is this quote for?_x000D_
All-Ways Mechanical Ltd._x000D_
  _x000D_
### Is there an existing ticket on another Connectwise board? If so what is the ticket number?_x000D_
1349561_x000D_
  _x000D_
### Add or Remove CSP licenses  _x000D_
 Add licenses  _x000D_
  _x000D_
### March 30, 2020 New Microsoft 365 offerings for small and medium-sized businesses. (https://www.microsoft.com/en-us/microsoft-365/blog/2020/03/30/new-microsoft-365-offerings-small-and-medium-sized-businesses/)  _x000D_
  _x000D_
### What Type of license  _x000D_
 Office 365 Exchange Online  _x000D_
  _x000D_
### How many licenses to add/remove?_x000D_
1_x000D_
  _x000D_
### Optional - What users are the licenses for?_x000D_
Shayne Hosack</t>
  </si>
  <si>
    <t>Password</t>
  </si>
  <si>
    <t>Good morning
Your team set up email for Leah. We have no password as the voicemail that was left was very crackly and we could not make out anything he was saying. Could someone please call ASAP at 7809849614
ThankÂ  you so much I appreciate it.
Paula
PaulaStenson e4c
Complex Case Coordinator
Youth Housing First Program
Pstenson@e4calberta.org
T780.424.7543
9321 Jasper Avenue, Edmonton AB T5H 3T7
e4calberta.org
[image]
This message is intended for the use of the individual or entity to which it is addressed and may contain information that is privileged and confidential. If you are not the intended recipient or the employee responsible for delivery of the message to the intended recipient, please be advised that any dissemination, distribution or copying of this message is strictly prohibited. If you have received this message in error, please notify us immediately by telephone and return the original email to us or destroy this message.
[image]e4c supports environmental conservation - please print wisely.</t>
  </si>
  <si>
    <t>Jennifer Pacheco</t>
  </si>
  <si>
    <t>Unicon - Trouble forwarding phone lines</t>
  </si>
  <si>
    <t>Good Morning,
Up until this morning, we have had no issues with our direct lines being forwarded to other numbers for staff to work from home, but this morning when you call the direct lines that are forwarded, you either get a busy signal, or you get a message stating that the number is not available. When I remove the forwarding the number works as expected.
Here is a screen shot of a few of the numbers we have forwarded. We have many staff working from home, who require these numbers to be forwarded so if you could please put an urgency onto this request, I would appreciate it
Thanks
Jenn
[image]
Jenn Pacheco
Operations Manager
[Signature Logo-01]
Unicon Concrete Specialties Ltd.
Direct Line:Â (780) 732-3629
Mobile:Â (780) 554-1549
Fax: (780) 454-3183
Email: jenn@unicon.ca
Website:unicon.ca
Build Concrete Relationships</t>
  </si>
  <si>
    <t>Ontario Teachers Insurance Plan - Sophos</t>
  </si>
  <si>
    <t>From: Shawn Kubiski &lt;Shawn.Kubiski@mnp.ca&gt; 
Sent: Tuesday, January 19, 2021 8:34 AM
To: Sales - MNP IT Managed Services &lt;sales@mnptechnology.ca&gt;
Subject: Fwd: Trend Renewal
Get Outlook for Android
Shawn Kubiski
Partner
PH. +1 7804246398
14505 114th Avenue NW
Edmonton, AB
T5M2Y8
Shawn.Kubiski@mnp.ca
mnp.ca
[image]
[image]
From: John McLaughlin &lt;John.McLaughlin@mnp.ca&gt;
Sent: Tuesday, January 19, 2021 8:21:43 AM
To: Shawn Kubiski &lt;Shawn.Kubiski@mnp.ca&gt;
Cc: Andrew Jackson &lt;Andrew.Jackson@mnp.ca&gt;
Subject: FW: Trend Renewal
Hey Kubi,
We need to get a competitive quote for Sophos on the attached.Â  It would be to displace Trend Micro.
Thanks
John McLaughlin
Partner
DIRECT. +1 7807849202
PH. +1 7804246398 Ext 303
CELL. (780)905-7573
14505 114th Avenue NW
Edmonton, AB
T5M2Y8
John.McLaughlin@mnp.ca
mnp.ca
[image]
[image]
From: Scott Fryer &lt;Scott.Fryer@mnp.ca&gt; 
Sent: January 19, 2021 7:33 AM
To: John McLaughlin &lt;John.McLaughlin@mnp.ca&gt;; Andrew Jackson &lt;Andrew.Jackson@mnp.ca&gt;
Cc: Eugene Ng &lt;Eugene.Ng@mnp.ca&gt;; Jennifer Dale &lt;Jennifer.Dale@mnp.ca&gt;
Subject: RE: Trend Renewal
Hi John and Andrew, attached is the Trend renewal for OTIP, hoping you now have everything you need to price this out for Mark and Chris.Â Â Â  Please advise,
Many thanks,
Scott Fryer,GSP, CPSP, PAASP
Director, Cyber Security Services
DIRECT CELL:Â 647.389.4624
255 Longside Drive, Suite 102
Mississauga, ON
L5W 0G7
scott.fryer@mnp.ca
mnp.ca
https://www.mnp.ca/en/technology-solutions
https://www.linkedin.com/in/scott-fryer-b71220/
[image]
[image]
â€œSpeed of response, Triumphs perfectionâ€
From: John McLaughlin &lt;John.McLaughlin@mnp.ca&gt; 
Sent: January 18, 2021 11:49 AM
To: Scott Fryer &lt;Scott.Fryer@mnp.ca&gt;
Cc: Eugene Ng &lt;Eugene.Ng@mnp.ca&gt;; Jennifer Dale &lt;Jennifer.Dale@mnp.ca&gt;
Subject: Re: Trend Renewal
Hi Scott,
I have looped Andrew into the conversation. I might be out of touch today just dealing with a personal matter.
John McLaughlin
Partner
DIRECT. +1 7807849202
PH. +1 7804246398 Ext 303
CELL. (780)905-7573
14505 114th Avenue NW
Edmonton, AB
T5M2Y8
John.McLaughlin@mnp.ca
mnp.ca
[image]
[image]
From: Scott Fryer &lt;Scott.Fryer@mnp.ca&gt;
Sent: Monday, January 18, 2021 9:42:40 AM
To: John McLaughlin &lt;John.McLaughlin@mnp.ca&gt;
Cc: Eugene Ng &lt;Eugene.Ng@mnp.ca&gt;; Jennifer Dale &lt;Jennifer.Dale@mnp.ca&gt;
Subject: Trend Renewal
Hi John, hope you had a nice weekendâ€¦.so just circling back on OTIP, I take it Eugene got that server info over to you on Friday.Â Â  We unfortunately as still waiting on the Trend renewal from Disti, hoping to have it back today.Â Â Â  That said, Gene and I are meeting with Mark at 2pm today, so I was hoping to give him some kind of definitive update, when you guys might be able to get something over.
Thanks John, sorry for the rush jobâ€¦but Mark has another consultant in the wings and heâ€™s looking to make a decision on which route to go on this.
Cheers,
Scott Fryer,GSP, CPSP, PAASP
Director, Cyber Security Services
DIRECT CELL:Â 647.389.4624
255 Longside Drive, Suite 102
Mississauga, ON
L5W 0G7
scott.fryer@mnp.ca
mnp.ca
https://www.mnp.ca/en/technology-solutions
https://www.linkedin.com/in/scott-fryer-b71220/
[image]
[image]
â€œSpeed of response, Triumphs perfectionâ€</t>
  </si>
  <si>
    <t>Anna Stakenvicius</t>
  </si>
  <si>
    <t>Anna Stakenvicius - Spam Email? Or actual expired Norton?</t>
  </si>
  <si>
    <t>### Summary of Issue_x000D_
Spam Email? Or actual expired Norton?_x000D_
  _x000D_
### Details of Issue_x000D_
Hello, Please review the attached email, is this Spam/phishing or is my Nortan actually expired? Please advise. Thank you._x000D_
  _x000D_
### Have you opened a ticket about this issue before?  _x000D_
 No  _x000D_
  _x000D_
### How many users are impacted by this issue?  _x000D_
 One  _x000D_
  _x000D_
### How would you classify this issue?  _x000D_
 Work Impacting</t>
  </si>
  <si>
    <t>Please Remove Frank's "Out of Office"</t>
  </si>
  <si>
    <t>Good morning,
Can you please remove Frankâ€™s â€œOut of Officeâ€. He returned yesterday.
Thank you,
CARLA O'NEIL
```
D I R E C T O R  O F  C O R P O R A T E  S E R V I C E S
```
t.Â 403-266-5000 Ext. 213 |Â Â c.Â 403-463-9076
Suite 400, 1550 5 St SWÂ  
Calgary, Alberta T2R 1K3
```
arlingtonstreet.caFacebookÂ Â |Â Â TwitterÂ  |Â Â LinkedInÂ  |Â Â YouTube
```
Important COVID-19 Notice: Please note that we remain OPEN FOR BUSINESS but, as a result of COVID-19, our office is closed to the general public and open to clients by appointment only until further notice. With most of our staff now working remotely, please continue to contact us by email (preferably), or by phone, but note that there may be delays in checking voice messages remotely. We appreciate your continued business and patience during this unprecedented time.
The information in this email and any attachments is sent by ARLINGTON STREET INVESTMENTS and is intended to be confidential and for the use of only the individual or entity named above. The information may be protected by solicitor-client privilege, work product immunity or other legal principles. If the reader of this message is not the intended recipient, you are notified that unauthorized review, retention, dissemination, distribution, copying or other use of or taking any action in reliance upon this information is strictly prohibited. If you received this email in error, please notify us immediately by email reply and delete or destroy this message and any copies</t>
  </si>
  <si>
    <t>Email adjustments please</t>
  </si>
  <si>
    <t>Good Morning,
My emails from operations-cgy@capital-paper.com are being copied to transport@capital-paper.com
Can we have this stopped now please, as I am no longer primarily sitting at the transport computer?
I do need for the other way to remain though â€“ transport@capital-paper.com still needs to be copied to me at operations-cgy@capital-paper.com.
Hope that makes sense?
Thank you,
Barbara Morgan
Operations Calgary
Capital Paper Recycling Ltd
10595 50 Street SE
Calgary, AB T2C 3E3
403.543.3322
Operations-cgy@capital-paper.com
Effective immediately, due to the unsecured nature, we cannot accept Interac E-Transfers. *Unless Authorized by Kim Burns.
The information in this email and any attachments is sent by Capital Paper Recycling LTD. and is intended to be confidential and for the use of only the individual or entity named above. The information may be protected by solicitor-client privilege, work product immunity or other legal principles. If the reader of this message is not the intended recipient, you are notified that unauthorized review, retention, dissemination, distribution, copying or other use of or taking any action in reliance upon this information is strictly prohibited. 
If you received this email in error, please notify us immediately by email reply and delete or destroy this message and any copies.</t>
  </si>
  <si>
    <t>Justin Wiebe - OPAL Document review - HIK Vision Install</t>
  </si>
  <si>
    <t>### Summary of Issue_x000D_
OPAL Document review - HIK Vision Install_x000D_
  _x000D_
### Details of Issue_x000D_
https://nextdigital.itglue.com/2562878/docs/6744291#version=published&amp;documentMode=view_x000D_
  _x000D_
### Have you opened a ticket about this issue before?  _x000D_
 No  _x000D_
  _x000D_
### How many users are impacted by this issue?  _x000D_
 One  _x000D_
  _x000D_
### How would you classify this issue?  _x000D_
 Other</t>
  </si>
  <si>
    <t>Nicole Willmer added 1 new comment. Johnson and Johnson Innovation/JLABS-416 Port Activation 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
Nicole Willmer added 1 new comment.
Johnson and Johnson Innovation
/Â Â   [image] Â  JLABS-416
 Port Activation 
[image]  Nicole Willmer  9:58Â AMÂ EST
Hi James,
Unfortunately there wont be anyone onsite on Friday - is it possible to come by today as originally discussed by 3:00 or 4:00 PM?
Thank you!
Kind regards,
Nicole
View issue
Get Jira notifications on your phone! Download the Jira Cloud app for Android or iOS.
Manage notifications   Â â€¢Â    Give feedback   Â â€¢Â    Privacy policy
[image]
[image]
[image]</t>
  </si>
  <si>
    <t>Mark Peterson</t>
  </si>
  <si>
    <t>Fortinet Renewal Notice - Support Expires 18-FEB-2021</t>
  </si>
  <si>
    <t>Classic Health</t>
  </si>
  <si>
    <t>Wayne Lipsett</t>
  </si>
  <si>
    <t>Power BI Pro for Dan Wright</t>
  </si>
  <si>
    <t>### What company is this quote for?_x000D_
SITE Resource Group_x000D_
  _x000D_
### Is there an existing ticket on another Connectwise board? If so what is the ticket number?_x000D_
1347647_x000D_
  _x000D_
### Add or Remove CSP licenses  _x000D_
 Add licenses  _x000D_
  _x000D_
### March 30, 2020 New Microsoft 365 offerings for small and medium-sized businesses. (https://www.microsoft.com/en-us/microsoft-365/blog/2020/03/30/new-microsoft-365-offerings-small-and-medium-sized-businesses/)  _x000D_
  _x000D_
### What Type of license  _x000D_
 Other License  _x000D_
  _x000D_
### What product?_x000D_
Power BI Pro_x000D_
  _x000D_
### How many licenses to add/remove?_x000D_
1_x000D_
  _x000D_
### Optional - What users are the licenses for?_x000D_
Dan Wright</t>
  </si>
  <si>
    <t>Shauna Kit - 2FA on  old email accounts.</t>
  </si>
  <si>
    <t>Good afternoon,
I believe you have administrative rights to all of the @wktrucking.com emails.Â  Basically there are a few accounts that have incorrect 2 factor authentication on them.Â  For examplesafety@wktrucking.comÂ  will still have Maureen Thielâ€™s phone number (780 914 8571) is still listed to receive the codes and the security questions are her answers.Â  How can I get this changed?
Shauna
W-K Trucking Inc.</t>
  </si>
  <si>
    <t>Chris Yuzwak</t>
  </si>
  <si>
    <t>Nexsource Bentley -  Internet Down</t>
  </si>
  <si>
    <t>Jeff Meadows
Field Services Technician
PH.Â 587.273.5062
4922 - 53 St.
Red Deer,       AB
T4N2E9
Jeff.Meadows@mnp.ca
mnp.ca [image]
[image]
From:Donalee Sylvester &lt;dsylvester@nexsourcepower.com&gt; 
Sent: Monday, January 18, 2021 2:04 PM
To: Jeff Meadows &lt;Jeff.Meadows@mnp.ca&gt;
Cc: cyuzwak@nexsourcepower.com
Subject: RE: Internet
CAUTION:This email originated from outside of the MNP network. Be cautious of any embedded links and/or attachments.
MISE EN GARDE:Ce courriel ne provient pas du rÃ©seau de MNP. MÃ©fiez-vous des liens ou piÃ¨ces jointes quâ€™il pourrait contenir.
Hey Jeff,
Our Bentley office is still down.Â  They have no internet or server access.Â  Can you look into this please?
I have ccâ€™d Chris on this email so you can contact him if you have any questions.
Thanks!
[Donalee Sylvester]</t>
  </si>
  <si>
    <t>Sara Hogstead</t>
  </si>
  <si>
    <t>VPN Access</t>
  </si>
  <si>
    <t>Hello,
I canâ€™t seem to get my VPN access to work. I do have a desktop shortcut that is called "FortiClient VPN" and it prompts me for my ACSA username and password but I tried both shogstead andshogstead@youracsa.ca with my password and it didn't work. Would you be able to please assist?
Thank you,
SARA HOGSTEADÂ BEd, HSAÂ | Instructor, Course Design &amp; Delivery
Alberta Construction Safety Association
225 Parsons Road SW |Â Edmonton ABÂ |Â T6X 0W6
TÂ 780.453.3311 ext. 1862 |Â FÂ 780.455.1120 |Â TFÂ 1.800.661.ACSA (2272)
www.youracsa.ca
[image][image][image][image]
[image]</t>
  </si>
  <si>
    <t>FlyRite Accessory Overhauls Ltd.</t>
  </si>
  <si>
    <t>Peter Jenkins</t>
  </si>
  <si>
    <t>Microsoft Office 365 for FlyRite</t>
  </si>
  <si>
    <t>Hi, and Happy New Year.
I'd like your advice and assistance please, in solving a problem I'm having.Â  My airworthiness auditor works his files etc. in Office, but my Office 2003 is not compatible and won't read the docx files he has generated. Â Â Open Office scrambles the formats, so that isn't an acceptable option.
From what I can learn, I will have to subscribe to Office 365.Â  Would you please have someone expert with Office give me a call, and help get this in place.Â  I have questions about the licencing plans and what's included, and what my choices are.Â  Thanks.
Best regards,
Peter Jenkins
President
FlyRite Accessory Overhauls Ltd.
101, 9615 - 56 Avenue NW,Â  Edmonton, Alberta Canada T6E 0B2
P 780-439-6020 F 780-439-6106 info@flyrite.ca</t>
  </si>
  <si>
    <t>Kate P - access to shared drive</t>
  </si>
  <si>
    <t>Good afternoon,
This is a request to please grant Kate Price full access on our Shared â€“ Leadership folder on the W drive.
Thanks,
Angeli
[image]
Angeli AlipioBBA
HR Generalist
T: 403.205.5233 |E: AngeliA@caryacalgary.ca| F: 403.205.5281
180, 839 5 Ave SW | Calgary, AB | T2P 3C8
[image]Â [image]Â [image]
carya (formerly Calgary Family Services)
We are working remotely to help Calgarians through the COVID-19 pandemic. Please reach out to us if you need support.carya is here for you.
In the spirit of our efforts to promote reconciliation, we acknowledge the traditional territories and oral practices of the Blackfoot, the Tsuut'ina, the Stoney Nakoda First Nations, the MÃ©tis Nation Region 3, and all people who make their homes in the Treaty 7 region of Southern Alberta. We also respectfully acknowledge that the province of Alberta is comprised of Treaty 6, Treaty 7, and Treaty 8 territory, the traditional lands of First Nations and MÃ©tis peoples.
No form of electronic communication is secure and may be intercepted by others. Carya cannot guarantee the receipt of electronic communication nor a timely response. Where communication is confidential or time sensitive we recommend you call 403-269-9888 during business hours (Monday-Friday, 8:30am-4:30pm). For immediate crisis response please contact the Distress Centre Crisis Line at 403-266-HELP (4537) and in case of an emergency dial 911.
This e-mail is intended solely for the person or entity to which it is addressed and may contain confidential and/or privileged information. Any review, dissemination, copying, printing, forwarding or other use of this e-mail by persons or entities other than the addressee is prohibited. If you have received this e-mail in error, please contact the sender immediately and delete the material from your computer.</t>
  </si>
  <si>
    <t>Sheila Drewniak</t>
  </si>
  <si>
    <t>Sheila Drewniak - RE: Staff Shared Drive Access</t>
  </si>
  <si>
    <t>Sounds goodâ€¦I donâ€™t have access yet and I will be away from my laptop for approximately 60 minutes so will try when I return.
Sheila
SheilaDrewniak e4c
Housing Outreach Worker
Intensive Case ManagementTeam
sdrewniak@e4calberta.org
T780.424.7543
C587.599.3678
9321 Jasper Avenue, Edmonton AB T5H 3T7
e4calberta.org
[image]
This message is intended for the use of the individual or entity to which it is addressed and may contain information that is privileged and confidential. If you are not the intended recipient or the employee responsible for delivery of the message to the intended recipient, please be advised that any dissemination, distribution or copying of this message is strictly prohibited. If you have received this message in error, please notify us immediately by telephone and return the original email to us or destroy this message.
[image]e4c supports environmental conservation - please print wisely.
From: M.Luiza Coelho 
Sent: Monday, January 18, 2021 3:14 PM
To: Andy Kennedy &lt;AKennedy@e4calberta.org&gt;
Cc: IT Help Desk &lt;help@nextdigital.ca&gt;; Marisa Redmond &lt;MRedmond@e4calberta.org&gt;; Sheila Drewniak &lt;SDrewniak@e4calberta.org&gt;
Subject: Re: Staff Shared Drive Access
Already authorized with IT, they will let us know when is completed. Stay tuned.
M.LuizaCoelho e4c
Senior Manager
mlcoelho@e4calberta.org
T
780.424.7543 ext 132
9321 Jasper Avenue, Edmonton AB T5H 3T7
e4calberta.org
[image]
This message is intended for the use of the individual or entity to which it is addressed and may contain information that is privileged and confidential. If you are not the intended recipient or the employee responsible for delivery of the message to the intended recipient, please be advised that any dissemination, distribution or copying of this message is strictly prohibited. If you have received this message in error, please notify us immediately by telephone and return the original email to us or destroy this message.
[image]e4c supports environmental conservation - please print wisely.
On Jan. 15, 2021 5:04 p.m., Andy Kennedy &lt;AKennedy@e4calberta.org&gt; wrote:
Hello,
Please give my staff, Sheila, access to the following filepath:
N:\Leaders\Agency Leaders\OHS\9.1 COVID\1. COVID daily report
I am entrusting her to complete our daily COVID reporting while I am away from January 18 â€“ 22 2021. She will need access to this filepath in order to complete the daily report.
AndyKennedy e4c
Lead Housing Outreach Worker 
Intensive Case Management
AKennedy@e4calberta.org
T
780.424.7543
C
780.221.1378
9321 Jasper Avenue, Edmonton AB T5H 3T7
e4calberta.org
[image]
This message is intended for the use of the individual or entity to which it is addressed and may contain information that is privileged and confidential. If you are not the intended recipient or the employee responsible for delivery of the message to the intended recipient, please be advised that any dissemination, distribution or copying of this message is strictly prohibited. If you have received this message in error, please notify us immediately by telephone and return the original email to us or destroy this message.
[image]e4c supports environmental conservation - please print wisely.</t>
  </si>
  <si>
    <t>Re: Staff Shared Drive Access</t>
  </si>
  <si>
    <t>Already authorized with IT, they will let us know when is completed. Stay tuned.
M.LuizaCoelho e4c
Senior Manager
mlcoelho@e4calberta.org
T780.424.7543 ext 132
9321 Jasper Avenue, Edmonton AB T5H 3T7
e4calberta.org
[image]
This message is intended for the use of the individual or entity to which it is addressed and may contain information that is privileged and confidential. If you are not the intended recipient or the employee responsible for delivery of the message to the intended recipient, please be advised that any dissemination, distribution or copying of this message is strictly prohibited. If you have received this message in error, please notify us immediately by telephone and return the original email to us or destroy this message.
[image]e4c supports environmental conservation - please print wisely.
On Jan. 15, 2021 5:04 p.m., Andy Kennedy &lt;AKennedy@e4calberta.org&gt; wrote:
Hello,
Please give my staff, Sheila, access to the following filepath:
N:\Leaders\Agency Leaders\OHS\9.1 COVID\1. COVID daily report
I am entrusting her to complete our daily COVID reporting while I am away from January 18 â€“ 22 2021. She will need access to this filepath in order to complete the daily report.
AndyKennedy e4c
Lead Housing Outreach Worker
Intensive Case Management
AKennedy@e4calberta.org
T 780.424.7543
C 780.221.1378
9321 Jasper Avenue, Edmonton AB T5H 3T7
e4calberta.org
[image]
This message is intended for the use of the individual or entity to which it is addressed and may contain information that is privileged and confidential. If you are not the intended recipient or the employee responsible for delivery of the message to the intended recipient, please be advised that any dissemination, distribution or copying of this message is strictly prohibited. If you have received this message in error, please notify us immediately by telephone and return the original email to us or destroy this message.
[image]e4c supports environmental conservation - please print wisely.</t>
  </si>
  <si>
    <t>Marisa Redmond</t>
  </si>
  <si>
    <t>RE: Staff Shared Drive Access</t>
  </si>
  <si>
    <t>Please let me know if we are unable to set Sheila up with access and I can log in and complete it for her.
MarisaRedmond e4c
Senior Director of Housing
MRedmond@e4calberta.org
T780-424-7543
9321 Jasper Avenue, Edmonton AB T5H 3T7
e4calberta.org
[image]
This message is intended for the use of the individual or entity to which it is addressed and may contain information that is privileged and confidential. If you are not the intended recipient or the employee responsible for delivery of the message to the intended recipient, please be advised that any dissemination, distribution or copying of this message is strictly prohibited. If you have received this message in error, please notify us immediately by telephone and return the original email to us or destroy this message.
[image]e4c supports environmental conservation - please print wisely.
From: Andy Kennedy
Sent: January 15, 2021 5:04 PM
To: IT Help Desk &lt;help@nextdigital.ca&gt;
Cc: M.Luiza Coelho &lt;mlcoelho@e4calberta.org&gt;; Marisa Redmond &lt;MRedmond@e4calberta.org&gt;; Sheila Drewniak &lt;SDrewniak@e4calberta.org&gt;
Subject: Staff Shared Drive Access
Hello,
Please give my staff, Sheila, access to the following filepath:
N:\Leaders\Agency Leaders\OHS\9.1 COVID\1. COVID daily report
I am entrusting her to complete our daily COVID reporting while I am away from January 18 â€“ 22 2021. She will need access to this filepath in order to complete the daily report.
AndyKennedy e4c
Lead Housing Outreach Worker 
Intensive Case Management
AKennedy@e4calberta.org
T
780.424.7543
C
780.221.1378
9321 Jasper Avenue, Edmonton AB T5H 3T7
e4calberta.org
[image]
This message is intended for the use of the individual or entity to which it is addressed and may contain information that is privileged and confidential. If you are not the intended recipient or the employee responsible for delivery of the message to the intended recipient, please be advised that any dissemination, distribution or copying of this message is strictly prohibited. If you have received this message in error, please notify us immediately by telephone and return the original email to us or destroy this message.
[image]e4c supports environmental conservation - please print wisely.</t>
  </si>
  <si>
    <t>Hi
Please set up an email, user name and password for Dustin Christiansen.Â He will be working out of Calmont Equipment, Red DeerÂ  Please set him up the same as Terry McGeough.
His start date is February 1, 2021.
With Thanks,
Cheryl Trenchard, PCP
Human Resources &amp; Payroll Supervisor
[cid:image001.jpg@01D407CC.BE04B790]
14610 Yellowhead Trail NW Edmonton, AB, T5L 3C5
Branch: 780-482-0281Â Â Â  Cell: 587-930-2091Â Â  Fax: 780-482-0278
Email:cheryl.trenchard@calmont.ca
Website:www.calmont.ca
This email, and any files transmitted with it, are confidential and are intended solely for the use of the individual or entity to which they are addressed. Any unauthorized use or disclosure is prohibited. Please notify the sender if you have received this email in error. Thank you for your co-operation.</t>
  </si>
  <si>
    <t>Hi
Please set up an user name and password for Ron Chand.Â He will be working out of Calmont Truck Centre, Calgary.Â  Please set him up the same as Steven Briggs
His start date is February 2, 2021.
NO EMAIL REQUIRED
With Thanks,
Cheryl Trenchard, PCP
Human Resources &amp; Payroll Supervisor
[cid:image001.jpg@01D407CC.BE04B790]
14610 Yellowhead Trail NW Edmonton, AB, T5L 3C5
Branch: 780-482-0281Â Â Â  Cell: 587-930-2091Â Â  Fax: 780-482-0278
Email:cheryl.trenchard@calmont.ca
Website:www.calmont.ca
This email, and any files transmitted with it, are confidential and are intended solely for the use of the individual or entity to which they are addressed. Any unauthorized use or disclosure is prohibited. Please notify the sender if you have received this email in error. Thank you for your co-operation.</t>
  </si>
  <si>
    <t>Jeff Homynyk</t>
  </si>
  <si>
    <t>email search not possible</t>
  </si>
  <si>
    <t>Please give me a call. 780 913-3315
JH
Jeff Homynyk       BA, CIP
President &amp; CEO
EÂ Â Â Â Â  JHomynyk@mhkinsurance.com
DÂ Â Â Â  587.525.6031Â 
CÂ Â Â Â  780.913.3315
12316-107 Avenue, Edmonton, AB  T5M 1Z1
www.mhkinsurance.com
[image]
[image]
We're here to help with your insurance needs. Emails       and phone calls are still encouraged. Appointments are required for       in-office broker meetings. Please wear a mask when       visiting.
MHK welcomes       e-Transfer payments to banking@mhkinsurance.â€‰com.
If you       receive this email in error, please notify us by reply email and destroy       this message. MHK complies with Canada's Anti-Spam and Alberta's PIPA       Legislations. If you no longer wish to receive emails from MHK, please       reply with 'Unsubscribe' in the subject   line.</t>
  </si>
  <si>
    <t>Hi
Please set up an user name and password for Emmanuel Belford.Â He will be working out of Calmont Truck Centre, Calgary.Â  Please set him up the same as Steven Briggs
His start date is February 1, 2021.
NO EMAIL REQUIRED
With Thanks,
Cheryl Trenchard, PCP
Human Resources &amp; Payroll Supervisor
[cid:image001.jpg@01D407CC.BE04B790]
14610 Yellowhead Trail NW Edmonton, AB, T5L 3C5
Branch: 780-482-0281Â Â Â  Cell: 587-930-2091Â Â  Fax: 780-482-0278
Email:cheryl.trenchard@calmont.ca
Website:www.calmont.ca
This email, and any files transmitted with it, are confidential and are intended solely for the use of the individual or entity to which they are addressed. Any unauthorized use or disclosure is prohibited. Please notify the sender if you have received this email in error. Thank you for your co-operation.</t>
  </si>
  <si>
    <t>Kevin Lofto - Scanning Issue</t>
  </si>
  <si>
    <t>### Summary of Issue_x000D_
Scanning Issue_x000D_
  _x000D_
### Details of Issue_x000D_
Kevin Lofto has a Cannon Pixma MX432.  He cannot seem to scan in PDF.  He says that he has .tiff and .jpeg.  When i look it up online it says it can do it but i cant navigate him to the right spots without seeing his screen. I was hoping someone could walk him through the process. I have added the link below of where i found the "how to" https://support.usa.canon.com/kb/index?page=content&amp;id=ART136688_x000D_
  _x000D_
### Have you opened a ticket about this issue before?  _x000D_
 No  _x000D_
  _x000D_
### How many users are impacted by this issue?  _x000D_
 One  _x000D_
  _x000D_
### How would you classify this issue?  _x000D_
 Work Impacting  _x000D_
  _x000D_
### If your callback number is different than what's on record, please provide it below._x000D_
Kevin Lofto 780-416-2620, Becky 780-235-2515</t>
  </si>
  <si>
    <t>Request for Chris Ippolito - Upgrade of Home Equipment</t>
  </si>
  <si>
    <t>Chris Requires the Following:
 Focusrite SCARLETT-SOLO-3RD-GEN USB Audio Interface
 Shure SM7B Vocal Dynamic Microphone
 Gator Frameworks Deluxe Desk-Mounted Broadcast Microphone Boom
Cori Davidge
Consultant, Technology Solutions
PH.Â +1 4036864357
310 - 4000 4 St SE
Calgary, AB
T2G2W3
Cori.Davidge@mnp.ca
mnp.ca[image]
[image]</t>
  </si>
  <si>
    <t>Shutdown - AZRDSTEST</t>
  </si>
  <si>
    <t>We are shutting downing the AZRDSTESTserver, and in the future, we will request you to decommission it from our tenant
The users moved to (WVD) IBSG-WVD-PD-0
Amin Hirji</t>
  </si>
  <si>
    <t>Suzanne Rosko</t>
  </si>
  <si>
    <t>Request for Webcam</t>
  </si>
  <si>
    <t>Hello,
We recently purchased two monitors for Kathyâ€™s work station. We â€™d like to make sure that she has audio and visual capabilities for zoom and team meetings. Â I think we need to buy a web cam. Would someone help us please?
Thanks
[ECT Local 54 green-blue.jpg]Suzanne Rosko
Associate Executive Director
Edmonton Catholic Teachers
Local 54 of the Alberta Teachersâ€™ Association
W: (780) 451 1196
suzanne.rosko@ecteachers.ca</t>
  </si>
  <si>
    <t>Ekubzgi, Genet - Termination, January 18, 2021</t>
  </si>
  <si>
    <t>Good afternoon,
Please be advised that Genet Ekubzgiâ€™s last day withcarya is today, January 18, 2021 â€“ please see attached form for details and let me know if you have any questions.
Thanks,
Angeli
[image]
Angeli AlipioBBA
HR Generalist
T: 403.205.5233 |E: AngeliA@caryacalgary.ca| F: 403.205.5281
180, 839 5 Ave SW | Calgary, AB | T2P 3C8
[image]Â [image]Â [image]
carya (formerly Calgary Family Services)
We are working remotely to help Calgarians through the COVID-19 pandemic. Please reach out to us if you need support.carya is here for you.
In the spirit of our efforts to promote reconciliation, we acknowledge the traditional territories and oral practices of the Blackfoot, the Tsuut'ina, the Stoney Nakoda First Nations, the MÃ©tis Nation Region 3, and all people who make their homes in the Treaty 7 region of Southern Alberta. We also respectfully acknowledge that the province of Alberta is comprised of Treaty 6, Treaty 7, and Treaty 8 territory, the traditional lands of First Nations and MÃ©tis peoples.
No form of electronic communication is secure and may be intercepted by others. Carya cannot guarantee the receipt of electronic communication nor a timely response. Where communication is confidential or time sensitive we recommend you call 403-269-9888 during business hours (Monday-Friday, 8:30am-4:30pm). For immediate crisis response please contact the Distress Centre Crisis Line at 403-266-HELP (4537) and in case of an emergency dial 911.
This e-mail is intended solely for the person or entity to which it is addressed and may contain confidential and/or privileged information. Any review, dissemination, copying, printing, forwarding or other use of this e-mail by persons or entities other than the addressee is prohibited. If you have received this e-mail in error, please contact the sender immediately and delete the material from your computer.</t>
  </si>
  <si>
    <t>Capital Jeep Chrysler</t>
  </si>
  <si>
    <t>Ashley Evans</t>
  </si>
  <si>
    <t>FW: 5 NEW IP 480 PHONES REQUIRED</t>
  </si>
  <si>
    <t>Note email address confirmation for billing purposes.
From: Ashley Evans &lt;aevans@capitaljeep.com&gt; 
Sent: Monday, January 18, 2021 9:49 AM
To: Sales - MNP IT Managed Services &lt;sales@mnptechnology.ca&gt;
Cc: Accountspayable (capitaljeep.com) &lt;accountspayable@capitaljeep.com&gt;
Subject: 5 NEW IP 480 PHONES REQUIRED
CAUTION:This email originated from outside of the MNP network. Be cautious of any embedded links and/or attachments.
MISE EN GARDE:Ce courriel ne provient pas du rÃ©seau de MNP. MÃ©fiez-vous des liens ou piÃ¨ces jointes quâ€™il pourrait contenir.
Good morning!
I'm looking to add 5 new phonesÂ to our system. Each of them will be brand new phones at the desks (no previous phones at the desks).
Can you also let me know where invoices are being sent? We haven't received invoices on our last 3 requests and want to make sure you are getting paid. If you can please forward them to accountspayable@capitaljeep.com it would be greatly appreciated.
Thank you!
Ashley
Ashley Evans, CPA
Controller
Capital Motors LP
1311 101 St SW
Edmonton, AB T6X 1A1
Phone: (780) 435-4711
Toll Free: 1(888) 755-8701
Fax: (780) 430-3041
Email:aevans@capitaljeep.com
[Image removed by sender. Capital Jeep]</t>
  </si>
  <si>
    <t>Second Loft Smartboard</t>
  </si>
  <si>
    <t>From: Julie Nadeau &lt;Julie-Nadeau@poundmaker.org&gt; 
Sent: Monday, January 18, 2021 9:55 AM
To: Sales - MNP IT Managed Services &lt;sales@mnptechnology.ca&gt;
Subject: FW: Quotes
CAUTION:This email originated from outside of the MNP network. Be cautious of any embedded links and/or attachments.
MISE EN GARDE:Ce courriel ne provient pas du rÃ©seau de MNP. MÃ©fiez-vous des liens ou piÃ¨ces jointes quâ€™il pourrait contenir.
Good morning,
Can I receive a quote for a mobile 65â€ Loft smartboard. I believe thatâ€™s the smallest size they have.
And I also require a quote for a computer for the clinical Direct.
Julie Nadeau
Executive Assistant | (780) 983-5529
Poundmakerâ€™s Lodge Treatment Centre
From: Julie Nadeau 
Sent: Thursday, January 7, 2021 12:03 PM
To: Flavio Soares &lt;Flavio.Soares@mnp.ca&gt;
Cc: Brad Cardinal &lt;Brad-Cardinal@poundmaker.org&gt;
Subject: Quotes
Good morning Flavio,
Can I receive a quote for a mobile 65â€ Loft smartboard. I believe thatâ€™s the smallest size they have.
And I also require a quote for a computer for the clinical Direct.
Thank you,
Julie Nadeau
Executive Assistant | (780) 983-5529
Poundmakerâ€™s Lodge Treatment Centre</t>
  </si>
  <si>
    <t>FW: Subscription renewal reminder.</t>
  </si>
  <si>
    <t>Hello MNP,
Has someone been able to review my Jan 13, 2020 email request?
Can you help with my Adobe accounts and how it is set up for monthly payments?
I am being billed $34.61 for an Adobe account to an old credit card.
1. I need this adobe to be with the bulk accounts
2. Need this credit card to be removed.
Thanks,
Melody
[Email Logo Template]
From: Melody Baldry
Sent: January 14, 2021 9:09 AM
To: Sales@mnptechnology.ca
Subject: FW: Subscription renewal reminder.
Hello,
Coincidentally, from my email sent to you yesterday, I received this Adobe notice this morning.
This was a testing account created by Richard, registered to Melody Baldry. How can I combine this account with our primary account with the multiple users at Align? I may also have a Melody Baldry account in the group account and therefore have 2 accounts in my name being paid for. I would like to review all these accounts.
Thanks,
Melody
[Email Logo Template]
From: Adobe &lt;mail@mail.adobe.com&gt;
Sent: January 14, 2021 7:00 AM
To: Melody Baldry &lt;Melody.Baldry@alignortho.com&gt;
Subject: Subscription renewal reminder.
Thank you for continuing to be part of the Adobe community! Â â€ŒÂ â€ŒÂ â€ŒÂ â€ŒÂ â€ŒÂ â€ŒÂ â€ŒÂ â€ŒÂ â€ŒÂ â€ŒÂ â€ŒÂ â€ŒÂ â€ŒÂ Â â€ŒÂ â€ŒÂ â€ŒÂ â€ŒÂ â€ŒÂ â€ŒÂ â€ŒÂ â€ŒÂ â€ŒÂ â€ŒÂ â€ŒÂ â€ŒÂ â€ŒÂ Â â€ŒÂ â€ŒÂ â€ŒÂ â€ŒÂ â€ŒÂ â€ŒÂ â€ŒÂ â€ŒÂ â€ŒÂ â€ŒÂ â€ŒÂ â€ŒÂ â€ŒÂ Â â€ŒÂ â€ŒÂ â€ŒÂ â€ŒÂ â€ŒÂ â€ŒÂ â€ŒÂ â€ŒÂ â€ŒÂ â€ŒÂ â€ŒÂ â€ŒÂ â€Œ
[Adobe]
Melody, your subscription is about to renew.
Thank you for continuing to be part of the Adobe community!
Weâ€™re reaching out to remind you that your monthly subscription will be renewing on January 28, 2021. If you have recently cancelled your monthly subscription, you may ignore this message.
[Adobe]
When your subscription renews, going forward youâ€™ll be billed in Canadian dollars. This means from now on youâ€™ll see consistent, predictable charges from Adobe in your bank statement. There will be no change to what is already included in your plan.
[image]
If you have any questions, weâ€™re here for you. ContactAdobe Customer Support to chat with a representative. Or to manage your subscription, visit your AdobeÂ Account page.
Here's a quick look at your renewal details:
Subscription
[image]Â Acrobat Pro DC
Payment
US $26.24 â†’ CAD $34.64/month (includes tax)
Payment Method
Visa ending in 6795
Adobe ID
melody.baldry@alignortho.com
[Adobe]
Manage Account
Customer Support
Forums
Adobe, the Adobe logo, and Creative Cloud are either registered trademarks or trademarks of Adobe in the United States and/or other countries. All other trademarks are the property of their respective owners. 
Adobe, 345 Park Avenue, San Jose, CA 95110 USA 
Read online
A357836
ie_CA
[image][image]</t>
  </si>
  <si>
    <t>Dylan Bagot</t>
  </si>
  <si>
    <t>Fw: Privacy assessment IT related questions</t>
  </si>
  <si>
    <t>Submitted on behalf of NHP Canada. This should go to OPAL.
Chris Ippolito
Manager, Client Experience
PH.Â +1 7804246398       Ext 312
14505 114th Avenue NW
Edmonton,       AB
T5M2Y8
Chris.Ippolito@mnp.ca
mnp.ca [image]
[image]
From: Dylan Bagot &lt;DBagot@nhpcanada.org&gt;
Sent: Monday, January 18, 2021 12:34 PM
To: Chris Ippolito &lt;Chris.Ippolito@mnp.ca&gt;
Cc: Noelle Goff-Kurlander &lt;ngoff@nhpcanada.org&gt;
Subject: Privacy assessment IT related questions
CAUTION: This email originated from outside of the MNP network. Be cautious of any embedded links and/or attachments.
MISE EN GARDE:Ce courriel ne provient pas du rÃ©seau de MNP. MÃ©fiez-vous des liens ou piÃ¨ces jointes quâ€™il pourrait contenir.
Hi Chris,
Hope youâ€™re doing well this new year. Weâ€™re undergoing a privacy assessment at our organization and some questions related to email system, local server and network need to be answered. Iâ€™ve CCâ€™d our digital communications advisor Noelle onto this email as she is the one who has been answering these types of questions for the contracted firm. Would you be able to answer her questions or direct her/us to the proper person to ask?
Thanks
Dylan Bagot
H/R Manager
Natural Health Practitioners of Canada (NHPC)
Phone: 780-484-2010 ext. 259
Toll free: 1-888-711-7701
Web:Â www.nhpcanada.org and remember to regularly check your government health services website for updates.
This message (including any attachments) is for the addressee(s) only and may contain information that is privileged, confidential or exempt from disclosure. If you have received thisÂ message in error please immediately notify the sender and delete this email message and any attachments.</t>
  </si>
  <si>
    <t>CANADA ICI:  Disk space on ICI-SQL-01</t>
  </si>
  <si>
    <t>Hi,
I was running some sql queries on ICI-SQL-01 and I was getting some failures on the queries indicating insufficient disk space.
Can you please verify that their is sufficient disk space on this guest server
Thanks
Bob</t>
  </si>
  <si>
    <t>Tammy Hubbel</t>
  </si>
  <si>
    <t>Tammy Hubbel - Teams</t>
  </si>
  <si>
    <t>### Summary of Issue_x000D_
Teams_x000D_
  _x000D_
### Details of Issue_x000D_
My Calendar is not linking to Teams_x000D_
  _x000D_
### Have you opened a ticket about this issue before?  _x000D_
 No  _x000D_
  _x000D_
### How many users are impacted by this issue?  _x000D_
 One  _x000D_
  _x000D_
### How would you classify this issue?  _x000D_
 Work Impacting</t>
  </si>
  <si>
    <t>1 x Office 365 E1 (Nonprofit Staff Pricing)</t>
  </si>
  <si>
    <t>### What company is this quote for?_x000D_
E4C_x000D_
  _x000D_
### Add or Remove CSP licenses  _x000D_
 Add licenses  _x000D_
  _x000D_
### March 30, 2020 New Microsoft 365 offerings for small and medium-sized businesses. (https://www.microsoft.com/en-us/microsoft-365/blog/2020/03/30/new-microsoft-365-offerings-small-and-medium-sized-businesses/)  _x000D_
  _x000D_
### What Type of license  _x000D_
 Office 365 Exchange Online  _x000D_
  _x000D_
### How many licenses to add/remove?_x000D_
1_x000D_
  _x000D_
### Optional - What users are the licenses for?_x000D_
Please make sure the licenses are applied to this tenant https://nextdigital.itglue.com/1420856/passwords/12035530#partial=&amp;sortBy=name:asc&amp;filters=%5B%5D</t>
  </si>
  <si>
    <t>Terminate - Bruce Hogg</t>
  </si>
  <si>
    <t>[image]Â Riccardo Francese
Business Process Manager
T:       +1 (780) 400-7487
C:       +1 (587) 990-0176
F:       +1 (780) 417-6496
E:       RFrancese@siterg.com
W:       WWW.SITERG.COM
#170, 120 Pembina Rd., Sherwood Park, AB, T8H 0M2
The information contained in this e-mail may       contain confidential or privileged material and is intended only for the       stated addressee(s). If you are not the valid addressee, the use,       disclosure, copying or distribution of this information is prohibited and       may be unlawful. If you have received this email message in error, please       notify the sender immediately and delete all copies of the message from       your computer. All information within or opinions expressed in this       message and/or any attachments are those of the author and are not       necessarily those of the Centurion Group.</t>
  </si>
  <si>
    <t>Request - Additional Panasonic Telephone and License</t>
  </si>
  <si>
    <t>From: Lukas Kawalilak &lt;Lukas@pulseveterinary.ca&gt;
Sent: January 18, 2021 10:53 AM
To: Sales - MNP IT Managed Services &lt;sales@mnptechnology.ca&gt;
Subject: RE: Service Ticket #1343266 - Chemo office cabling and Desktop Bundles
CAUTION:This email originated from outside of the MNP network. Be cautious of any embedded links and/or attachments.
MISE EN GARDE:Ce courriel ne provient pas du rÃ©seau de MNP. MÃ©fiez-vous des liens ou piÃ¨ces jointes quâ€™il pourrait contenir.
Hi Cori,
Yes I would like another Panasonic telephone and licence.Â  Will it arrive at the same time as the rest of the order?
Thanks,
LK
[Image removed by sender.]
Dr. Lukas Kawalilak
DVM, Diplomate ACVR
Specialist in Veterinary Diagnostic Imaging
E:lukas@pulseveterinary.ca
P: 780.570.9999
A: 450 Ordze Road, Unit #320.Â  Sherwood Park, AB T8B 0C5
www.pulseveterinary.ca
From: Sales - MNP IT Managed Services &lt;sales@mnptechnology.ca&gt;
Sent: January 18, 2021 10:51 AM
To: Lukas Kawalilak &lt;Lukas@pulseveterinary.ca&gt;
Subject: RE: Service Ticket #1343266 - Chemo office cabling and Desktop Bundles
Good Morning Lukas,
I can certainly do up a quote for you, I just wanted to connect first and clarify if you are looking to have another Panasonic IP NT551B Telephone quoted with itâ€™s corresponding license?
Thanks,
Cori
From: Lukas Kawalilak &lt;Lukas@pulseveterinary.ca&gt;
Sent: Friday, January 15, 2021 4:15 PM
To: Sales - MNP IT Managed Services &lt;sales@mnptechnology.ca&gt;
Subject: RE: Service Ticket #1343266 - Chemo office cabling and Desktop Bundles
CAUTION:This email originated from outside of the MNP network. Be cautious of any embedded links and/or attachments.
MISE EN GARDE:Ce courriel ne provient pas du rÃ©seau de MNP. MÃ©fiez-vous des liens ou piÃ¨ces jointes quâ€™il pourrait contenir.
Hi Cori,
Am I able to add an additional phone unit with associated licences etc to my order?
Thanks,
LK
[Image removed by sender.]
Dr. Lukas Kawalilak
DVM, Diplomate ACVR
Specialist in Veterinary Diagnostic Imaging
E:lukas@pulseveterinary.ca
P: 780.570.9999
A: 450 Ordze Road, Unit #320.Â  Sherwood Park, AB T8B 0C5
www.pulseveterinary.ca
From: Sales - MNP IT Managed Services &lt;sales@mnptechnology.ca&gt;
Sent: January 8, 2021 4:24 PM
To: Lukas Kawalilak &lt;Lukas@pulseveterinary.ca&gt;
Subject: RE: Service Ticket #1343266 - Chemo office cabling and Desktop Bundles
Hi Lukas,
You are most welcome!
I have updated the quote with your request of (1) additional workstation for a total of 7.
You can review and approve the quote by clicking the link below.
Quote Number: AAAQ19921
If you have any further questions or change requests please do not hesitate to reach out.
Have a wonderful weekend.
Thanks,
Cori
From: Lukas Kawalilak &lt;Lukas@pulseveterinary.ca&gt;
Sent: Friday, January 8, 2021 3:10 PM
To: Sales - MNP IT Managed Services &lt;sales@mnptechnology.ca&gt;
Subject: RE: Service Ticket #1343266 - Chemo office cabling and Desktop Bundles
CAUTION:This email originated from outside of the MNP network. Be cautious of any embedded links and/or attachments.
MISE EN GARDE:Ce courriel ne provient pas du rÃ©seau de MNP. MÃ©fiez-vous des liens ou piÃ¨ces jointes quâ€™il pourrait contenir.
Hi Cori,
Thanks for the quote.Â  Yes it is good to use the standard performance unit.Â  Thanks for including the additional phones.Â  Can you add an additional workstation for a total of 7?
Thanks,
LK
[Image removed by sender.]
Dr. Lukas Kawalilak
DVM, Diplomate ACVR
Specialist in Veterinary Diagnostic Imaging
E:lukas@pulseveterinary.ca
P: 780.570.9999
A: 450 Ordze Road, Unit #320.Â  Sherwood Park, AB T8B 0C5
www.pulseveterinary.ca
From: Sales - MNP IT Managed Services &lt;sales@mnptechnology.ca&gt;
Sent: January 8, 2021 3:02 PM
To: Lukas Kawalilak &lt;Lukas@pulseveterinary.ca&gt;
Subject: Service Ticket #1343266 - Chemo office cabling and Desktop Bundles
Good Afternoon Lukas and Happy New Year to you.
Dave provided the required cabling information from his site visit yesterday and we have prepared the below quote for you to review. Note that we have...</t>
  </si>
  <si>
    <t>Rachel Peterson</t>
  </si>
  <si>
    <t>Rachel Peterson - Documents won't open first time and sometimes won't open at all.</t>
  </si>
  <si>
    <t>### Summary of Issue_x000D_
Documents won't open first time and sometimes won't open at all._x000D_
  _x000D_
### Details of Issue_x000D_
The communications file in my D drive was not opening the first time and I could usually get it to open by waiting and trying again. Now it is telling me I don't have permission and showing the message I have attached._x000D_
  _x000D_
### Have you opened a ticket about this issue before?  _x000D_
 No  _x000D_
  _x000D_
### How many users are impacted by this issue?  _x000D_
 One  _x000D_
  _x000D_
### How would you classify this issue?  _x000D_
 Work Impacting  _x000D_
  _x000D_
### If your callback number is different than what's on record, please provide it below._x000D_
7809082454</t>
  </si>
  <si>
    <t>Landrex Adobe Creative Cloud</t>
  </si>
  <si>
    <t>### What company is this quote for?_x000D_
Landrex_x000D_
  _x000D_
### Add or Remove CSP licenses  _x000D_
 Add licenses  _x000D_
  _x000D_
### March 30, 2020 New Microsoft 365 offerings for small and medium-sized businesses. (https://www.microsoft.com/en-us/microsoft-365/blog/2020/03/30/new-microsoft-365-offerings-small-and-medium-sized-businesses/)  _x000D_
  _x000D_
### What Type of license  _x000D_
 Other License  _x000D_
  _x000D_
### What product?_x000D_
Adobe Creative Cloud_x000D_
  _x000D_
### How many licenses to add/remove?_x000D_
1_x000D_
  _x000D_
### Optional - What users are the licenses for?_x000D_
Katrina Whiteman</t>
  </si>
  <si>
    <t>Joscelyne Rivard - Printer Installation</t>
  </si>
  <si>
    <t>### Summary of Issue_x000D_
printer_x000D_
  _x000D_
### Details of Issue_x000D_
please install lexmark mc2425 printer laptop for Joscelyne Rivard as well as nursingstation@pilgrimshospice.com and nursingstation2@pilgrimshospice.com. Please call 780-413-9801 ext 104 or direct dial 825-467-8594
Thank you_x000D_
  _x000D_
### Have you opened a ticket about this issue before?  _x000D_
 No  _x000D_
  _x000D_
### How many users are impacted by this issue?  _x000D_
 Some  _x000D_
  _x000D_
### How would you classify this issue?  _x000D_
 Work Impacting  _x000D_
  _x000D_
### If your callback number is different than what's on record, please provide it below._x000D_
call 780-413-9801 ext 104 or direct dial 825-467-8594</t>
  </si>
  <si>
    <t>Quote Request - Landrex - USB C to HDMI Adapters</t>
  </si>
  <si>
    <t>### End User Hardware  _x000D_
  _x000D_
### What company is this quote for?_x000D_
Landrex_x000D_
  _x000D_
### Who made this request and why?_x000D_
Cari_x000D_
  _x000D_
### Give this request a name_x000D_
USB C to HDMI Adapters_x000D_
  _x000D_
### Who should the quote be addressed to?  _x000D_
 The primary contact in Connectwise  _x000D_
  _x000D_
### Which location is the product for?_x000D_
St Albert_x000D_
  _x000D_
### Which ND location is it needed at?  _x000D_
 Dropshipped to client site directly from distribution  _x000D_
  _x000D_
### What is the ship-to address?_x000D_
220 Summit Plaza, 190 Boudreau Road, St. Albert, AB T8N 6B9_x000D_
  _x000D_
### When is it needed by OR when is the next site visit for the client's location?  _x000D_
Mon 25 Jan, 2021  _x000D_
  _x000D_
### Do you need labour quoted?  _x000D_
 No  _x000D_
  _x000D_
### What products do you need on this quote?  _x000D_
 Video adapter  _x000D_
  _x000D_
### Video Adapter(s)  _x000D_
  _x000D_
### Do you need video adapter(s)?  _x000D_
 Yes  _x000D_
  _x000D_
### Video port(s) on computer  _x000D_
 Other  _x000D_
  _x000D_
### What type of video port_x000D_
USB C_x000D_
  _x000D_
### Video port(s) on monitor(s)  _x000D_
 HDMI  _x000D_
  _x000D_
### Number of monitors to connect (per computer)_x000D_
1_x000D_
  _x000D_
### Comment_x000D_
2 x USB C to HDMI Adapters (Will be used with Surface Pro tablets)_x000D_
  _x000D_
### What products do you need quoted?_x000D_
2 x USB C to HDMI</t>
  </si>
  <si>
    <t>Alex Draper</t>
  </si>
  <si>
    <t>alex - Unable to access VPN</t>
  </si>
  <si>
    <t>### Summary of Issue_x000D_
Unable to access VPN_x000D_
  _x000D_
### Details of Issue_x000D_
When I try to log into the Forticlient VPN I get the Warning message: "Unable to establish the VPN connection. The VPN server may be unreachable. (-14) I first noticed this issue on Sunday evening._x000D_
  _x000D_
### Have you opened a ticket about this issue before?  _x000D_
 Yes  _x000D_
  _x000D_
### How many users are impacted by this issue?  _x000D_
 One  _x000D_
  _x000D_
### How would you classify this issue?  _x000D_
 Unable to Work  _x000D_
  _x000D_
### If your callback number is different than what's on record, please provide it below._x000D_
780-686-0099</t>
  </si>
  <si>
    <t>Vicki Quintero - SSA Cloud</t>
  </si>
  <si>
    <t>Luiza Coelho - Software Installation on RDS</t>
  </si>
  <si>
    <t>Hi there, 
I need to download the following open source software but need to know the following first: 
 It a safe to do so?
 Can be download on the RDS?
Here is the link, need MNP adviceÂ  and help to download. 
https://riskandassurancegroup.org/ra-risk-coverage-software/
Thanks 
M.Luiza Coelho e4c
Senior Manager 
mlcoelho@e4calberta.org
T 780.424.7543 ext 132Â  
9321 Jasper Avenue, Edmonton AB T5H 3T7 
e4calberta.org
--------------------------------------------------------------------------------------------
This message is intended for the use of the individual or entity to which
it is addressed and may contain information that is privileged and 
confidential. If you are not the intended recipient or the employee 
responsible for delivery of the message to the intended recipient, please 
be advised that any dissemination, distribution or copying of this message 
is strictly prohibited. If you have received this message in error, please 
notify us immediately by telephone and return the original email to us or 
destroy this message.
--------------------------------------------------------------------------------------------
e4c supports environmental conservation - please print wisely.</t>
  </si>
  <si>
    <t>Ken Walker - new printer set up</t>
  </si>
  <si>
    <t>We have a new printer in our shipping dept. &amp; need it set up properly please.
Regards
Ken Walker
Parts Manager
[image]
11403 â€“ 174 Street Edmonton, AB T5S 2P4
Branch: 780-451-2680Â  Toll Free:1-800-252-7902 Direct: 780-482-0286
Cell: 780-297-4447Â  Fax: 780-454-5096
Email:ken.walker@calmont.ca
Website:www.calmont.ca
This email, and any files transmitted with it, are confidential and are intended solely for the use of the individual or entity to which they are addressed. Any unauthorized use or disclosure is prohibited. Please notify the sender if you have received this email in error. Thank you for your co-operation.</t>
  </si>
  <si>
    <t>Catherine Parent - ADP - certificate validation</t>
  </si>
  <si>
    <t>ADP was installed on my laptop on Friday and when trying to loggin this morning, the certificate is not validating.  _x000D_
  _x000D_
Please reach out ASAP as ADP training in happening live now.  _x000D_
  _x000D_
Thank you!  _x000D_
  _x000D_
Catherine P</t>
  </si>
  <si>
    <t>Lori Shatto</t>
  </si>
  <si>
    <t>Lori Shatto - FW: ShoreTel voice message from +17802379285 for mailbox 880</t>
  </si>
  <si>
    <t>Good morning,
Received this voicemail email to lshatto@e4calberta.org but it appears in the email address to be addressed to e4c-AT Emergency.  Wanted to send to you as I think there may be an issue with the forwarding.
Thanks
Lori Shatto e4c
Donor Relations Coordinator
Communications and Donor Relations
LShatto@e4calberta.org
T 780.424.7543 ext 114
C (780) 722-4428
9321 Jasper Avenue, Edmonton AB T5H3T7
e4calberta.org
--------------------------------------------------------------------------
This message is intended for the use of the individual or entity to which
it is addressed and may contain information that is privileged and
confidential. If you are not the intended recipient or the employee
responsible for delivery of the message to the intended recipient, please
be advised that any dissemination, distribution or copying of this message
is strictly prohibited. If you have received this message in error, please
notify us immediately by telephone and return the original email to us or
destroy this message.
--------------------------------------------------------------------------
e4c supports environmental conservation - please print wisely.-----Original Message-----
From: ShoreWare Voice Mail mailto:voicemail@e4calberta.org
Sent: Friday, January 15, 2021 8:25 PM
To: &gt;&gt;E4C-AT Emergency &lt;E4C-ATEmergency@e4calberta.internal&gt;
Subject: ShoreTel voice message from +17802379285 for mailbox 880
You have received a voice mail message from +17802379285 for mailbox 880.
Message length is 00:00:28. Message size is 222 KB.</t>
  </si>
  <si>
    <t>Alexandra Cevallos</t>
  </si>
  <si>
    <t>Alexandra Cevallos - recurring account lockout issue</t>
  </si>
  <si>
    <t>Good morning,
Alexandra reached out to us two times as she has experienced her AD account locking out upon first sign-in, or when she steps away from her desk at lunch, upon returning to connect to a RemoteApp, she receives the following message:
[image]
Previously Daniel Shaw worked with Bev Jensen on a similar issue where here workstation constantly triggered an account lockout in AD. Was the root cause found for Bev, as it seems to have been resolved for her?
Alexandra Cevallos has experience the account locked out a few times this past week. Please connect with Alexandra (alexandra@landrex.com or 780.460.4114).
Thank you.
Jesse Smith, BCom
[Tri-global-Logo-(no-tagline-email-signature)]
Transformation through Business Improvement
Tri-global Solutions Group Inc.
300, 10310 Jasper Avenue NW
Edmonton, AB T5J 2W4
Office:Â 780.421.1944 ext. 106
Mobile: 780.850.9633
Web:https://www.tri-global.com
This email and any files transmitted with it are privileged, confidential, and intended solely for the use of the individual or entity to which they are addressed. Any unauthorized use or disclosure is prohibited. Please notify the sender if you have received this email in error.</t>
  </si>
  <si>
    <t>Julie Brisebois</t>
  </si>
  <si>
    <t>Julie Brisebois - FW: IS IT A SCAM ?</t>
  </si>
  <si>
    <t>I would like to know if this message is a scam
Julie Brisebois | Assistant Controller | Lexus of Edmonton 
Tel: 780-466-8300 | jbrisebois@lexusofedmonton.ca Â |www.lexusofedmonton.ca
[image]
Lexus of Edmonton family member since 2015
From: Julie Brisebois &lt;jbrisebois@lexusofedmonton.ca&gt;
Sent: January 18, 2021 8:48 AM
To: Kyle Richard &lt;KRichard@lexusofedmonton.ca&gt;
Subject: IS IT A SCAM ?
[image]
Julie Brisebois | Assistant Controller | Lexus of Edmonton 
Tel: 780-466-8300 | jbrisebois@lexusofedmonton.ca Â |www.lexusofedmonton.ca
[image]
Lexus of Edmonton family member since 2015</t>
  </si>
  <si>
    <t>Fidelis Uduehi - Slow computer</t>
  </si>
  <si>
    <t>Hi,   _x000D_
  _x000D_
See details below.  _x000D_
Computer name: IBSG-0226  _x000D_
User: Billy Baranowski  _x000D_
Phone: 780-665-3225  _x000D_
  _x000D_
Thanks</t>
  </si>
  <si>
    <t>Connie Olson - ADP - Error Message and Cannot Login</t>
  </si>
  <si>
    <t>### Summary of Issue_x000D_
ADP - Error Message and Cannot Login_x000D_
  _x000D_
### Details of Issue_x000D_
Last week I was able to login to newly set up ADP. Today I cannot. Error message says: ADP Digital Certificate  
    Certificate Validation Module
An error occurred in the Certificate Validation Module._x000D_
  _x000D_
### Have you opened a ticket about this issue before?  _x000D_
 No  _x000D_
  _x000D_
### How many users are impacted by this issue?  _x000D_
 Some  _x000D_
  _x000D_
### How would you classify this issue?  _x000D_
 Unable to Work  _x000D_
  _x000D_
### If your callback number is different than what's on record, please provide it below._x000D_
780-913-5662</t>
  </si>
  <si>
    <t>Dave Kusmierz</t>
  </si>
  <si>
    <t>Quarantined Emails</t>
  </si>
  <si>
    <t>Good morning,
I have been missing important emails from Suncor and Equinox Engineering and cannot change the permissions.
Every email in my quarantine box should have been accepted, could I have the emails in my quarantine set to accepted senders?
[image]Â Dave Kusmierz
Quality Control Inspector
T:       +1 (780) 639-4844
C:       +1 (780)-940-9761
E:       DKusmierz@siterg.com
W:       WWW.SITERG.COM
PO Box 210 / Hwy 55, 1 mile West &amp; 1 mile South, Cold lake, AB, T9M 1P1
The information contained in this e-mail may       contain confidential or privileged material and is intended only for the       stated addressee(s). If you are not the valid addressee, the use,       disclosure, copying or distribution of this information is prohibited and       may be unlawful. If you have received this email message in error, please       notify the sender immediately and delete all copies of the message from       your computer. All information within or opinions expressed in this       message and/or any attachments are those of the author and are not       necessarily those of the Centurion Group.</t>
  </si>
  <si>
    <t>Kathy Hawkesworth</t>
  </si>
  <si>
    <t>Kathy Hawkesworth - Sign in and password change not possible</t>
  </si>
  <si>
    <t>### Summary of Issue_x000D_
Sign in and password change not possible_x000D_
  _x000D_
### Details of Issue_x000D_
When I try to access our server I am told I am unable - that my user name or password may not be configured property for the server.
When I try and update my password I also get an error message that destination server does not authorize it._x000D_
  _x000D_
### Have you opened a ticket about this issue before?  _x000D_
 No  _x000D_
  _x000D_
### How many users are impacted by this issue?  _x000D_
 One  _x000D_
  _x000D_
### How would you classify this issue?  _x000D_
 Work Impacting  _x000D_
  _x000D_
### If your callback number is different than what's on record, please provide it below._x000D_
780-257-9566</t>
  </si>
  <si>
    <t>Sue Gazso</t>
  </si>
  <si>
    <t>Baymag Calgary - Phone line issue</t>
  </si>
  <si>
    <t>Hi Team,
Please Investigate the QoS issues for Baymag Calgary, as per the email below from Sven (RT â€“ Telecom).
Please loop me in to the communication and feel free to ask me any questions.
All the best,
David
David Stevens
Team Lead, Field Services Technician
PH.Â +1 4036864357
310 - 4000 4 St SE
Calgary,       AB
T2G2W3
David.Stevens@mnp.ca
mnp.ca [image]
[image]
From: Hiddersen, Sven &lt;Sven.Hiddersen@REFRA.COM&gt; 
Sent: Monday, January 18, 2021 1:42 AM
To: David Stevens &lt;David.Stevens@mnp.ca&gt;
Cc: Scheufler, Christian &lt;Christian.Scheufler@refra.com&gt;; ServiceDesk &lt;servicedesk@REFRA.COM&gt;; Gazso, Sue &lt;Sue.Gazso@BAYMAG.COM&gt;
Subject: AW: Phone line - #TCK10586
Hi David,
our site in Calgary has some issues on the phone line. Sue told us about distortion and other quality problems on inbound calls from the pstn. We checked the pstn gateway, but could not find any problem. First it looked like restarting the pstn gateway solved the problem, but the behavior appears again and again. I think there is an issue with the line on service providers site. I asked Sue to get in touch with the service provider.
Could you please get in contact with Sue and the service provider to determine and hopefully solve the problem.
Mit freundlichen GrÃ¼ÃŸen/Best regards
Sven Hiddersen
Telecommunication Engineer
IT- Infrastructure Services
Refratechnik Holding GmbH
Office GÃ¶ttingen
Rudolf-Winkel-Str. 1
D 37079 GÃ¶ttingen
Germany
Phone +49-551-6941-457
Sven.Hiddersen@refra.com
Expect the best. Refratechnik
[https://refra-innovations.com]
Follow Refratechnik Group:
LinkedIn |Facebook |Twitter |YouTube |SlideShare |Instagram
Refratechnik Holding GmbH,Â Georg-Muche-Str. 4, 80807 MÃ¼nchen, Phone +49 89 96 107200, Fax +49 89 96 107222,holding@refra.com,www.refra.com
GeschÃ¤ftsfÃ¼hrung: MSc Ing. Maleachi BÃ¼hringer, Dipl. Btrw. Silke Denecke, Dr. sc. techn.Â Michael Frei, Dr. Rainer Gaebel
Handelsregister HRB 138677 AGÂ MÃ¼nchen
Von: Gazso, Sue &lt;Sue.Gazso@BAYMAG.COM&gt;
Gesendet: Donnerstag, 14. Januar 2021 20:20
An: Hiddersen, Sven &lt;Sven.Hiddersen@REFRA.COM&gt;
Cc: Scheufler, Christian &lt;Christian.Scheufler@refra.com&gt;; ServiceDesk &lt;servicedesk@REFRA.COM&gt;
Betreff: RE: Phone line - #TCK10586
Hi Sven, I have been trying to get in touch with the service providerâ€¦. It works on and off. Some days (today) it is fine and some days it isnâ€™t. It is just so oddâ€¦â€¦
From: Hiddersen, Sven &lt;Sven.Hiddersen@REFRA.COM&gt; 
Sent: Thursday, January 14, 2021 12:35 AM
To: Gazso, Sue &lt;Sue.Gazso@BAYMAG.COM&gt;
Cc: Scheufler, Christian &lt;Christian.Scheufler@refra.com&gt;; ServiceDesk &lt;servicedesk@REFRA.COM&gt;
Subject: AW: Phone line - #TCK10586
Hi Sue,
did you get any information from the service provider. Is the phone line still problematic?
Mit freundlichen GrÃ¼ÃŸen/Best regards
Sven Hiddersen
Telecommunication Engineer
IT- Infrastructure Services
Refratechnik Holding GmbH
Office GÃ¶ttingen
Rudolf-Winkel-Str. 1
D 37079 GÃ¶ttingen
Germany
Phone +49-551-6941-457
Sven.Hiddersen@refra.com
Von: Gazso, Sue &lt;Sue.Gazso@BAYMAG.COM&gt;
Gesendet: Mittwoch, 6. Januar 2021 17:00
An: Hiddersen, Sven &lt;Sven.Hiddersen@REFRA.COM&gt;
Cc: Scheufler, Christian &lt;Christian.Scheufler@refra.com&gt;; ServiceDesk &lt;servicedesk@REFRA.COM&gt;
Betreff: RE: Phone line - #TCK10586
Hi Sven, the reset didnâ€™t work. It did the last few times, but this time it didnâ€™t.
This only happens with calls coming into the company, and on all phone lines (the direct numbers too). Outgoing and internal calls all work fine, that is why I didnâ€™t think it was the service provider, but I will call them and get them to check also.
It is becoming very problematic.
Thank you,
Sue
From: Hiddersen, Sven &lt;Sven.Hiddersen@REFRA.COM&gt; 
Sent: Wednesday, January 6, 2021 7:57 AM
To: Gazso, Sue &lt;Sue.Gazso@BAYMAG.COM&gt;
Cc: Scheufler, Christian &lt;Christian.Scheufler@refra.com&gt;; ServiceDesk &lt;servicedesk@REFRA.COM&gt;
Subject: AW: Phone line - #TCK10586
Hi Sue,
```
We checked the Gateway and everything seems to be ok. Only one config snippet regarding stand-alone-operatio...</t>
  </si>
  <si>
    <t>Tracy Herklotz</t>
  </si>
  <si>
    <t>Tracy Herklotz - Outlook not working</t>
  </si>
  <si>
    <t>### Summary of Issue_x000D_
Outlook not working_x000D_
  _x000D_
### Details of Issue_x000D_
Can't send or receive emails. Message at bottom of screen says 'Need Password'._x000D_
  _x000D_
### Have you opened a ticket about this issue before?  _x000D_
 No  _x000D_
  _x000D_
### How many users are impacted by this issue?  _x000D_
 One  _x000D_
  _x000D_
### How would you classify this issue?  _x000D_
 Work Impacting</t>
  </si>
  <si>
    <t>Poundmakers Lodge needs 1 Office 365 E3 license for new user Victoria Riley</t>
  </si>
  <si>
    <t>### What company is this quote for?_x000D_
Poundmakers Lodge_x000D_
  _x000D_
### Is there an existing ticket on another Connectwise board? If so what is the ticket number?_x000D_
1347688_x000D_
  _x000D_
### Add or Remove CSP licenses  _x000D_
 Add licenses  _x000D_
  _x000D_
### March 30, 2020 New Microsoft 365 offerings for small and medium-sized businesses. (https://www.microsoft.com/en-us/microsoft-365/blog/2020/03/30/new-microsoft-365-offerings-small-and-medium-sized-businesses/)  _x000D_
  _x000D_
### What Type of license  _x000D_
 Office 365 E3  _x000D_
  _x000D_
### How many licenses to add/remove?_x000D_
1_x000D_
  _x000D_
### Optional - What users are the licenses for?_x000D_
Victoria Riley</t>
  </si>
  <si>
    <t>Update - Email Distribution List - Work Order Canada</t>
  </si>
  <si>
    <t xml:space="preserve">Hello,
Please delete our email distribution list titled â€œWork Order Canadaâ€.
Thank you,
Jean
Jean Radmanovich
Tritech Fall Protection Systems
Jean.r@tritechfallprotection.com
403-287-1499 Ext 121
www.tritechfallprotection.com
[image]
</t>
  </si>
  <si>
    <t>Whitson Contracting</t>
  </si>
  <si>
    <t>Connor Whitson</t>
  </si>
  <si>
    <t>Fortinet Renewal Notice - Support Expires 17-FEB-2021</t>
  </si>
  <si>
    <t>Tim Clark - Slow internet on Surface</t>
  </si>
  <si>
    <t>### Summary of Issue_x000D_
Slow internet_x000D_
  _x000D_
### Details of Issue_x000D_
My internet on my surface is extremely slow and seemingly, only on my surface._x000D_
  _x000D_
### Have you opened a ticket about this issue before?  _x000D_
 Yes  _x000D_
  _x000D_
### How many users are impacted by this issue?  _x000D_
 One  _x000D_
  _x000D_
### How would you classify this issue?  _x000D_
 Work Impacting</t>
  </si>
  <si>
    <t>West End Legal Centre</t>
  </si>
  <si>
    <t>Jenny McMordie</t>
  </si>
  <si>
    <t>RE: Ticket #1321399/Onsite Visit RESOLVED</t>
  </si>
  <si>
    <t xml:space="preserve">Ali, did you also cancel the QNAP back-up notifications to me?Â  I have not had any notifications regarding back up successful or failed all week (since Tuesday morning at 3:10 am).Â  If so, can you please restore them so I know whatâ€™s going on?Â  No need to phone me about this â€“ just please send a message when itâ€™s corrected.
Thanks so much,
-----
M. Jenny McMordie, Q.C.
(she/her)
West End Legal Centre
1705-10th Avenue S.W.
Calgary, AB T3C 0K1
403-249-5297 (main office) / 403-249-5501 (fax)
403-245-5516 (direct line)
jmcmordie@westendlegalcentre.com
</t>
  </si>
  <si>
    <t>Randy Burden</t>
  </si>
  <si>
    <t>Fwd: QuoteMaster System Update - 1/15/2021</t>
  </si>
  <si>
    <t>For Oarrie Oliver...  
Randy Burden    
Director of OperationsÂ    
Calgary, Alberta   
Calmont Leasing Ltd   
Begin forwarded message:   
From: QuoteMaster Support Team &lt;qmsupport@hubnetic.com&gt;    
Date: January 17, 2021 at 2:08:53 PM MST    
Subject:FW: QuoteMaster System Update - 1/15/2021ï»¿     
Good afternoon QuoteMaster user,
We have successfully completed our QuoteMaster updates.Â  The install link required an update as well.
Install Link:  [Folder icon]Â QuoteMasterPro
*NOTE* Your current version of QuoteMaster will need to be uninstalled from your PC.Â  To do this, please go to add/remove programs on your computer to complete the uninstall process and then run the setup wizard.
If you have any questions or need any further assistance, please feel free to reach us at qmsupport@hubnetic.comor 833-482-6384.
Regards,
QuoteMaster Support
[HubneticLogo2]
PO Box 148|Liberty Mo, 64069
Office: 1-833-HubNetic (482-6384)
www.HubNetic.com
This e-mail and any attachments are intended solely for use by the addressee(s) named above. It may contain confidential, legally privileged, and/or proprietary information of HubNetic, LLC, its subsidiaries, affiliates, or business partners. If you are not the intended recipient of this e-mail or are an unauthorized recipient of the information, you are hereby notified that any dissemination, distribution, or copying of this e-mail or any attachments is strictly prohibited. If you have received this e-mail in error, please immediately notify the sender by reply e-mail and permanently delete the original and any copies or printouts.
From: QuoteMaster Support Team 
Sent: Wednesday, January 13, 2021 4:28 PM
Subject:QuoteMaster System Update - 1/15/2021
Dear QuoteMaster User,
This is a friendly reminder that QuoteMaster will not be available starting on Friday, January 15, 2021 at 2pm.Â  The current version of QuoteMaster will need to be uninstalled from your computer and the updated program can be found on the following link until February Â 15, 2021:
[msi icon] SetupQuoteMasterPro.msi
This program will be available for use on Monday, January 18, 2021 at 6am.
Regards,
QuoteMaster Support
[HubneticLogo2]
PO Box 148|Liberty Mo, 64069
Office: 1-833-HubNetic (482-6384)
www.HubNetic.com
This e-mail and any attachments are intended solely for use by the addressee(s) named above. It may contain confidential, legally privileged, and/or proprietary information of HubNetic, LLC, its subsidiaries, affiliates, or business partners. If you are not the intended recipient of this e-mail or are an unauthorized recipient of the information, you are hereby notified that any dissemination, distribution, or copying of this e-mail or any attachments is strictly prohibited. If you have received this e-mail in error, please immediately notify the sender by reply e-mail and permanently delete the original and any copies or printouts.
From: QuoteMaster Support Team 
Sent: Wednesday, December 23, 2020 6:45 PM
Subject:QuoteMaster System Update - 1/15/2021
Dear QuoteMaster User,
The last several months we have been working to address Quotemaster system issues.Â  On Friday, January 15, 2021 we are planning to implement a new version of Quotemaster.Â  This process will be handled on the weekend to ensure minimal interruption to your quoting needs.
QuoteMaster unavailable during the following timeframe:
Start: Â Â  2pm CDT, Friday, January 15, 2021
End:Â Â Â Â Â  6am CDT, Monday, January 18, 2021
All quoting needs will need to be resolved prior to 2pm CDT on Friday, January 15, 2021. Â Once the upgrade is completed, a new version of QuoteMaster will need to be installed onto your machine.Â  If your computer is managed by a centralized IT department, please forward this email to them to allow ample time for preparation.
Regards,
Sunny Allen
Operations Manager
[HubneticLogo2]
PO Box 148|Liberty Mo, 64069
Cell: 816-351-0143
Office: 1-833-HubNetic (482-6384)
www.HubNetic.com
This e-mail and any attachments are intend...</t>
  </si>
  <si>
    <t>Doug Ramsey</t>
  </si>
  <si>
    <t>Doug Ramsey - VPN for Computer</t>
  </si>
  <si>
    <t>### Summary of Issue_x000D_
VPN for Computer_x000D_
  _x000D_
### Details of Issue_x000D_
I can not access the VPN from new computer._x000D_
  _x000D_
### Have you opened a ticket about this issue before?  _x000D_
 No  _x000D_
  _x000D_
### How many users are impacted by this issue?  _x000D_
 One  _x000D_
  _x000D_
### How would you classify this issue?  _x000D_
 Work Impacting  _x000D_
  _x000D_
### If your callback number is different than what's on record, please provide it below._x000D_
780 884 9379</t>
  </si>
  <si>
    <t>Fortinet Renewal Notice - Support Expires 16-FEB-2021</t>
  </si>
  <si>
    <t>James Nelson - New Computer</t>
  </si>
  <si>
    <t>### Summary of Issue_x000D_
New Computer_x000D_
  _x000D_
### Details of Issue_x000D_
I was told there is a new computer ready for me that just needs to be set up.  Can I find out when this will be done.  I believe it is in the computer room upstairs.  Thanks_x000D_
  _x000D_
### Have you opened a ticket about this issue before?  _x000D_
 No  _x000D_
  _x000D_
### How many users are impacted by this issue?  _x000D_
 One  _x000D_
  _x000D_
### How would you classify this issue?  _x000D_
 Work Impacting</t>
  </si>
  <si>
    <t>Dan Boire</t>
  </si>
  <si>
    <t>RE: Voicemail from (780) 700-2850 -  received Sat Jan 16 2021 10:11 MST</t>
  </si>
  <si>
    <t>Ken calling back from Site.. Asking for the Heavy Bid ticket to be re-opened as the issue is re-occurring.
Stephen was working on this with the vendor.
This was for 1345772.. merging this VM ticket into that one and re-opening..
I am waiting for a callback from wiband on that Carstar issue, calling Stephen to see if he can resume work on this issue..
David Stevens
Team Lead, Field Services Technician
PH.Â +1 4036864357
310 - 4000 4 St SE
Calgary,       AB
T2G2W3
David.Stevens@mnp.ca
mnp.ca [image]
[image]
From:Mitel Voicemail Service &lt;vmnotify@voicemail1.shoretelsky.com&gt; 
Sent: Saturday, January 16, 2021 10:12 AM
To: ITMS - Emergency Voicemail &lt;ITMS.EmergencyVoicemail@mnp.ca&gt;
Subject: Voicemail from (780) 700-2850 - received Sat Jan 16 2021 10:11 MST
CAUTION:This email originated from outside of the MNP network. Be cautious of any embedded links and/or attachments.
MISE EN GARDE:Ce courriel ne provient pas du rÃ©seau de MNP. MÃ©fiez-vous des liens ou piÃ¨ces jointes quâ€™il pourrait contenir.
Scribe transcribed your voicemail message. On Sat Jan 16 2021 10:11 MST, a caller from +17807002850 said: 
Hello this is Dan Bart with State Readers Group. I'm looking to re open ticket 134-5772 regarding I have a job issue. Please call back at 780-700-2850.
You have a new voicemail message.
New Voice Message
From:
(780) 700-2850
To:
Emergency Support
Time:
Sat Jan 16 2021 10:11 MST
Duration:
00:16
VM-ID:21026749:20895113
Month to date usage: 13 messages / 00:07:54 (hh:mm:ss)</t>
  </si>
  <si>
    <t>CARSTAR Edmonton North</t>
  </si>
  <si>
    <t>Albert Leblanc</t>
  </si>
  <si>
    <t>Fortinet Renewal Notice - Support Expires 15-FEB-2021</t>
  </si>
  <si>
    <t>Barrier Inc.</t>
  </si>
  <si>
    <t>Chris Fuder</t>
  </si>
  <si>
    <t>Christel Konanz</t>
  </si>
  <si>
    <t>Christel Konanz - Adobe issue</t>
  </si>
  <si>
    <t>### Summary of Issue_x000D_
Adobe issue_x000D_
  _x000D_
### Details of Issue_x000D_
I am trying to access a Government form to report an annual Igloo pension  document as i have done in other years and need to get it done by Jan 30 due date_x000D_
  _x000D_
### Have you opened a ticket about this issue before?  _x000D_
 No  _x000D_
  _x000D_
### How many users are impacted by this issue?  _x000D_
 One  _x000D_
  _x000D_
### How would you classify this issue?  _x000D_
 Work Impacting  _x000D_
  _x000D_
### If your callback number is different than what's on record, please provide it below._x000D_
780 239 1972</t>
  </si>
  <si>
    <t>Amanda Tam - Signature Update</t>
  </si>
  <si>
    <t>Hi there,
Can you please update the user â€“ Cala Hillsâ€™ e-mail signature to the following:
CalaHills, BHS, (she/her)e4c
Wellness Manager 
The Lodge at Elizabeth House
CHills@e4calberta.org
T
780-479-1609
C
780-818-3532
Please let us know when this is complete or if you require any information for this request.
Thanks,
AmandaTam, B. Com (she/her) e4c
Human Resources Generalist
Human Resources
ATam@e4calberta.org
T780.424.7543 ext 164
C780.721.2331
9321 Jasper Avenue, Edmonton AB T5H 3T7
e4calberta.org
[image]
This message is intended for the use of the individual or entity to which it is addressed and may contain information that is privileged and confidential. If you are not the intended recipient or the employee responsible for delivery of the message to the intended recipient, please be advised that any dissemination, distribution or copying of this message is strictly prohibited. If you have received this message in error, please notify us immediately by telephone and return the original email to us or destroy this message.
[image]e4c supports environmental conservation - please print wisely.</t>
  </si>
  <si>
    <t>Julie Nadeau - New Employee, Victoria Riley</t>
  </si>
  <si>
    <t>### Summary of Issue_x000D_
New Employee_x000D_
  _x000D_
### Details of Issue_x000D_
Victoria Riley - Administrative Team
Start date ?
UN
PW
EA_x000D_
  _x000D_
### Have you opened a ticket about this issue before?  _x000D_
 No  _x000D_
  _x000D_
### How many users are impacted by this issue?  _x000D_
 One  _x000D_
  _x000D_
### How would you classify this issue?  _x000D_
 Other</t>
  </si>
  <si>
    <t>Catherine Parent  - Install ADP</t>
  </si>
  <si>
    <t>I will need ADP installed on my laptop by Monday morning - apologies for the short notice. I can be reached at 780-554-3676. As well, I need access to the careers@e4calberta.org inbox.</t>
  </si>
  <si>
    <t>Nicole Malenczak - Please set my default printer</t>
  </si>
  <si>
    <t>### Summary of Issue_x000D_
Please set my default printer_x000D_
  _x000D_
### Details of Issue_x000D_
Please set my default printer to the Sharp machine at the Hub._x000D_
  _x000D_
### Have you opened a ticket about this issue before?  _x000D_
 No  _x000D_
  _x000D_
### How many users are impacted by this issue?  _x000D_
 One  _x000D_
  _x000D_
### How would you classify this issue?  _x000D_
 Other</t>
  </si>
  <si>
    <t>Sarb Hundal</t>
  </si>
  <si>
    <t>Sarb Hundal - Outlook Add Accounting@alignortho.com email to profile</t>
  </si>
  <si>
    <t>### Summary of Issue_x000D_
Sarb Hundal - Outlook Add Accounting@alignortho.com email to profile_x000D_
  _x000D_
### Details of Issue_x000D_
Please add the "accounting@alignortho.com" email to Sarb Hundal's outlook account._x000D_
  _x000D_
### Have you opened a ticket about this issue before?  _x000D_
 No  _x000D_
  _x000D_
### How many users are impacted by this issue?  _x000D_
 One  _x000D_
  _x000D_
### How would you classify this issue?  _x000D_
 Minor Inconvenience</t>
  </si>
  <si>
    <t>Kimberly Sinnett</t>
  </si>
  <si>
    <t>Kimberly Sinnett - Printing Issues</t>
  </si>
  <si>
    <t>### Summary of Issue_x000D_
Printing Issues_x000D_
  _x000D_
### Details of Issue_x000D_
I can not print from the 'nextcloud' and when I save documents to the computer desktop the format is different. Please help me print from the cloud._x000D_
  _x000D_
### Have you opened a ticket about this issue before?  _x000D_
 No  _x000D_
  _x000D_
### How many users are impacted by this issue?  _x000D_
 One  _x000D_
  _x000D_
### How would you classify this issue?  _x000D_
 Work Impacting</t>
  </si>
  <si>
    <t>ScreenConnect Client Requires Admin Creds</t>
  </si>
  <si>
    <t>### Which application has a problem or bug?  _x000D_
 ConnectWise Control  _x000D_
  _x000D_
### Describe the issue._x000D_
When attempting a ScreenConenct session from the MNP Client Portal with Silke at Carry Steel, she was prompted for admin creds when launching the downloaded file.  Screen shot attached</t>
  </si>
  <si>
    <t>FW: Power BI</t>
  </si>
  <si>
    <t>From: Riccardo Francese &lt;RFrancese@siterg.com&gt; 
Sent: Friday, January 15, 2021 12:41 PM
To: SITE - IT Services &lt;itservices@siterg.com&gt;
Cc: Sales - MNP IT Managed Services &lt;sales@mnptechnology.ca&gt;
Subject: Power BI
CAUTION:This email originated from outside of the MNP network. Be cautious of any embedded links and/or attachments.
MISE EN GARDE:Ce courriel ne provient pas du rÃ©seau de MNP. MÃ©fiez-vous des liens ou piÃ¨ces jointes quâ€™il pourrait contenir.
Can we please add this to Dan Wrights office account?
[Image removed by sender.]
Riccardo Francese
Business Process Manager
T: +1 (780) 400-7487
C: +1 (587) 990-0176
F: +1 (780) 417-6496
E: RFrancese@siterg.com
W:WWW.SITERG.COM
#170, 120 Pembina Rd., Sherwood Park, AB, T8H 0M2
The information contained in this e-mail may contain confidential or privileged material and is intended only for the stated addressee(s). If you are not the valid addressee, the use, disclosure, copying or distribution of this information is prohibited and may be unlawful. If you have received this email message in error, please notify the sender immediately and delete all copies of the message from your computer. All information within or opinions expressed in this message and/or any attachments are those of the author and are not necessarily those of the Centurion Group.</t>
  </si>
  <si>
    <t>Annie Brandt - delete email</t>
  </si>
  <si>
    <t>### Summary of Issue_x000D_
delete email_x000D_
  _x000D_
### Details of Issue_x000D_
Please delete email and access to TEAMS for Tiffany Bellerose._x000D_
  _x000D_
### Have you opened a ticket about this issue before?  _x000D_
 No  _x000D_
  _x000D_
### How many users are impacted by this issue?  _x000D_
 One  _x000D_
  _x000D_
### How would you classify this issue?  _x000D_
 Minor Inconvenience</t>
  </si>
  <si>
    <t>Printer</t>
  </si>
  <si>
    <t>Hello!
I have Sandys tablet and she still needs it reconnected to the printer after the last server update.
Please call me or provide me with a code so that your able to get in and fix it for her!
Best Regards,
[image]
Tina Fagan | Assistant to Executives | Lexus of Edmonton 
Tel: 780-466-8300 | tfagan@lexusofedmonton.caÂ  |www.lexusofedmonton.ca
[image]
Lexus of Edmonton family member since 2014</t>
  </si>
  <si>
    <t>Power BI</t>
  </si>
  <si>
    <t>Can we please add this to Dan Wrights office account?
[image]Â Riccardo Francese
Business Process Manager
T:       +1 (780) 400-7487
C:       +1 (587) 990-0176
F:       +1 (780) 417-6496
E:       RFrancese@siterg.com
W:       WWW.SITERG.COM
#170, 120 Pembina Rd., Sherwood Park, AB, T8H 0M2
The information contained in this e-mail may       contain confidential or privileged material and is intended only for the       stated addressee(s). If you are not the valid addressee, the use,       disclosure, copying or distribution of this information is prohibited and       may be unlawful. If you have received this email message in error, please       notify the sender immediately and delete all copies of the message from       your computer. All information within or opinions expressed in this       message and/or any attachments are those of the author and are not       necessarily those of the Centurion Group.</t>
  </si>
  <si>
    <t>Amin Esmaeili</t>
  </si>
  <si>
    <t>Amin Esmaeili - CSAT - 1340490</t>
  </si>
  <si>
    <t>### Summary of Issue_x000D_
CSAT - 1340490_x000D_
  _x000D_
### Details of Issue_x000D_
This ticket keeps generating red CSAT alerts.
I've checked with Carla twice but she's mentioned it's not coming from her clicking. She may have clicked it the first time, but not any other time. 
Logs show otherwise, that it's coming from a Samsung phone from Office and Shaw IP. 
Can we have a look at what might be causing this? Perhaps there is something going on with the phone?
Please keep ticket as Next Digital, while we figure this out._x000D_
  _x000D_
### Have you opened a ticket about this issue before?  _x000D_
 No  _x000D_
  _x000D_
### How many users are impacted by this issue?  _x000D_
 One  _x000D_
  _x000D_
### How would you classify this issue?  _x000D_
 Minor Inconvenience</t>
  </si>
  <si>
    <t>Mason Liu</t>
  </si>
  <si>
    <t>Mason Liu - Temporary Passwords</t>
  </si>
  <si>
    <t>### Summary of Issue_x000D_
Temporary Passwords_x000D_
  _x000D_
### Details of Issue_x000D_
Due to my email account scamming in this morning, I was told I have to login my email account with a temperoray passwords but it's not working. Just want to make sure I have the right one._x000D_
  _x000D_
### Have you opened a ticket about this issue before?  _x000D_
 No  _x000D_
  _x000D_
### How many users are impacted by this issue?  _x000D_
 One  _x000D_
  _x000D_
### How would you classify this issue?  _x000D_
 Work Impacting</t>
  </si>
  <si>
    <t>ANNELIESE FRIS - ProjectWise client port access</t>
  </si>
  <si>
    <t>### Summary of Issue_x000D_
ProjectWise client port access_x000D_
  _x000D_
### Details of Issue_x000D_
We have installed a communication portal for one of our projects (ProjectWise) that requires port 5800 to be open on the firewall. Could you please confirm that port is open to this client?_x000D_
  _x000D_
### Have you opened a ticket about this issue before?  _x000D_
 No  _x000D_
  _x000D_
### How many users are impacted by this issue?  _x000D_
 Some  _x000D_
  _x000D_
### How would you classify this issue?  _x000D_
 Work Impacting</t>
  </si>
  <si>
    <t>Katie O'Hara</t>
  </si>
  <si>
    <t>FW: Case #: 388-166866 EFT emails issue - SMTP error</t>
  </si>
  <si>
    <t>Hello,
Please see below I am unable to send EFT remittance emails as of last week.
KATIE Oâ€™HARA |Â Accounting Technician
Alberta Construction Safety Association
225 Parsons Road SW |Â Edmonton ABÂ |Â T6X 0W6
TÂ 780.453.3311 ext. 1854 |Â FÂ 780.455.1120 |Â TFÂ 1.800.661.ACSA (2272)
www.youracsa.ca
[cid:image001.png@01D32174.409ADC10][cid:image002.png@01D32174.409ADC10][cid:image003.png@01D32174.409ADC10][cid:image004.png@01D32174.409ADC10]
[image]
From: Samantha MacKenzie &lt;smackenzie@baass.com&gt;
Sent: January 15, 2021 11:26 AM
To: Katie O'Hara &lt;KOHara@youracsa.ca&gt;
Subject: Case #: 388-166866 EFT emails issue - SMTP error
Hi Katie,
Please have your IT check that Authenticated SMTP is enabled for the email account that is used for EFT in the Microsoft 365 Admin Center. In the past this has been the cause of the error message you are seeing.
[image]
Let me know if they can resolve this.
Thanks,
Sam
Samantha MacKenzie, CPA, CMAÂ |Consultant
BAASS Business Solutions Inc. â€“ Vancouver Office
Tel (604)Â 544-7587 ext 353 |Tf (888) 650-5544Â  |Help Desk (877) 462-3648
For support related items please use ourÂ Submit A RequestÂ on the support page.
Donâ€™t forget to follow BAASS onÂ Twitter,Â LinkedIn,Â Facebook,Â InstagramÂ andÂ YouTube</t>
  </si>
  <si>
    <t>[JIRA] (TIAP-1002) microsoft teams download</t>
  </si>
  <si>
    <t>Susanne Staer added 1 new comment. Toronto Innovation Acceleration Partners/TIAP-1002 microsoft teams download 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
Susanne Staer added 1 new comment.
Toronto Innovation Acceleration Partners
/Â Â   [image] Â  TIAP-1002
 microsoft teams download 
[image]  Susanne Staer  12:56Â PMÂ EST
Donâ€™t you guys have a list of our employees? I attach the phone list â€“ please use only cell phone. The landlines wonâ€™t be picked up, obviously. Parimalâ€™s number is 647 282 9964 â€“ pnathwani@tiap.ca
I am talking to him now at 1 so I can let him know to expect your call. This afternoon he has only 2-2:30 free, however.
From: Chuck Corvec &lt;jira@t4gsupport.atlassian.net&gt;
Reply-To: IT Support &lt;tiap@t4gsupport.atlassian.net&gt;
Date: Friday, January 15, 2021 at 12:09 PM
To: Susanne Staer &lt;sstaer@tiap.ca&gt;
Subject: TIAP-1002 microsoft teams download
[image]Attached file
(0.0 kB)
View issue
Get Jira notifications on your phone! Download the Jira Cloud app for Android or iOS.
Manage notifications   Â â€¢Â    Give feedback   Â â€¢Â    Privacy policy
[image]
[image]
[image]</t>
  </si>
  <si>
    <t>Bryan Fayant - Metis Crossing wifi not connecting</t>
  </si>
  <si>
    <t>Hey Guys
Iâ€™m at Metis Crossing and this is where, my Wi-Fi, or something is not connecting
[MM-logo-3 - Copy]
Bryan Fayant, Disaster Recovery Strategist
McMurray MÃ©tis (MNA Local 1935)
441 Sakitawaw Trail
Fort McMurray, AB T9H 4P3
Mobile: 780-646-3374
Office:780-743-2659
Email:bryan.fayant@McMurrayMetis.org
Facebook:www.facebook.com/McMurrayMetis
Twitter:www.twitter.com/McMurrayMetis
Website:www.McMurrayMetis.org
PPlease consider the environment before printing this email.
This message contains confidential information and is intended only for the named addressees.
If you believe that you received this email in error please notify the original sender and delete all copies.</t>
  </si>
  <si>
    <t>Accounts Receivable</t>
  </si>
  <si>
    <t>Re:  Time &amp; Chaos</t>
  </si>
  <si>
    <t>Hello, I was wondering if I could get Time &amp; Chaos set up on my computer?
Thank you in advance
Shae Nile
Accounts Receivable
PH:Â Â  403 543-3322
Fax:Â  403 543-3325
admin@capital-paper.com
http://www.capital-paper.com/
Capital Paper Recycling Ltd
10595 50th St S.E
Calgary AB
T2C 3E3
"Leaders in paper recovery"
Effective immediately, due to the unsecured nature, we cannot accept Interac E-Transfers. *Unless Authorized by Kim Burns.
The information in this email and any attachments is sent by Capital Paper Recycling LTD. and is intended to be confidential and for the use of only the individual or entity named above. The information may be protected by solicitor-client privilege, work product immunity or other legal principles. If the reader of this message is not the intended recipient, you are notified that unauthorized review, retention, dissemination, distribution, copying or other use of or taking any action in reliance upon this information is strictly prohibited. 
If you received this email in error, please notify us immediately by email reply and delete or destroy this message and any copies.</t>
  </si>
  <si>
    <t>Juliah Bilinske</t>
  </si>
  <si>
    <t>Adobe Acrobat</t>
  </si>
  <si>
    <t>Good morning, just about a year ago I had a subscription for adobe added onto my computer for Acrobat. I think the subscription is expired as I am no longer able to use the tools in the program. Would you be able to assist me with this please?
Kind regards,
Juliah Bilinske
Accounts Payable Administrator
[image]
14504 Yellowhead Trail NW Edmonton, AB, T5L 3C5
Branch: 780-454-0491Â Â Â  Direct: 780-409-3361Â Â Â  Toll Free: 1-800-363-7819
Email:Juliah.bilinske@calmont.ca
Website:www.calmont.ca
This email, and any files transmitted with it, are confidential and are intended solely for the use of the individual or entity to which they are addressed. Any unauthorized use or disclosure is prohibited. Please notify the sender if you have received this email in error. Thank you for your co-operation.</t>
  </si>
  <si>
    <t>Dr. Krivuzoff-Sanderson - Double-sided Printing with Reception Laserjet</t>
  </si>
  <si>
    <t>### Summary of Issue_x000D_
Dr. Krivuzoff-Sanderson - Double-sided Printing with Reception Laserjet_x000D_
  _x000D_
### Details of Issue_x000D_
People printing to Leanne's HP Laserjet printer are not able to print double-sided. We need to investigate the printer settings remotely. This printer is USB-connected to Leanne's computer and then shared out to the rest of the front desk office._x000D_
  _x000D_
### Have you opened a ticket about this issue before?  _x000D_
 No  _x000D_
  _x000D_
### How many users are impacted by this issue?  _x000D_
 Some  _x000D_
  _x000D_
### How would you classify this issue?  _x000D_
 Minor Inconvenience</t>
  </si>
  <si>
    <t>Dr. Krivuzoff-Sanderson - Console Computer in Reception area is slow</t>
  </si>
  <si>
    <t>### Summary of Issue_x000D_
Dr. Krivuzoff-Sanderson - Console Computer in Reception area is slow_x000D_
  _x000D_
### Details of Issue_x000D_
Dr. Caroline reports that the Console computer near the reception area is running slowly and would like us to investigate it. Can be done remotely. Higher priority as this is impacting patient experience._x000D_
  _x000D_
### Have you opened a ticket about this issue before?  _x000D_
 No  _x000D_
  _x000D_
### How many users are impacted by this issue?  _x000D_
 One  _x000D_
  _x000D_
### How would you classify this issue?  _x000D_
 Work Impacting</t>
  </si>
  <si>
    <t>Tina Fagan - Shoretel Installation</t>
  </si>
  <si>
    <t>Hello,
We would like to have the shoretel app put on all of the tech computers.
Is this something that is preset on the computers, or something I will need to manually have put on each computer.
Best Regards,
[image]
Tina Fagan | Assistant to Executives | Lexus of Edmonton 
Tel: 780-466-8300 | tfagan@lexusofedmonton.caÂ  |www.lexusofedmonton.ca
[image]
Lexus of Edmonton family member since 2014</t>
  </si>
  <si>
    <t>Owain Deagle</t>
  </si>
  <si>
    <t>Owain Deagle - Password change issue</t>
  </si>
  <si>
    <t>### Summary of Issue_x000D_
Password change issue_x000D_
  _x000D_
### Details of Issue_x000D_
My password expires today, but the vpn won't let me connect to change my password_x000D_
  _x000D_
### Have you opened a ticket about this issue before?  _x000D_
 No  _x000D_
  _x000D_
### How many users are impacted by this issue?  _x000D_
 One  _x000D_
  _x000D_
### How would you classify this issue?  _x000D_
 Work Impacting  _x000D_
  _x000D_
### If your callback number is different than what's on record, please provide it below._x000D_
780-264-4972 or on Teams</t>
  </si>
  <si>
    <t>Terry Morin</t>
  </si>
  <si>
    <t>Terry Morin - After attempting password reset, cannot log into Outlook and Mitel on RDS</t>
  </si>
  <si>
    <t>### Summary of Issue_x000D_
After attempting password reset, cannot log into Outlook and Mitel on RDS_x000D_
  _x000D_
### Details of Issue_x000D_
- recieved password reset reminder from MNP IT
- attempted password reset link on RDS
- certain apps not accepting either old or new password_x000D_
  _x000D_
### Have you opened a ticket about this issue before?  _x000D_
 No  _x000D_
  _x000D_
### How many users are impacted by this issue?  _x000D_
 One  _x000D_
  _x000D_
### How would you classify this issue?  _x000D_
 Work Impacting</t>
  </si>
  <si>
    <t>Brad Dennis - EMAIL PHISHING SCAM EMAILS BEING SET FROM MASON'S EMAIL ADDRESS</t>
  </si>
  <si>
    <t>MachineName: DESKTOP-KQH7BRV
 IP Address: 128.222.84.168_x000D_
_x000D_
_    _x000D_
 Attached files:_x000D_
- Mason Liu is inviting you to collaborate on Mason Liu.msg</t>
  </si>
  <si>
    <t>Jorge Bustamante - Field Law documentation</t>
  </si>
  <si>
    <t>### Summary of Issue_x000D_
Field Law documentation_x000D_
  _x000D_
### Details of Issue_x000D_
Documentation needs to be updated to reflect what we do and don't support for Field Law, as well as include contact information for their current managed services provider. It currently has info from when they were still a managed client.
Shouldn't this be updated when a client is offboarded?_x000D_
  _x000D_
### Have you opened a ticket about this issue before?  _x000D_
 No  _x000D_
  _x000D_
### How many users are impacted by this issue?  _x000D_
 Everyone  _x000D_
  _x000D_
### How would you classify this issue?  _x000D_
 Work Impacting</t>
  </si>
  <si>
    <t>FW: Macbook Pro procurement</t>
  </si>
  <si>
    <t>Shawn Kubiski
Partner
PH. +1 7804246398
14505 114th Avenue NW
Edmonton, AB
T5M2Y8
Shawn.Kubiski@mnp.ca
mnp.ca[image]
[image]
From: Jason J Lee &lt;JasonJ.Lee@mnp.ca&gt; 
Sent: Friday, January 15, 2021 8:05 AM
To: Shawn Kubiski &lt;Shawn.Kubiski@mnp.ca&gt;
Cc: Sean Murphy &lt;Sean.Murphy@mnp.ca&gt;; Salima Moosa &lt;Salima.Moosa@mnp.ca&gt;; Brett Trask &lt;Brett.Trask@mnp.ca&gt;
Subject: Macbook Pro procurement
Importance: High
Hi Shawn,
Can you help us procure a MacBook for one of our developers in Toronto?
Weâ€™re looking to get an Apple MacBook Pro 16â€ w/touch bar (i7 with min 512GB SSD, min 16Gb ram, dedicated GPU).
There is some urgency here as Ajayâ€™s machine for an active customer engagement has gone on the fritz.
We have Sean M and Sean Dâ€™s approvals.
Regards,
Jason
Jason J Lee
Partner, Technology Group
PH. (416) 462-4200
PH. (800) 399-5370
300 - 340 King St. E
Toronto, ON
M5A 1K8
JasonJ.Lee@mnp.ca
mnp.ca
[image]</t>
  </si>
  <si>
    <t>Daniel Shaw</t>
  </si>
  <si>
    <t>LoSeCa - NC-LSC-BE03 has a status Alert for Sophos File Scanner</t>
  </si>
  <si>
    <t>### Which application has a problem or bug?  _x000D_
 Other  _x000D_
  _x000D_
### Other_x000D_
Sophos Server Protection_x000D_
  _x000D_
### If your bug report is for the Next Ticket Dashboard, please use the "Submit a Bug" feature built into the dashboard, provided it's functioning.  _x000D_
The "Submit a Bug" feature is in the debugger. Click the orange X in the title of the "Your Next Ticket" module to load the debugger.  "Submit a Bug" is in the top row.  This is helpful as it automatically includes a massive snapshot of data that makes it easier to debug data issues.  _x000D_
  _x000D_
### What is the URL or Ticket Number where you are experiencing this problem?_x000D_
1346525_x000D_
  _x000D_
### Describe the issue._x000D_
Sophos Central Portal is giving an alert for NC-LSC-BE03 stating:
- Not started: Sophos File Scanner
Attached is an image of the message.</t>
  </si>
  <si>
    <t>Carya Calgary - Laptop Quote &amp; Surface Pro Quote Kate &amp; Erika</t>
  </si>
  <si>
    <t>From: Joanne Chaloner &lt;JoanneC@caryacalgary.ca&gt; 
Sent: Thursday, January 14, 2021 6:38 PM
To: Sales - MNP IT Managed Services &lt;sales@mnptechnology.ca&gt;
Subject: Laptop Quote &amp; Surface Pro Quote Kate &amp; Erika
CAUTION:This email originated from outside of the MNP network. Be cautious of any embedded links and/or attachments.
MISE EN GARDE:Ce courriel ne provient pas du rÃ©seau de MNP. MÃ©fiez-vous des liens ou piÃ¨ces jointes quâ€™il pourrait contenir.
Hello Sales,
Can you please get me a quote for a Laptop with a regular keyboard (not compact like s Surface Pro), with min 8GB RAM, 256GB SSD, Intel Core â€“ touch screen would be nice but not necessary.
Can you also please quote us for a Surface Pro with dock, keyboard, and Pen.Â  If it doesnâ€™t have a SIM slot, that is ok.
Please allow me to adjust the quantities on the quote as I may buy one of each or 2 the same â€“ not sure yet.
Price is a factor more than ever for us, so please keep that in mind.
Thanks so much!
Joey
[image]
Joanne Chaloner
Accountant
T: 403-205-5270 | E: JoanneC@caryacalgary.ca|F: 403-205-5273
180, 839 5 Ave SW | Calgary, AB | T2P 3C8
[image]Â [image][instagram-1675670]Â [image]
carya (formerly Calgary Family Services)
Stay up to date with the latest carya news, programs, and events by signing up for ourmonthly newsletter.
In the spirit of our efforts to promote reconciliation, we acknowledge the traditional territories and oral practices of the Blackfoot, the Tsuut'ina, the Stoney Nakoda First Nations, the MÃ©tis Nation Region 3, and all people who make their homes in the Treaty 7 region of Southern Alberta. We also respectfully acknowledge that the province of Alberta is comprised of Treaty 6, Treaty 7, and Treaty 8 territory, the traditional lands of First Nations and MÃ©tis peoples.
No form of electronic communication is secure and may be intercepted by others. Carya cannot guarantee the receipt of electronic communication nor a timely response. Where communication is confidential or time sensitive we recommend you call 403-269-9888 during business hours (Monday-Friday, 8:30am-4:30pm). For immediate crisis response please contact the Distress Centre Crisis Line at 403-266-HELP (4537) and in case of an emergency dial 911.
This e-mail is intended solely for the person or entity to which it is addressed and may contain confidential and/or privileged information. Any review, dissemination, copying, printing, forwarding or other use of this e-mail by persons or entities other than the addressee is prohibited. If you have received this e-mail in error, please contact the sender immediately and delete the material from your computer.</t>
  </si>
  <si>
    <t>Daniel Heaney</t>
  </si>
  <si>
    <t>Can't access NRCB drives though remote desktop</t>
  </si>
  <si>
    <t>I canâ€™t access the drives. Believe the issue is my SID.
What I think is my SID is not working that leads me to think I have it wrong.
Dan Heaney
780-918-2161</t>
  </si>
  <si>
    <t>Greg Larsen</t>
  </si>
  <si>
    <t>Tempus Z Folder Access - Chloe Leadley</t>
  </si>
  <si>
    <t>Please assign to me.
Jeff Meadows
Field Services Technician
PH.Â 587.273.5062
4922 - 53 St.
Red Deer,       AB
T4N2E9
Jeff.Meadows@mnp.ca
mnp.ca [image]
[image]
From: Gregory Larsen &lt;greg@tempusrealestate.com&gt; 
Sent: Thursday, January 14, 2021 3:43 PM
To: Jeff Meadows &lt;Jeff.Meadows@mnp.ca&gt;
Cc: Shyllo Kofoed &lt;shyllo@tempusrealestate.com&gt;
Subject: Tempus Z Folder Access - Chloe Leadley
CAUTION:This email originated from outside of the MNP network. Be cautious of any embedded links and/or attachments.
MISE EN GARDE:Ce courriel ne provient pas du rÃ©seau de MNP. MÃ©fiez-vous des liens ou piÃ¨ces jointes quâ€™il pourrait contenir.
Hey Jeff,
I know that I should have put this request through the help desk but you know how â€˜buggeredâ€™ our Folder Access Restrictions are on the Z: drive.
Shyllo is requesting that Chloe be given full admin access to the Z: drive. HOWEVER, we stilldo NOT want her to have access (the financial folders) in z:1-Accounting AND Z:Tempus/Controller Folder â€˜oâ€™ stuff AND Z: Craig folders.
She DOES also need access to z:Shyllo as well. We have probably not done that for any previous staff, but Chloe is in the role of Shylloâ€™s personal assistant and will be needing access to much more of his information than any prior staff.
Most likely this would be similar set up as Jolyn and Caleigh (with the exception of Shyllo folder) but I honestly canâ€™t remember anymore (another to-do project of cleaning up folders &amp; access, eh?). At any rate, please get her as much access WITHOUT giving her access to the 1-AccountingÂ  OR Tempus/Controller folder â€˜oâ€™ stuff Or Craig OR other personal staff folders.
If you need clarification on the actual folders to access/limitations, you are probably best to contact Shyllo directly. If you need clarification on historical access, you may need to speak/work with me.
Please let us know when you get to thisâ€¦.next week is fine.
Thanks and stay safe
Greg
Greg Larsen,B App. BA, CPA, CGA
Controller
[image]
Phone:Â Â Â Â Â Â 403-346-5533
Fax: Â Â Â Â Â Â Â Â Â Â Â  403-347-7730
Weâ€™ve Moved!!
Suite 200, 542 Laura Ave
Red Deer County, ABÂ  T4E 0A5
*** This communication is strictly private and contains confidential information intended solely for the addressee(s).Â  Access to this communication by parties other than the intended recipient(s) is unauthorized. If you have received this communication in error and are not the intended recipient, any disclosure, copying, distribution or action takenis strictly prohibited and may be unlawful. ***
Note: The health and safety of our community, customers and staff is our top priority. We kindly ask that you do not come into our office at this time. We would be pleased to connect with you by email, phone or video conference.
Thank you for your understanding and cooperation.</t>
  </si>
  <si>
    <t>Sally Sheldrake</t>
  </si>
  <si>
    <t>VPN</t>
  </si>
  <si>
    <t>Good morning,
I cant sign into our VPN I keep getting a message saying â€œunable to establish the VPN connection. The VPN server may be unreachable (-14)â€ Everyone else in my department is able to sign in.
SALLY SHELDRAKE, CRSP, NCSO, MSO |COR Audit Analyst
Alberta Construction Safety Association
225 Parsons Road SW |Â Edmonton ABÂ |Â T6X 0W6
TÂ 780.453.3311 ext. 1823 |Â FÂ 780.455.1120 |Â TFÂ 1.800.661.ACSA (2272)
www.youracsa.ca
[image][image][image][image][image]
[image]</t>
  </si>
  <si>
    <t xml:space="preserve">Server noise </t>
  </si>
  <si>
    <t>Hello are you able call me, itâ€™s importantâ€¦
The big black tower on the floor in our server room is making an extremely loud noise, it sounds like itâ€™s on over drive or something
When you call I will transfer you to my personal phone and go upstairs so you can hear it, or David, if you are in the area this AM, are you able to come by, I am concerned.
Please let me know the best course of action I should take?
Your help is appreciated
Thanks in advance
Barb Corsini
Office Manager
PH:Â Â  403 543-3322
Fax:Â  403 543-3325
bcorsini@capital-paper.com
http://www.capital-paper.com/
Capital Paper Recycling Ltd
10595 50th St S.E
Calgary AB
T2C 3E3
"Leaders in paper recoveryâ€
â€œRoad Closureâ€
Starting Tuesday Jan 12th 2021, finish date to be determined.
Please follow signage on the road for rerouting
Effective immediately, due to the unsecured nature, we cannot accept Interac E-Transfers. *Unless Authorized by Kim Burns.
The information in this email and any attachments is sent by Capital Paper Recycling LTD. and is intended to be confidential and for the use of only the individual or entity named above. The information may be protected by solicitor-client privilege, work product immunity or other legal principles. If the reader of this message is not the intended recipient, you are notified that unauthorized review, retention, dissemination, distribution, copying or other use of or taking any action in reliance upon this information is strictly prohibited. 
If you received this email in error, please notify us immediately by email reply and delete or destroy this message and any copies.</t>
  </si>
  <si>
    <t>Jani King</t>
  </si>
  <si>
    <t>Shayna Forseth</t>
  </si>
  <si>
    <t>Scorpion Containment Solutions 2007 Inc.</t>
  </si>
  <si>
    <t>Sheran Liyanage</t>
  </si>
  <si>
    <t>[JIRA] (OG-1076) Email is down - both on outlook and sharepoint</t>
  </si>
  <si>
    <t>Elaine Corbett made 1 update. Ontario Genomics/OG-1076 Email is down - both on outlook and sharepoint 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
Elaine Corbett made 1 update.
Ontario Genomics
/Â Â   [image] Â  OG-1076
 Email is down - both on outlook and sharepoint 
[image]  Elaine Corbett  8:11Â PMÂ EST
Status: Waiting for support [â†’] Escalated
View issue
Get Jira notifications on your phone! Download the Jira Cloud app for Android or iOS.
Manage notifications   Â â€¢Â    Give feedback   Â â€¢Â    Privacy policy
[image]
[image]
[image]</t>
  </si>
  <si>
    <t>[JIRA] Automation for Jira assigned OG-1076 to you - Email is down</t>
  </si>
  <si>
    <t>Automation for Jira assigned this issue to you
Ontario Genomics/OG-1076 Email is down - both on outlook and sharepoint 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
Automation for Jira assigned this issue to you
Ontario Genomics
/Â Â   [image] Â  OG-1076
 Email is down - both on outlook and sharepoint 
[image]  Automation for Jira  8:11Â PMÂ EST
Assignee: Unassigned [â†’] Jorge Bustamante
View issue
Get Jira notifications on your phone! Download the Jira Cloud app for Android or iOS.
Manage notifications   Â â€¢Â    Give feedback   Â â€¢Â    Privacy policy
[image]
[image]
[image]</t>
  </si>
  <si>
    <t>QuoteValet: ACCEPTED: #AAAQ19958 Pilgrims Hospice - Thursday, January 14, 2021 - 1346573</t>
  </si>
  <si>
    <t>CAUTION: This email originated from outside of the MNP network. Be cautious of any embedded links and/or attachments.
MISE EN GARDE: Ce courriel ne provient pas du rÃ©seau de MNP. MÃ©fiez-vous des liens ou piÃ¨ces jointes quâ€™il pourrait contenir.
[image]
780-424-6398
14505 114th Avenue NW, Edmonton, AB, T5M 2Y8
Dear Shawn Kubiski,
This is an automated notification from the QuoteValet system.
****QUOTE ACCEPTED****Acceptance Details:
Name: EMAIL FROM CHERYL
Email Address: cherylw@pilgrimshospice.com
Signature: *****************
From IP Address: 209.90.171.71
Acceptance Key: d44464051f3bf3eff1d8b3b7039109fa
Quote #AAAQ19958 Pilgrims Hospice - Thursday, January 14, 2021 - 1346573
Internal Review Quote Link: https://www.quotevalet.com/concierge.aspx?TenantId=cea2edee-e401-4b8b-9e82-d745c217b9a3&amp;DocumentId=&amp;internal=1
This email was created using QuoteValet - The online quote delivery and acceptance vehicle forQuoteWerks.</t>
  </si>
  <si>
    <t>BitTitan - Collaboration License</t>
  </si>
  <si>
    <t>### What company is this quote for?_x000D_
E4C_x000D_
  _x000D_
### Who should the quote be addressed to?  _x000D_
 The primary contact in Connectwise  _x000D_
  _x000D_
### Which location is the product for?_x000D_
main_x000D_
  _x000D_
### Which ND location is it needed at?  _x000D_
 Next Digital Edmonton  _x000D_
  _x000D_
### When is it needed by OR when is the next site visit for the client's location?  _x000D_
Fri 15 Jan, 2021  _x000D_
  _x000D_
### What do you need quoted?_x000D_
71 x BitTitan Collaboration Licenses</t>
  </si>
  <si>
    <t>John M Headset</t>
  </si>
  <si>
    <t>[image]
Shawn Kubiski
Partner
PH. +1 7804246398
14505 114th Avenue NW
Edmonton, AB
T5M2Y8
Shawn.Kubiski@mnp.ca
mnp.ca[image]
[image]</t>
  </si>
  <si>
    <t>Amanda Tam - Notice of New Hire - Sarah Feutl</t>
  </si>
  <si>
    <t>Hello,
This email is to notify you of an upcoming employee hire:
Employee Name:Sarah Feutl Â Â 
Department: Make Tax Time Pay Program
Job Title: Program Assistant Â Â 
Supervisor: Kelly Bickford
Effective Date: January 18, 2021
Distribution List &amp; Action Required
IT
RDS: Request for RDS/Network Access
E-mail: Request for Outlook Account.
E-mail Signature Set-up:
-Â Â Â Â Â Â Â Name: Sarah Feutl
-Â Â Â Â Â Â Â Position: Program Assistant
-Â Â Â Â Â Â Â Program: Make Tax Time Pay Program
Folder Access:
-Â Â Â Â Â Â Â Please mirror user Darian Selander
Apple ID Creation: Request for Apple ID.
Cell-phone Access:Request for cell-phone.
No Shore-tel access required.
Please send account details to: Darian Selander (dselander@e4calberta.org) and Kelly Bickford (kbickford@e4calberta.org)
Payroll/Finance
Payroll details will be provided once processed.
Reception
Please update existing employee list.
Communications
For information only.
Program Manager
For information only.
Facilities Manager
For information only.
If you have any questions or concerns please let me know.
Thank you!
AmandaTam, B. Com (she/her) e4c
Human Resources Generalist
Human Resources
ATam@e4calberta.org
T780.424.7543 ext 164
C780.721.2331
9321 Jasper Avenue, Edmonton AB T5H 3T7
e4calberta.org
[image]
This message is intended for the use of the individual or entity to which it is addressed and may contain information that is privileged and confidential. If you are not the intended recipient or the employee responsible for delivery of the message to the intended recipient, please be advised that any dissemination, distribution or copying of this message is strictly prohibited. If you have received this message in error, please notify us immediately by telephone and return the original email to us or destroy this message.
[image]e4c supports environmental conservation - please print wisely.</t>
  </si>
  <si>
    <t>Price, Kate - New Hire, January 18, 2021</t>
  </si>
  <si>
    <t>Good afternoon,
Please be advised that we have Kate Price, Director of Philanthropy and Community Relations, who will be starting on Monday, January 18, 2021.
Please review the attached form to set-up her access rightsas soon as possible. You will notice that the format of our new hire form is slightly different than what we used to send out. We are trying this format for efficiency and consistency on our end; however it contains that same information needed to set-up a new hire in the system. Â If there are any discrepancies, please let us know and we will adjust our form to ensure we provide the necessary details for you.
Lastly, once her credentials to Carya Email/Cloud are ready, please let me know (please useC@rya2021!# as a temporary password).
You may close the ticket when set-up. We will follow-up should there be any changes.
Thanks,
Angeli
[image]
Angeli AlipioBBA
HR Generalist
T: 403.205.5233 | E: AngeliA@caryacalgary.ca| F: 403.205.5281
180, 839 5 Ave SW | Calgary, AB | T2P 3C8
[image]Â [image]Â [image]
carya (formerly Calgary Family Services)
We are working remotely to help Calgarians through the COVID-19 pandemic. Please reach out to us if you need support.carya is here for you.
In the spirit of our efforts to promote reconciliation, we acknowledge the traditional territories and oral practices of the Blackfoot, the Tsuut'ina, the Stoney Nakoda First Nations, the MÃ©tis Nation Region 3, and all people who make their homes in the Treaty 7 region of Southern Alberta. We also respectfully acknowledge that the province of Alberta is comprised of Treaty 6, Treaty 7, and Treaty 8 territory, the traditional lands of First Nations and MÃ©tis peoples.
No form of electronic communication is secure and may be intercepted by others. Carya cannot guarantee the receipt of electronic communication nor a timely response. Where communication is confidential or time sensitive we recommend you call 403-269-9888 during business hours (Monday-Friday, 8:30am-4:30pm). For immediate crisis response please contact the Distress Centre Crisis Line at 403-266-HELP (4537) and in case of an emergency dial 911.
This e-mail is intended solely for the person or entity to which it is addressed and may contain confidential and/or privileged information. Any review, dissemination, copying, printing, forwarding or other use of this e-mail by persons or entities other than the addressee is prohibited. If you have received this e-mail in error, please contact the sender immediately and delete the material from your computer.</t>
  </si>
  <si>
    <t>Insurance Questions -  Edmonton Community Foundation, January 17, 2021 Renewal</t>
  </si>
  <si>
    <t>Hey team,
Please get the client team to answer these questions from Chris Quinn at Edmonton Community Foundation.Â  Once they have a chance to answer the questions please flip a change request to OPAL for review.
Thanks,
Matt Patrick
Manager, Operational Alignment
PH.Â +1 4036864357       Ext 402
310 - 4000 4 St SE
Calgary,       AB
T2G2W3
Matt.Patrick@mnp.ca
mnp.ca [image]
[image]
From: Chris Quinn &lt;CQuinn@ecfoundation.org&gt;
Sent: January 14, 2021 10:42 AM
To: Matt Patrick &lt;Matt.Patrick@mnp.ca&gt;
Subject: FW: Edmonton Community Foundation, January 17, 2021 Renewal
CAUTION:This email originated from outside of the MNP network. Be cautious of any embedded links and/or attachments.
MISE EN GARDE:Ce courriel ne provient pas du rÃ©seau de MNP. MÃ©fiez-vous des liens ou piÃ¨ces jointes quâ€™il pourrait contenir.
Hey Matt,
Howâ€™s it going?
Our insurance broker requires some more information before quoting on our coverage.
Can you please help out with the questions listed below?
Cheers,
Chris
From: Curtis Luu &lt;cluu@brokerlink.ca&gt;
Sent: January 13, 2021 7:33 AM
To: Chris Quinn &lt;CQuinn@ecfoundation.org&gt;
Cc: Sue Cardinal &lt;scardinal@brokerlink.ca&gt;
Subject: RE: Edmonton Community Foundation, January 17, 2021 Renewal
Hi Chris,
CNAâ€™s questions are below;
 Unsupported computers â€“ Windows 7 in the fleet.Â  What is the timeline for decommission and/or replacement?Â  What protections are in place in the meantime? Has an extended service package been purchased?Â  Have they been removed from the network or somehow air-gapped?
 Without an SIEM or SOC how is the Insured being alerted to potential issues on their network?
 Is O365 being used? If yes, what is being used in place of the ATP?
 Do all employees have local administrator rights?Â  Are they allowed to make changes to their machines?
 In absence of MFA being enabled, how is remote access being accomplished?Â  As the operations have transitioned to remote working â€“ were personal devices used or company issued?Â  If personal devices, what security measures have been taken?
 Is the Insured conducting vulnerability scans or penetration tests?Â  If so, how frequently?
Sincerely,
[image]Curtis Luu, CAIB
Commercial Account ExecutiveÂ  |Â BrokerLink
T: 780-487-2444 ext.46007Â  |Â  C: 780-977-0688Â  |F: 780-487-2554Â  |Â  cluu@brokerlink.ca
Brokerlink Inc.Â  |Â  10466 Mayfield Road NW, Edmonton, AB T5P 4P4
Branch hours: Mon-Fri: 8:00 am-5:00 pm
Visit us online:Â BrokerLink.caÂ [image]Â [image]
[Kincentric_BestEmployer_CANADA_2019_Blue_WEB (002)]
Please note new policies, policy changes or amendments cannot be bound or made unless you speak directly to a licensed insurance broker.
This communication and any attachments are confidential. If you are not the intended recipient, please immediately notify the sender and delete this communication including all attachments. Any other use, disclosure, distribution or copying is prohibited.
-----------------------------
If you no longer wish to receive electronic messages, please reply to this e-mail with the word â€œremoveâ€ in the subject heading. This may restrict our ability to send electronic messages to you in the future.
This communication and any attachments are confidential. If you are not the intended recipient, please immediately notify the sender and delete this communication including all attachments. Any other use, disclosure, distribution or copying is prohibited.
From: Curtis Luu
Sent: Friday, December 04, 2020 2:17 PM
To: 'Chris Quinn' &lt;CQuinn@ecfoundation.org&gt;
Cc: Sue Cardinal &lt;scardinal@brokerlink.ca&gt;
Subject: RE: Edmonton Community Foundation, January 17, 2021 Renewal
Hi Chris,
CNA reached out in regards to the Cyber renewal.
Can you complete the attached Ransomware questionnaire?
Also to get a quotation through CFC, can you advise on the following?
 2020-2021 â€œrevenuesâ€
 Anticipate 2021-2022 revenues
 Updated Number of Employees
 How many of them are working remotely?
If you have any questions or if itâ€™s easier to go over this through the phone...</t>
  </si>
  <si>
    <t>Carla O'Neil - Argus Developer Installation</t>
  </si>
  <si>
    <t>Hello,
I need help with the installation of Argus Developer. It is not letting me complete the installation. Can you please assist with this?
Thank you.
SAGAR KOHLI
```
C O R P O R A T E  C O N T R O L L E R
```
t.Â 403-266-5000 Ext. 215 |Â Â c.Â 780-904-4249
Suite 400, 1550 5 St SWÂ  
Calgary, Alberta T2R 1K3
```
arlingtonstreet.caFacebookÂ Â |Â Â TwitterÂ  |Â Â LinkedInÂ  |Â Â YouTube
```
Important COVID-19 Notice: Please note that we remain OPEN FOR BUSINESS but, as a result of COVID-19, our office is closed to the general public and open to clients by appointment only until further notice. With most of our staff now working remotely, please continue to contact us by email (preferably), or by phone, but note that there may be delays in checking voice messages remotely. We appreciate your continued business and patience during this unprecedented time.
The information in this email and any attachments is sent by ARLINGTON STREET INVESTMENTS and is intended to be confidential and for the use of only the individual or entity named above. The information may be protected by solicitor-client privilege, work product immunity or other legal principles. If the reader of this message is not the intended recipient, you are notified that unauthorized review, retention, dissemination, distribution, copying or other use of or taking any action in reliance upon this information is strictly prohibited. If you received this email in error, please notify us immediately by email reply and delete or destroy this message and any copies</t>
  </si>
  <si>
    <t>Quote Request - WK Trucking - DVI Cable for Barb Warawa</t>
  </si>
  <si>
    <t>### End User Hardware  _x000D_
  _x000D_
### What company is this quote for?_x000D_
WK Trucking_x000D_
  _x000D_
### Who made this request and why?_x000D_
Barb Warawa - Old monitor is not working with new computer_x000D_
  _x000D_
### Give this request a name_x000D_
DVI Cable for Barb Warawa_x000D_
  _x000D_
### Who should the quote be addressed to?  _x000D_
 Someone else  _x000D_
  _x000D_
### Who should it be addressed to?_x000D_
barb@wktrucking.com; CC admin@wktrucking.com_x000D_
  _x000D_
### Which location is the product for?_x000D_
Head Office_x000D_
  _x000D_
### Is there an existing ticket on another Connectwise board? If so what is the ticket number?_x000D_
1347088_x000D_
  _x000D_
### Which ND location is it needed at?  _x000D_
 Dropshipped to client site directly from distribution  _x000D_
  _x000D_
### What is the ship-to address?_x000D_
164075 Township Rd 542, Mundare, AB  T0B 3H0_x000D_
  _x000D_
### When is it needed by OR when is the next site visit for the client's location?  _x000D_
Thu 21 Jan, 2021  _x000D_
  _x000D_
### Do you need labour quoted?  _x000D_
 No  _x000D_
  _x000D_
### What products do you need on this quote?  _x000D_
 Accessories (Mice, keyboards, RAM/SSD upgrades etc)  _x000D_
  _x000D_
### Accessories  _x000D_
  _x000D_
### What do you need?  _x000D_
 Other  _x000D_
  _x000D_
### What do you need?_x000D_
DVI Cable_x000D_
  _x000D_
### What products do you need quoted?_x000D_
DVI Cable</t>
  </si>
  <si>
    <t>Reactivate - Billy McDonald</t>
  </si>
  <si>
    <t>Please reactivate user
[image]Â Riccardo Francese
Business Process Manager
T:       +1 (780) 400-7487
C:       +1 (587) 990-0176
F:       +1 (780) 417-6496
E:       RFrancese@siterg.com
W:       WWW.SITERG.COM
#170, 120 Pembina Rd., Sherwood Park, AB, T8H 0M2
The information contained in this e-mail may       contain confidential or privileged material and is intended only for the       stated addressee(s). If you are not the valid addressee, the use,       disclosure, copying or distribution of this information is prohibited and       may be unlawful. If you have received this email message in error, please       notify the sender immediately and delete all copies of the message from       your computer. All information within or opinions expressed in this       message and/or any attachments are those of the author and are not       necessarily those of the Centurion Group.</t>
  </si>
  <si>
    <t>Dave Kusmierz - share issues</t>
  </si>
  <si>
    <t>He cannot save or edit anything
S:\Construction Operations\Projects\56 Fort Mac\56-20-F0241 Suncor Pads 111,125-126 ,131
I checked his permissions for above and they seem to be OK?
[image]Â Riccardo Francese
Business Process Manager
T:       +1 (780) 400-7487
C:       +1 (587) 990-0176
F:       +1 (780) 417-6496
E:       RFrancese@siterg.com
W:       WWW.SITERG.COM
#170, 120 Pembina Rd., Sherwood Park, AB, T8H 0M2
The information contained in this e-mail may       contain confidential or privileged material and is intended only for the       stated addressee(s). If you are not the valid addressee, the use,       disclosure, copying or distribution of this information is prohibited and       may be unlawful. If you have received this email message in error, please       notify the sender immediately and delete all copies of the message from       your computer. All information within or opinions expressed in this       message and/or any attachments are those of the author and are not       necessarily those of the Centurion Group.</t>
  </si>
  <si>
    <t>Internet Issues</t>
  </si>
  <si>
    <t>Good Afternoon,
Is there something going on with our internet connection?
I am having a lot of weird things going on today.
Thanks,
Carie Campbell
Office Manager
T:
F:
780.459.5263
780.459.1220
carie@landrex.com
220Â SummitÂ PlazaÂ 190Â BoudreauÂ RoadÂ St.Â AlbertÂ ABÂ T8NÂ 6B9Â //Â landrex.com
[image]
PrivateÂ andÂ confidentialÂ â€‘Â TheÂ informationÂ transmittedÂ isÂ intendedÂ onlyÂ forÂ theÂ personÂ orÂ entityÂ toÂ whichÂ itÂ isÂ addressedÂ andÂ mayÂ containÂ proprietary,Â businessâ€‘confidentialÂ and/orÂ 
privilegedÂ material.Â IfÂ youÂ areÂ notÂ theÂ intendedÂ recipientÂ ofÂ thisÂ messageÂ youÂ areÂ herebyÂ notifiedÂ thatÂ anyÂ use,Â review,Â retransmission,Â dissemination,Â distribution,Â reproductionÂ orÂ anyÂ 
actionÂ takenÂ inÂ relianceÂ uponÂ thisÂ messageÂ isÂ prohibited.Â IfÂ youÂ receivedÂ thisÂ inÂ error,Â pleaseÂ contactÂ theÂ senderÂ andÂ deleteÂ theÂ messageÂ andÂ anyÂ relatedÂ attachmentsÂ orÂ copies.</t>
  </si>
  <si>
    <t xml:space="preserve">MHK - Telus Outage </t>
  </si>
  <si>
    <t>Please take a look at our phones and give me a call at 780-999-7111
Jana Lumsden       CPA, CMA
Chief Financial Officer
EÂ Â Â Â Â  jlumsden@mhkinsurance.com
DÂ Â Â Â  587.525.6029Â 
CÂ Â Â Â  780.999.7111
12316-107 Avenue, Edmonton, AB  T5M 1Z1
www.mhkinsurance.com
[image]
[image]
We're here to help with your insurance needs. Emails       and phone calls are still encouraged. Appointments are required for       in-office broker meetings. Please wear a mask when       visiting.
MHK welcomes       e-Transfer payments to banking@mhkinsurance.com.
If you       receive this email in error, please notify us by reply email and destroy       this message. MHK complies with Canada's Anti-Spam and Alberta's PIPA       Legislations. If you no longer wish to receive emails from MHK, please       reply with 'Unsubscribe' in the subject   line.
From: Nikki Simms &lt;NSimms@mhkinsurance.com&gt;
Sent: Thursday, January 14, 2021 1:30 PM
To: MHK IT Team &lt;it@mhkinsurance.com&gt;
Subject: HELP
Good afternoon,
Sounds like most of us are having issues with the phone. We canâ€™t call out and cannot pick up calls coming in. Is this an issue company wide?
Nikki Simms
Senior Account Manager, Personal Lines
EÂ Â Â Â Â NSimms@mhkinsurance.com
DÂ Â Â Â  587.525.6051Â 
12316-107 Avenue, Edmonton, AB T5M 1Z1
www.mhkinsurance.com
[image]
[image]
We're here to help with your insurance needs. Emails and phone calls are still encouraged. Appointments are required for in-office broker meetings. Please wear a mask when visiting.
MHK welcomes e-Transfer payments to banking@mhkinsurance.com.
If you receive this email in error, please notify us by reply email and destroy this message. MHK complies with Canada's Anti-Spam and Alberta's PIPA Legislations. If you no longer wish to receive emails from MHK, please reply with 'Unsubscribe' in the subject line.</t>
  </si>
  <si>
    <t>Re: Discontinue Email Account</t>
  </si>
  <si>
    <t>I approve this request.
Sent from my iPhone
On Jan 14, 2021, at 8:03 AM, Trueman Macdonald &lt;TMacdonald@schizophrenia.ab.ca&gt; wrote:
ï»¿
Hello,
Please discontinue the email account for: Â Alrick Forbes AForbes@schizophrenia.ab.ca as soon as possible.
Thank you
Trueman
Trueman Macdonald
Director of Housing, Schizophrenia Society of Alberta
Iris Court / Lovella Apartments / Kentwood Place
Phone: 780-705-5565
www.schizophrenia.ab.ca
This message and any attachments are directed in confidence to those named, and must not be reviewed, retained or disclosed without the consent of the sender or the named recipient(s).Â  If you have received it in error, please delete it and notify us immediately
&lt;image001.png&gt;</t>
  </si>
  <si>
    <t>Melody Baldry - Hewes iTero  Element2 - WiFi No internet access</t>
  </si>
  <si>
    <t>### Summary of Issue_x000D_
Hewes iTero  Element2 - WiFi No internet access_x000D_
  _x000D_
### Details of Issue_x000D_
The Hewes iTero Element2 is connected to the "Align_Net" WiFi, but the device says that there is no internet connections. The iTero Element1 is also connected to Align_Net and is successful. We are currently using the Align_Staff WiFi_x000D_
  _x000D_
### Have you opened a ticket about this issue before?  _x000D_
 No  _x000D_
  _x000D_
### How many users are impacted by this issue?  _x000D_
 Some  _x000D_
  _x000D_
### How would you classify this issue?  _x000D_
 Work Impacting</t>
  </si>
  <si>
    <t>Connie Olson - RDS Connection on work computer</t>
  </si>
  <si>
    <t>### Summary of Issue_x000D_
RDS Connection on work computer_x000D_
  _x000D_
### Details of Issue_x000D_
I asm in the Alex Taylor office and need to login to my desktop RDS  (am I able to be logged in on my laptop and my desktop at the same time?  Please call me on my cell at 780-913-5662_x000D_
  _x000D_
### Have you opened a ticket about this issue before?  _x000D_
 No  _x000D_
  _x000D_
### How many users are impacted by this issue?  _x000D_
 One  _x000D_
  _x000D_
### How would you classify this issue?  _x000D_
 Work Impacting  _x000D_
  _x000D_
### If your callback number is different than what's on record, please provide it below._x000D_
780-913-5662</t>
  </si>
  <si>
    <t>forwarding of emails</t>
  </si>
  <si>
    <t>Good afternoon,
This is a request to please set-up forwarding of emails from Penelope inbox to Rob Zimmerman atRobZ@caryacalgary.ca.
Please let me know if you have any questions.
Thanks,
Angeli
[image]
Angeli AlipioBBA
HR Generalist
T: 403.205.5233 |E: AngeliA@caryacalgary.ca| F: 403.205.5281
180, 839 5 Ave SW | Calgary, AB | T2P 3C8
[image]Â [image]Â [image]
carya (formerly Calgary Family Services)
We are working remotely to help Calgarians through the COVID-19 pandemic. Please reach out to us if you need support.carya is here for you.
In the spirit of our efforts to promote reconciliation, we acknowledge the traditional territories and oral practices of the Blackfoot, the Tsuut'ina, the Stoney Nakoda First Nations, the MÃ©tis Nation Region 3, and all people who make their homes in the Treaty 7 region of Southern Alberta. We also respectfully acknowledge that the province of Alberta is comprised of Treaty 6, Treaty 7, and Treaty 8 territory, the traditional lands of First Nations and MÃ©tis peoples.
No form of electronic communication is secure and may be intercepted by others. Carya cannot guarantee the receipt of electronic communication nor a timely response. Where communication is confidential or time sensitive we recommend you call 403-269-9888 during business hours (Monday-Friday, 8:30am-4:30pm). For immediate crisis response please contact the Distress Centre Crisis Line at 403-266-HELP (4537) and in case of an emergency dial 911.
This e-mail is intended solely for the person or entity to which it is addressed and may contain confidential and/or privileged information. Any review, dissemination, copying, printing, forwarding or other use of this e-mail by persons or entities other than the addressee is prohibited. If you have received this e-mail in error, please contact the sender immediately and delete the material from your computer.</t>
  </si>
  <si>
    <t>Hi Randy,
I have sent this request to our support team. In the future, please email support@mnptechnology.ca
They have been ccâ€™d on this email for your reference.
Thanks and have a great day.
Carly
From: Randy Burden &lt;Randy.Burden@calmont.ca&gt; 
Sent: Wednesday, January 6, 2021 8:12 AM
To: info@nextdigital.ca
Subject: FW: QuoteMaster System Update - 1/15/2021
CAUTION:This email originated from outside of the MNP network. Be cautious of any embedded links and/or attachments.
MISE EN GARDE:Ce courriel ne provient pas du rÃ©seau de MNP. MÃ©fiez-vous des liens ou piÃ¨ces jointes quâ€™il pourrait contenir.
Hi,
This is Randy Burden with Calmont Leasing in Calgary, see below.
I will need the new version of Quotemaster installed on my laptop as required.
My phone # is 403-589-8287.
Please forward to appropriate folks at IT support.
Thanks randy
From: QuoteMaster Support Team &lt;qmsupport@hubnetic.com&gt; 
Sent: December 23, 2020 5:53 PM
Subject: FW: QuoteMaster System Update - 1/15/2021
Dear QuoteMaster User,
The last several months we have been working to address Quotemaster system issues.Â  On Friday, January 15, 2021 we are planning to implement a new version of Quotemaster.Â  This process will be handled on the weekend to ensure minimal interruption to your quoting needs.
QuoteMaster unavailable during the following timeframe:
Start: Â Â  2pm CDT, Friday, January 15, 2021
End:Â Â Â Â Â  6am CDT, Monday, January 18, 2021
All quoting needs will need to be resolved prior to 2pm CDT on Friday, January 15, 2021. Â Once the upgrade is completed, a new version of QuoteMaster will need to be installed onto your machine.Â  If your computer is managed by a centralized IT department, please forward this email to them to allow ample time for preparation.
Regards,
Sunny Allen
Operations Manager
[HubneticLogo2]
PO Box 148|Liberty Mo, 64069
Cell: 816-351-0143
Office: 1-833-HubNetic (482-6384)
www.HubNetic.com
This e-mail and any attachments are intended solely for use by the addressee(s) named above. It may contain confidential, legally privileged, and/or proprietary information of HubNetic, LLC, its subsidiaries, affiliates, or business partners. If you are not the intended recipient of this e-mail or are an unauthorized recipient of the information, you are hereby notified that any dissemination, distribution, or copying of this e-mail or any attachments is strictly prohibited. If you have received this e-mail in error, please immediately notify the sender by reply e-mail and permanently delete the original and any copies or printouts.</t>
  </si>
  <si>
    <t>RE: Ticket#1272571/need info/Nexsource/Project Request - NexSource Power - Aging server and MS 365 m</t>
  </si>
  <si>
    <t xml:space="preserve">Hi Curt,
Excellent, thank you guys! Amin/Flavio, would you like to send the quote to Amy, or should I?
Thanks,
Jeff Meadows
Field Services Technician
PH.Â 587.273.5062
4922 - 53 St.
Red Deer, AB
T4N2E9
Jeff.Meadows@mnp.ca
mnp.ca[image]
[image]
From: Curt Giacomoni &lt;Curt.Giacomoni@mnp.ca&gt; 
Sent: Thursday, January 14, 2021 11:53 AM
To: Jeff Meadows &lt;Jeff.Meadows@mnp.ca&gt;; Kolyn Anderson &lt;Kolyn.Anderson@mnp.ca&gt;; Tom Carey &lt;Tom.Carey@mnp.ca&gt;; Flavio Soares &lt;Flavio.Soares@mnp.ca&gt;
Cc: ITMS Quotes &lt;itms.quotes@mnp.ca&gt;
Subject: RE: Ticket#1272571/need info/Nexsource/Project Request - NexSource Power - Aging server and MS 365 migration
Thanks Jeff. The quote has been adjusted with the changes you requested.
The server can be configured in a lot of ways. An SSD array is absolutely a possibility
Curt Giacomoni
Project Estimator
PH.Â +1 7804246398
14505 114th Avenue NW
Edmonton, AB
T5M2Y8
Curt.Giacomoni@mnp.ca
mnp.ca
[image]
[image]
From: Jeff Meadows &lt;Jeff.Meadows@mnp.ca&gt; 
Sent: Thursday, January 14, 2021 11:52 AM
To: Kolyn Anderson &lt;Kolyn.Anderson@mnp.ca&gt;; Curt Giacomoni &lt;Curt.Giacomoni@mnp.ca&gt;; Tom Carey &lt;Tom.Carey@mnp.ca&gt;; Flavio Soares &lt;Flavio.Soares@mnp.ca&gt;
Subject: RE: Ticket#1272571/need info/Nexsource/Project Request - NexSource Power - Aging server and MS 365 migration
Weâ€™ll need some minor changes:
-Change contact to Amy Dakin
-Remove VCC option: they literally canâ€™t implement it with their current ISP availability
-Adjust CAL count to 36
I know the hardware for the server isnâ€™t specified yet, but would we be quoting traditional hard drives? Their current hypervisor, as misconfigured as it is, does have an SSD array so I want to make sure whatever we quote them will offer similar or better performance.
Jeff Meadows
Field Services Technician
PH.Â 587.273.5062
4922 - 53 St.
Red Deer, AB
T4N2E9
Jeff.Meadows@mnp.ca
mnp.ca
[image]
[image]
From: Kolyn Anderson &lt;Kolyn.Anderson@mnp.ca&gt; 
Sent: Thursday, January 14, 2021 11:47 AM
To: Jeff Meadows &lt;Jeff.Meadows@mnp.ca&gt;; Curt Giacomoni &lt;Curt.Giacomoni@mnp.ca&gt;; Tom Carey &lt;Tom.Carey@mnp.ca&gt;; Flavio Soares &lt;Flavio.Soares@mnp.ca&gt;
Subject: RE: Ticket#1272571/need info/Nexsource/Project Request - NexSource Power - Aging server and MS 365 migration
Thanks Jeff. Leaving as is.
Kolyn Anderson
Senior Project Specialist
PH.Â +1 4036864357 Ext 404
310 - 4000 4 St SE
Calgary, AB
T2G2W3
Kolyn.Anderson@mnp.ca
mnp.ca
[image]
[image]
From: Jeff Meadows &lt;Jeff.Meadows@mnp.ca&gt; 
Sent: January 14, 2021 11:45 AM
To: Kolyn Anderson &lt;Kolyn.Anderson@mnp.ca&gt;; Curt Giacomoni &lt;Curt.Giacomoni@mnp.ca&gt;; Tom Carey &lt;Tom.Carey@mnp.ca&gt;; Flavio Soares &lt;Flavio.Soares@mnp.ca&gt;
Subject: RE: Ticket#1272571/need info/Nexsource/Project Request - NexSource Power - Aging server and MS 365 migration
Letâ€™s keep it as a high-level estimate for now: Nexsource is in the middle of their email migration and isnâ€™t looking to immediately sign off on something else. Weâ€™ll take it back to her and discuss it, if they want to go ahead weâ€™ll put in another request.
Jeff Meadows
Field Services Technician
PH.Â 587.273.5062
4922 - 53 St.
Red Deer, AB
T4N2E9
Jeff.Meadows@mnp.ca
mnp.ca
[image]
[image]
From: Kolyn Anderson &lt;Kolyn.Anderson@mnp.ca&gt; 
Sent: Thursday, January 14, 2021 11:40 AM
To: Curt Giacomoni &lt;Curt.Giacomoni@mnp.ca&gt;; Tom Carey &lt;Tom.Carey@mnp.ca&gt;; Flavio Soares &lt;Flavio.Soares@mnp.ca&gt;
Cc: Jeff Meadows &lt;Jeff.Meadows@mnp.ca&gt;
Subject: RE: Ticket#1272571/need info/Nexsource/Project Request - NexSource Power - Aging server and MS 365 migration
This was a high-level estimate only, are we converting this to an actual project request that they want to sign off on now?
If so weâ€™ll need to create a PID and start over.
Kolyn Anderson
Senior Project Specialist
PH.Â +1 4036864357 Ext 404
310 - 4000 4 St SE
Calgary, AB
T2G2W3
Kolyn.Anderson@mnp.ca
mnp.ca
[image]
[image]
</t>
  </si>
  <si>
    <t>Pulse Vet - Exchange Online Plan 1 Add</t>
  </si>
  <si>
    <t>### What company is this quote for?_x000D_
Pulse Vet_x000D_
  _x000D_
### Is there an existing ticket on another Connectwise board? If so what is the ticket number?_x000D_
1346929_x000D_
  _x000D_
### Add or Remove CSP licenses  _x000D_
 Add licenses  _x000D_
  _x000D_
### March 30, 2020 New Microsoft 365 offerings for small and medium-sized businesses. (https://www.microsoft.com/en-us/microsoft-365/blog/2020/03/30/new-microsoft-365-offerings-small-and-medium-sized-businesses/)  _x000D_
  _x000D_
### What Type of license  _x000D_
 Office 365 E3  _x000D_
  _x000D_
### How many licenses to add/remove?_x000D_
1_x000D_
  _x000D_
### Optional - What users are the licenses for?_x000D_
SaraW@pulseveterinary.ca</t>
  </si>
  <si>
    <t>Tina Fagan - Reset Password for Extension 350</t>
  </si>
  <si>
    <t>Can you please reset the password for Kyle Perea, extension 350.
Thank you!
Best Regards,
[image]
Tina Fagan | Assistant to Executives | Lexus of Edmonton 
Tel: 780-466-8300 | tfagan@lexusofedmonton.caÂ  |www.lexusofedmonton.ca
[image]
Lexus of Edmonton family member since 2014</t>
  </si>
  <si>
    <t>Tiffany Polei</t>
  </si>
  <si>
    <t>Greg Repchinsky- H Drive Back Up</t>
  </si>
  <si>
    <t>Good Morning,
Can you please pull a back up of Greg Repchinskyâ€™s H Drive (Personal drive) Â and store it in the below noted file as soon as possible.
Thanks again.
P:\zzz-ARCHIVE FOLDER\Former Employees - ARCHIVE
Tiffany Polei
Operations Coordinator
**Effective December 13, 2020 I will be working remotely. I can be reached via cell, or e mail**
[image]
OfficeÂ Â  780.449.1700
CellÂ Â Â Â Â Â  780.996.5312
14505-114 Avenue NW
Edmonton, ABÂ Â  T5M 2Y8
Tiffany@advancecoating.com</t>
  </si>
  <si>
    <t>IT Glue Font</t>
  </si>
  <si>
    <t>### Is this request for something new, or to improve something that already exists?  _x000D_
 Improve an Existing Solution  _x000D_
  _x000D_
### What type of solution is this?  _x000D_
 Other  _x000D_
  _x000D_
### Describe Other:_x000D_
The default font in IT Glue makes it difficult to differntiate between similar characters such as 0/O and 1/l/I.  This is particularely irksome when having to type in a password manually and it takes several tries to get to right._x000D_
  _x000D_
### How often would you estimate this solution would be used or triggered?  _x000D_
 More than Once per Month  _x000D_
  _x000D_
### Please estimate the time or cost savings this solution provides each user or case._x000D_
a few minutes, more if you lock out an account_x000D_
  _x000D_
### In the field below, provide some details. Try to focus on your vision of the end result. Don't worry about getting it all perfect - we're going to call you before we start work.  _x000D_
TIP: If this is for a new dashboard or report, you could sketch up a concept on a napkin, in Paint, or Excel, and attach it to this request.</t>
  </si>
  <si>
    <t>Please add 1 license for Office 365 E3 for a new user Larry Hansen</t>
  </si>
  <si>
    <t>### What company is this quote for?_x000D_
Metis Local 1935_x000D_
  _x000D_
### Is there an existing ticket on another Connectwise board? If so what is the ticket number?_x000D_
1347040_x000D_
  _x000D_
### Add or Remove CSP licenses  _x000D_
 Add licenses  _x000D_
  _x000D_
### March 30, 2020 New Microsoft 365 offerings for small and medium-sized businesses. (https://www.microsoft.com/en-us/microsoft-365/blog/2020/03/30/new-microsoft-365-offerings-small-and-medium-sized-businesses/)  _x000D_
  _x000D_
### What Type of license  _x000D_
 Office 365 E3  _x000D_
  _x000D_
### How many licenses to add/remove?_x000D_
1</t>
  </si>
  <si>
    <t>John Rud</t>
  </si>
  <si>
    <t xml:space="preserve">John Rud - Password not working </t>
  </si>
  <si>
    <t>Hi
Can you please assist John Rud?
With Thanks,
Cheryl Trenchard, PCP
Human Resources &amp; Payroll Manager
[cid:image001.jpg@01D407CC.BE04B790]
14610 Yellowhead Trail NW Edmonton, AB, T5L 3C5
Branch: 780-482-0281Â Â Â  Cell: 587-930-2091Â Â  Fax: 780-482-0278
Email:cheryl.trenchard@calmont.ca
Website:www.calmont.ca
This email, and any files transmitted with it, are confidential and are intended solely for the use of the individual or entity to which they are addressed. Any unauthorized use or disclosure is prohibited. Please notify the sender if you have received this email in error. Thank you for your co-operation.
From: Cheryl Trenchard &lt;Cheryl.Trenchard@calmont.ca&gt;
Sent: December 14, 2020 12:19 PM
To: Emma Dobson &lt;Emma.Dobson@calmont.ca&gt;
Cc: Tony Newton &lt;Tony.Newton@calmont.ca&gt;;johnrud117@gmail.com
Subject: RE: JOHN RUDD
Hi
I have put a ticket in to Next Digital
With Thanks,
Cheryl Trenchard, PCP
Human Resources &amp; Payroll Manager
[cid:image001.jpg@01D407CC.BE04B790]
14610 Yellowhead Trail NW Edmonton, AB, T5L 3C5
Branch: 780-482-0281Â Â Â  Cell: 587-930-2091Â Â  Fax: 780-482-0278
Email:cheryl.trenchard@calmont.ca
Website:www.calmont.ca
This email, and any files transmitted with it, are confidential and are intended solely for the use of the individual or entity to which they are addressed. Any unauthorized use or disclosure is prohibited. Please notify the sender if you have received this email in error. Thank you for your co-operation.
From: Emma Dobson &lt;Emma.Dobson@calmont.ca&gt;
Sent: December 14, 2020 12:03 PM
To: Cheryl Trenchard &lt;Cheryl.Trenchard@calmont.ca&gt;
Cc: Tony Newton &lt;Tony.Newton@calmont.ca&gt;;johnrud117@gmail.com
Subject: JOHN RUDD
Cheryl,
John has asked me to contact you because his windows login is not working. Can you reset him another password?
Emma Dobson
Service Writer
[cid:image001.jpg@01D40C6B.5195C1F0]
We're Customer Driven
14610 Yellowhead Trail NW Edmonton, AB, T5L 3C5
Branch: 780-454-0491Â Â Â Â  Toll Free: 1-800-363-7819Â Fax: 780-482-5663
Email:Emma.Dobson@calmont.ca
Website:www.calmont.ca
This email, and any files transmitted with it, are confidential and are intended solely for the use of the individual or entity to which they are addressed. Any unauthorized use or disclosure is prohibited. Please notify the sender if you have received this email in error. Thank you for your co-operation.
|^^^^^^^^^^^^^^^^^^^^|_||
|Â CÂ A L M O N TÂ Â Â Â | ||Â |"\,___Â Â Â Â Â Â Â Â Â Â Â Â 
|_..._...__________==|=||_|__|..;]
"(@)'(@)"""""""""|(@)(@)*****(@)</t>
  </si>
  <si>
    <t>Firewall Message</t>
  </si>
  <si>
    <t>Good Morning,
I received this message this morning â€“ never had this happen before. See below.
Is it safe?
[image]
Douglas HainesÂ |VerticalÂ Developmental ManagerÂ | Maclab Development Group
Suite 1005Â | 10104 103 AvenueÂ | Edmonton Â ABÂ | T5J 0H8
Tel:Â 780.420. 4063Â | cell:Â Â 780.919.0458</t>
  </si>
  <si>
    <t>Amy Dakin</t>
  </si>
  <si>
    <t>Offsite Storage Repository</t>
  </si>
  <si>
    <t>### What company is this quote for?_x000D_
Nexsource Power_x000D_
  _x000D_
### Who should the quote be addressed to?  _x000D_
 Someone else  _x000D_
  _x000D_
### Who should it be addressed to?_x000D_
Amy Dakin (adakin@nexsourcepower.com)_x000D_
  _x000D_
### Which location is the product for?_x000D_
Sylvan Lake Shop_x000D_
  _x000D_
### Which ND location is it needed at?  _x000D_
 Next Digital Red Deer  _x000D_
  _x000D_
### When is it needed by OR when is the next site visit for the client's location?  _x000D_
Thu 21 Jan, 2021  _x000D_
  _x000D_
### What do you need quoted?_x000D_
Need to quote a second TS-451+ with 4 3TB HDDs, same as in quote AAAQ17714-03. This will be installed at the Sylvan Lake Shop and serve as a replication partner for the original QNAP in the Sylvan Lake main office. Labour should not be extensive, we will need to set up this QNAP, install it at the shop, then set up replication between the two.</t>
  </si>
  <si>
    <t>Julie Nadeau - Client Care</t>
  </si>
  <si>
    <t>### Summary of Issue_x000D_
Client Care_x000D_
  _x000D_
### Details of Issue_x000D_
Please add jacquie to the client care email_x000D_
  _x000D_
### Have you opened a ticket about this issue before?  _x000D_
 No  _x000D_
  _x000D_
### How many users are impacted by this issue?  _x000D_
 Some  _x000D_
  _x000D_
### How would you classify this issue?  _x000D_
 Other</t>
  </si>
  <si>
    <t>FW: XPS 15</t>
  </si>
  <si>
    <t>From: Riccardo Francese &lt;RFrancese@siterg.com&gt; 
Sent: Thursday, January 14, 2021 9:32 AM
To: Sales - MNP IT Managed Services &lt;sales@mnptechnology.ca&gt;
Subject: XPS 15
CAUTION:This email originated from outside of the MNP network. Be cautious of any embedded links and/or attachments.
MISE EN GARDE:Ce courriel ne provient pas du rÃ©seau de MNP. MÃ©fiez-vous des liens ou piÃ¨ces jointes quâ€™il pourrait contenir.
Hey Folks,
Can you let me know what we can get this unit for?
[Image removed by sender.]
Riccardo Francese
Business Process Manager
T: +1 (780) 400-7487
C: +1 (587) 990-0176
F: +1 (780) 417-6496
E: RFrancese@siterg.com
W:WWW.SITERG.COM
#170, 120 Pembina Rd., Sherwood Park, AB, T8H 0M2
The information contained in this e-mail may contain confidential or privileged material and is intended only for the stated addressee(s). If you are not the valid addressee, the use, disclosure, copying or distribution of this information is prohibited and may be unlawful. If you have received this email message in error, please notify the sender immediately and delete all copies of the message from your computer. All information within or opinions expressed in this message and/or any attachments are those of the author and are not necessarily those of the Centurion Group.</t>
  </si>
  <si>
    <t>NRCB - Updates/Wsus</t>
  </si>
  <si>
    <t>Hi,
Perhaps itâ€™s just a name but why doesn NRCB have a drive call WSUS?Â  Please confirm WSUS is not running in the environment and that their updates are all automated as per our normal best practices. Thank you.
Shaun Gierent
Manager, Technical Services
PH.Â +1 7804246398       Ext 360
14505 114th Avenue NW
Edmonton,       AB
T5M2Y8
Shaun.Gierent@mnp.ca
mnp.ca [image]
[image]
From: Mike Farhat &lt;Mike.Farhat@mnp.ca&gt;
Sent: January 13, 2021 8:25 PM
To: ITMS - On Call Team &lt;ITMS.OnCall@mnp.ca&gt;; CT-NRCB Team &lt;CT-NRCBTeam@mnp.ca&gt;
Subject: RE: Drive Free Space is less than 10GB on NRCB\NRCB-APP (F:\ Drive) at Edmonton.
Resolved
Expand â€œF:\ Drive -WSUSâ€ by 30 GB
Could not locate any space to free on the drive
Mike Farhat
Field Services Technician
PH.Â +1 4036864357
310 - 4000 4 St SE
Calgary, AB
T2G2W3
Mike.Farhat@mnp.ca
mnp.ca
[image]
[image]
From: Mike Farhat &lt;Mike.Farhat@mnp.ca&gt;
Sent: January 13, 2021 8:10 PM
To: ITMS - On Call Team &lt;ITMS.OnCall@mnp.ca&gt;; CT-NRCB Team &lt;CT-NRCBTeam@mnp.ca&gt;
Subject: Drive Free Space is less than 10GB on NRCB\NRCB-APP (F:\ Drive) at Edmonton.
Looking into it
Ticket# 1346594
Mike Farhat
Field Services Technician
PH.Â +1 4036864357
310 - 4000 4 St SE
Calgary, AB
T2G2W3
Mike.Farhat@mnp.ca
mnp.ca
[image]
[image]</t>
  </si>
  <si>
    <t>Grant Kelba (Inactive)</t>
  </si>
  <si>
    <t>Zoom plugin</t>
  </si>
  <si>
    <t>Hi there,
I am having trouble connecting the Zoom plugin with my outlook.
Also, I have installed Team Viewer on my Arlington computer so I can access it from my home, but although I can access my home computer from work, when I try to access my work computer from home, it keeps telling me that the computer is not on or is not connected to the internet.
So, fix these two problems and I will thank you forever.
GRANT KELBA
```
P R O P E R T Y  M A N A G E R
```
t.Â (403) 266-5000 Ext. 204 |Â Â c.Â 403-605-0983
Suite 400, 1550 5 St SWÂ  
Calgary, Alberta T2R 1K3
```
arlingtonstreet.caFacebookÂ Â |Â Â TwitterÂ  |Â Â LinkedInÂ  |Â Â YouTube
```
Important COVID-19 Notice: Please note that we remain OPEN FOR BUSINESS but, as a result of COVID-19, our office is closed to the general public and open to clients by appointment only until further notice. With most of our staff now working remotely, please continue to contact us by email (preferably), or by phone, but note that there may be delays in checking voice messages remotely. We appreciate your continued business and patience during this unprecedented time.
The information in this email and any attachments is sent by ARLINGTON STREET INVESTMENTS and is intended to be confidential and for the use of only the individual or entity named above. The information may be protected by solicitor-client privilege, work product immunity or other legal principles. If the reader of this message is not the intended recipient, you are notified that unauthorized review, retention, dissemination, distribution, copying or other use of or taking any action in reliance upon this information is strictly prohibited. If you received this email in error, please notify us immediately by email reply and delete or destroy this message and any copies</t>
  </si>
  <si>
    <t>Kyle Perea</t>
  </si>
  <si>
    <t>Kyle Perea - Unable to Print</t>
  </si>
  <si>
    <t>Hi. I am no longer able to print from my computer. Print jobs just queue, but donâ€™t print.</t>
  </si>
  <si>
    <t>Pics Email</t>
  </si>
  <si>
    <t>Hi,
Can we add Kent Hector (khector@nationalneon) to the pics@nationalneon.com distribution list.
Thanks.
Ryan Sander</t>
  </si>
  <si>
    <t>Riccardo Francese - E-Mail Signatures Missing</t>
  </si>
  <si>
    <t>Hello,
E-Mail signatures for Dave Robertson below and Joe Pilieci are not showing up can we please fix?
[image]Â Riccardo Francese
Business Process Manager
T:       +1 (780) 400-7487
C:       +1 (587) 990-0176
F:       +1 (780) 417-6496
E:       RFrancese@siterg.com
W:       WWW.SITERG.COM
#170, 120 Pembina Rd., Sherwood Park, AB, T8H 0M2
The information contained in this e-mail may       contain confidential or privileged material and is intended only for the       stated addressee(s). If you are not the valid addressee, the use,       disclosure, copying or distribution of this information is prohibited and       may be unlawful. If you have received this email message in error, please       notify the sender immediately and delete all copies of the message from       your computer. All information within or opinions expressed in this       message and/or any attachments are those of the author and are not       necessarily those of the Centurion Group.
-----Original Message-----
From: Dave Robertson &lt;DRobertson@siterg.com&gt; 
Sent: Thursday, January 14, 2021 7:23 AM
To: Riccardo Francese &lt;RFrancese@siterg.com&gt;
Subject: Email Signature
Hi Ricardo,
I seem to be having trouble with my signature. Currently it comes up as text and no picture with the hyperlink being written out in a very lengthy format. I tried to delete the signature and re-do it, but now nothing comes up. Do you have a template you can provide, or perhaps assist me?
Thanks,
Dave</t>
  </si>
  <si>
    <t>E4C - Webcams</t>
  </si>
  <si>
    <t>From: M.Luiza Coelho &lt;mlcoelho@e4calberta.org&gt; 
Sent: Thursday, January 14, 2021 8:51 AM
To: Sales - MNP IT Managed Services &lt;sales@mnptechnology.ca&gt;
Subject: Equipment
CAUTION:This email originated from outside of the MNP network. Be cautious of any embedded links and/or attachments.
MISE EN GARDE:Ce courriel ne provient pas du rÃ©seau de MNP. MÃ©fiez-vous des liens ou piÃ¨ces jointes quâ€™il pourrait contenir.
Hi Curtis,
I need to order 4 cameras with mic, can you send me a quote please and tahnks
M.Luiza Coelhoe4c 
Senior Manager
mlcoelho@e4calberta.org
T 780.424.7543 ext 132Â  
9321 Jasper Avenue, Edmonton AB T5H 3T7 
e4calberta.org
--------------------------------------------------------------------------------------------
This message is intended for the use of the individual or entity to which
it is addressed and may contain information that is privileged and 
confidential. If you are not the intended recipient or the employee 
responsible for delivery of the message to the intended recipient, please 
be advised that any dissemination, distribution or copying of this message 
is strictly prohibited. If you have received this message in error, please 
notify us immediately by telephone and return the original email to us or 
destroy this message.
--------------------------------------------------------------------------------------------
e4c supports environmental conservation - please print wisely.</t>
  </si>
  <si>
    <t>Jacqui Sandhu</t>
  </si>
  <si>
    <t>Old webstore error</t>
  </si>
  <si>
    <t>James Armitage
Senior Support Specialist
PH.Â +1 7804246398
14505 114th Avenue NW
Edmonton,       AB
T5M2Y8
James.Armitage@mnp.ca
mnp.ca [image]
[image]
From: Jacqui Sandhu &lt;jsandhu@youracsa.ca&gt;
Sent: January 14, 2021 08:01
To: James Armitage &lt;James.Armitage@mnp.ca&gt;
Subject: RE: Ticket#1236657/AlbertaConstruction/Old Webstore Access -- has been updated
CAUTION:This email originated from outside of the MNP network. Be cautious of any embedded links and/or attachments.
MISE EN GARDE:Ce courriel ne provient pas du rÃ©seau de MNP. MÃ©fiez-vous des liens ou piÃ¨ces jointes quâ€™il pourrait contenir.
This isnâ€™t working again. Please see attachment for error. Can we get this back up and running today? Need to access something from there please.
Jacqui
From: James Armitage [mailto:James.Armitage@mnp.ca]
Sent: Tuesday, January 12, 2021 12:11 PM
To: Jacqui Sandhu &lt;jsandhu@youracsa.ca&gt;
Subject: RE: Ticket#1236657/AlbertaConstruction/Old Webstore Access -- has been updated
Hi Jacqui,
Sorry for the delay, I missed this message over the break. A fix was put in place on the 30th of November.
Regards,
James Armitage
Senior Support Specialist
PH.Â +1 7804246398
14505 114th Avenue NW
Edmonton, AB
T5M2Y8
James.Armitage@mnp.ca
mnp.ca
[image]
[image]
From: Jacqui Sandhu &lt;jsandhu@youracsa.ca&gt;
Sent: December 24, 2020 08:40
To: James Armitage &lt;James.Armitage@mnp.ca&gt;
Subject: RE: Ticket#1236657/AlbertaConstruction/Old Webstore Access -- has been updated
CAUTION:This email originated from outside of the MNP network. Be cautious of any embedded links and/or attachments.
MISE EN GARDE:Ce courriel ne provient pas du rÃ©seau de MNP. MÃ©fiez-vous des liens ou piÃ¨ces jointes quâ€™il pourrait contenir.
Thanks. I was able to access it. When was this updated?
JACQUI SANDHUÂ |Â Financial Analyst
Alberta Construction Safety Association
225 Parsons Road SW |Â Edmonton ABÂ |Â T6X 0W6
TÂ 780.453.3311 ext. 4925 |Â FÂ 780.455.1120 |Â TFÂ 1.800.661.ACSA (2272)
www.youracsa.ca[image][image]
[ACSA social media icon]Â [image][image]</t>
  </si>
  <si>
    <t>Jacqui Sandhu - Sage 300 - Accessing 2014 and prior</t>
  </si>
  <si>
    <t>Tried to log into our 2014 and prior database of sage and there is no data there
[image]
[image]r
Same with 2008 and prior
[image]
May need to talk to BAASS about this but how can we access all this data?\
JACQUI SANDHUÂ |Â Financial Analyst
Alberta Construction Safety Association
225 Parsons Road SW |Â Edmonton ABÂ |Â T6X 0W6
TÂ 780.453.3311 ext. 4925 |Â FÂ 780.455.1120 |Â TFÂ 1.800.661.ACSA (2272)
www.youracsa.ca
[ACSA social media icon]Â [cid:image001.png@01D2DDEF.047E8B50][cid:image002.png@01D2DDEF.047E8B50][cid:image003.png@01D2DDEF.047E8B50][cid:image004.png@01D2DDEF.047E8B50]
[signature conference]</t>
  </si>
  <si>
    <t>Trueman Macdonald</t>
  </si>
  <si>
    <t>Discontinue Email Account</t>
  </si>
  <si>
    <t>Hello,
Please discontinue the email account for: Â Alrick Forbes AForbes@schizophrenia.ab.ca as soon as possible.
Thank you
Trueman
Trueman Macdonald
Director of Housing, Schizophrenia Society of Alberta
Iris Court / Lovella Apartments / Kentwood Place
Phone: 780-705-5565
www.schizophrenia.ab.ca
This message and any attachments are directed in confidence to those named, and must not be reviewed, retained or disclosed without the consent of the sender or the named recipient(s).Â  If you have received it in error, please delete it and notify us immediately
[image]</t>
  </si>
  <si>
    <t>Admin Rights</t>
  </si>
  <si>
    <t>Good Morning,
I am needing to have admin rights on the safety directory on our server.Â  I can edit documents and save but I cannot move documents, folders, or create new folders.Â  Please enable access to this.Â  Thanks.
With Best Regards
Jeff Hunter
Production Manager
Baymag Inc.
PO Box 220
Exshaw, Alberta
Canada
Tel: (403) 673-3790 ext 223
Fax: (403) 673-3767
Email:jeff.hunter@baymag.com</t>
  </si>
  <si>
    <t>Email address for two employees</t>
  </si>
  <si>
    <t>Good morning,
If we can please get two emails set up as soon as possible. Both will be basic licenses 
Chantal Dube - chantal@pulseveterinary.ca
Sara Webber  - sara@pulseveterinary.ca
Please set the passwords to Winter2021
Sent from my iPhone</t>
  </si>
  <si>
    <t>Claire Rosenau</t>
  </si>
  <si>
    <t>[HIGH] Alert for Sophos Central [AMP Financial]: You must clean up a threat manually</t>
  </si>
  <si>
    <t>CAUTION: This email originated from outside of the MNP network. Be cautious of any embedded links and/or attachments.
MISE EN GARDE: Ce courriel ne provient pas du rÃ©seau de MNP. MÃ©fiez-vous des liens ou piÃ¨ces jointes quâ€™il pourrait contenir.
This email alert was generated by Sophos Central. Do not reply to this email.
[Sophos Central]
Sophos Central Event Details for AMP Financial
What happened: We could not clean up a threat.
Where it happened: AMP-D-7475
Path: C:\Users\claire.rosenau\AppData\Local\Microsoft\Windows\INetCache\Content.Word\FW_ 11 January_ 2021.msg
What was detected: Troj/Phish-HHH
User associated with device: Claire Rosenau
How severe it is: High
What Sophos has done so far: We attempted to clean up (unless the threat is on a Linux computer).
What you need to do:In the Sophos Central Admin console, go to the Alerts page and find the threat alert. Click on the threat name to see details and cleanup advice on the Sophos website. Then go to the affected computer and clean up the threat manually.
Help sources:
Sophos Central specific articles: https://community.sophos.com/kb?TopicId=9000.
Sophos Central Frequently Asked Questions (FAQ) - https://community.sophos.com/kb/en-us/119598.
Sign in to https://central.sophos.com/ for more information
Note: Depending on the alert email frequency setting you choose, we will either send one email for one alert of each type (for example, an alert for a protection-failed event) in any 24-hour period, or send one email for each alert. You might have more alerts of the same type in the dashboard of the Sophos Central console.</t>
  </si>
  <si>
    <t>The Eye Studio</t>
  </si>
  <si>
    <t>Tedra Kindopp</t>
  </si>
  <si>
    <t>Email lists</t>
  </si>
  <si>
    <t>Hello,
I would like to review all of the current email lists in use for the @pulseveterinary.ca email.Â  Can someone please provide a summary of the individuals included in each list?
Thanks,
LK
[image]
Dr. Lukas Kawalilak
DVM, Diplomate ACVR
Specialist in Veterinary Diagnostic Imaging
E:lukas@pulseveterinary.ca
P: 780.570.9999
A: 450 Ordze Road, Unit #320.Â  Sherwood Park, AB T8B 0C5
www.pulseveterinary.ca</t>
  </si>
  <si>
    <t>Jorge Bustamante - NC-IPT-FS01 - Expand E: drive</t>
  </si>
  <si>
    <t>### Summary of Issue_x000D_
NC-IPT-FS01 - Expand E: drive_x000D_
  _x000D_
### Details of Issue_x000D_
Please expand by 30 GBs
OPAL approved in ticket #1346234 
If you expand the partition, please close my ticket too :)_x000D_
  _x000D_
### Have you opened a ticket about this issue before?  _x000D_
 No  _x000D_
  _x000D_
### How many users are impacted by this issue?  _x000D_
 Everyone  _x000D_
  _x000D_
### How would you classify this issue?  _x000D_
 Work Impacting  _x000D_
  _x000D_
### If your callback number is different than what's on record, please provide it below._x000D_
You just lost the game</t>
  </si>
  <si>
    <t>Automate Control on IBSGAZADMIN</t>
  </si>
  <si>
    <t>MNP need automate control on ibsgazadmin?Â  If not, can you remove it
Amin Hirjii</t>
  </si>
  <si>
    <t>MNP Client Portal is missing on workstations at Pilgrims Hospice</t>
  </si>
  <si>
    <t>### Which application has a problem or bug?  _x000D_
 Other  _x000D_
  _x000D_
### Other_x000D_
MNP CLient Portal_x000D_
  _x000D_
### If your bug report is for the Next Ticket Dashboard, please use the "Submit a Bug" feature built into the dashboard, provided it's functioning.  _x000D_
The "Submit a Bug" feature is in the debugger. Click the orange X in the title of the "Your Next Ticket" module to load the debugger.  "Submit a Bug" is in the top row.  This is helpful as it automatically includes a massive snapshot of data that makes it easier to debug data issues.  _x000D_
  _x000D_
### What is the URL or Ticket Number where you are experiencing this problem?_x000D_
1345818_x000D_
  _x000D_
### Describe the issue._x000D_
The MNP Client Portal is missing on local workstations at PGH.  It is there in the RDS but they would like it on their workstations as well.</t>
  </si>
  <si>
    <t>Quote Request - Pilgrims Hospice - Video Cable and Adapter for Joscelyn's Laptop</t>
  </si>
  <si>
    <t>### End User Hardware  _x000D_
  _x000D_
### What company is this quote for?_x000D_
Pilgrims Hospice_x000D_
  _x000D_
### Who made this request and why?_x000D_
Cheryl Waldo - for Joscelyn's laptop_x000D_
  _x000D_
### Give this request a name_x000D_
Video Cable and Adapter for Joscelyn's Laptop_x000D_
  _x000D_
### Who should the quote be addressed to?  _x000D_
 The primary contact in Connectwise  _x000D_
  _x000D_
### Which location is the product for?_x000D_
Main_x000D_
  _x000D_
### Is there an existing ticket on another Connectwise board? If so what is the ticket number?_x000D_
1345818_x000D_
  _x000D_
### Which ND location is it needed at?  _x000D_
 Dropshipped to client site directly from distribution  _x000D_
  _x000D_
### What is the ship-to address?_x000D_
9808 148 Street Northwest, Edmonton, AB  T5N 3E8_x000D_
  _x000D_
### When is it needed by OR when is the next site visit for the client's location?  _x000D_
Wed 20 Jan, 2021  _x000D_
  _x000D_
### Do you need labour quoted?  _x000D_
 No  _x000D_
  _x000D_
### What products do you need on this quote?  _x000D_
 Video adapter  _x000D_
  _x000D_
### Video Adapter(s)  _x000D_
  _x000D_
### Do you need video adapter(s)?  _x000D_
 Yes  _x000D_
  _x000D_
### Video port(s) on computer  _x000D_
 HDMI  _x000D_
  _x000D_
### Video port(s) on monitor(s)  _x000D_
 DVI  _x000D_
  _x000D_
### Number of monitors to connect (per computer)_x000D_
1_x000D_
  _x000D_
### Comment_x000D_
External monitor connection requires HDMI &gt; DVI connection, either in a single cable or cable+adapter_x000D_
  _x000D_
### What products do you need quoted?_x000D_
Cable/adaptor to connect DVI monitor to HDMI port on a laptop</t>
  </si>
  <si>
    <t>FW: Monitor Request</t>
  </si>
  <si>
    <t>From: M.Luiza Coelho &lt;mlcoelho@e4calberta.org&gt; 
Sent: Wednesday, January 13, 2021 4:29 PM
To: Sales - MNP IT Managed Services &lt;sales@mnptechnology.ca&gt;
Subject: FW: Equipment request
CAUTION:This email originated from outside of the MNP network. Be cautious of any embedded links and/or attachments.
MISE EN GARDE:Ce courriel ne provient pas du rÃ©seau de MNP. MÃ©fiez-vous des liens ou piÃ¨ces jointes quâ€™il pourrait contenir.
Hi Curtis,
Can you provide me a quote for a monitor? Thanks
M.LuizaCoelho e4c
Senior Manager
mlcoelho@e4calberta.org
T
780.424.7543 ext 132
9321 Jasper Avenue, Edmonton AB T5H 3T7
e4calberta.org
[image]
This message is intended for the use of the individual or entity to which it is addressed and may contain information that is privileged and confidential. If you are not the intended recipient or the employee responsible for delivery of the message to the intended recipient, please be advised that any dissemination, distribution or copying of this message is strictly prohibited. If you have received this message in error, please notify us immediately by telephone and return the original email to us or destroy this message.
[image]e4c supports environmental conservation - please print wisely.
From: Kelly Bickford 
Sent: Tuesday, January 05, 2021 12:49 PM
To: M.Luiza Coelho &lt;mlcoelho@e4calberta.org&gt;
Cc: Steve McGean &lt;SMcGean@e4calberta.org&gt;
Subject: Equipment request
Hi Luiza,
I would like to request a second monitor for my laptop. Steve has approved the expense but wanted to see if we had any extras at the office that we were not using right now before we order a new one.
I appreciate your help with this,
Kelly
KellyBickford e4c
Manager 
Community and School Based Programs
KBickford@e4calberta.org
T
780-446-6114
Edmonton AB T5H 3T7
e4calberta.org
[image]
This message is intended for the use of the individual or entity to which it is addressed and may contain information that is privileged and confidential. If you are not the intended recipient or the employee responsible for delivery of the message to the intended recipient, please be advised that any dissemination, distribution or copying of this message is strictly prohibited. If you have received this message in error, please notify us immediately by telephone and return the original email to us or destroy this message.
[image]e4c supports environmental conservation - please print wisely.</t>
  </si>
  <si>
    <t>[image]
A high-severity alert has been triggered
âš Microsoft 365 compliance center
Severity:â—High
Time:1/13/2021 11:34:10 PM (UTC)
Activity:Protection
Details: 1 message hit on eaa5d21a-fed2-484b-5e25-08d8b81bb8a6-17666531048922814516-1, sent by RBCroyalbank@support.net to garry.jordan@igloo.ca at time 1/13/2021 11:34:10 PM.
              View alert details          
Thank you, 
The Office 365 Team
[image]
One Microsoft Way
Redmond, WA
98052-6399 USA
Privacy | Legal</t>
  </si>
  <si>
    <t>QuoteValet: ND - OrderForm - Field Kit Resupply Calmont Group</t>
  </si>
  <si>
    <t>CAUTION: This email originated from outside of the MNP network. Be cautious of any embedded links and/or attachments.
MISE EN GARDE: Ce courriel ne provient pas du rÃ©seau de MNP. MÃ©fiez-vous des liens ou piÃ¨ces jointes quâ€™il pourrait contenir.
[image]
780-424-6398
14505 114th Avenue NW, Edmonton, AB, T5M 2Y8
Dear Curt Giacomoni,
This is an automated notification from the QuoteValet system.
Your customer Calmont Group placed OrderForm Order # QVAO1282. ND Employee: Mike Farhat
Ticket: 1345915
Order Details:
ND - OrderForm - Field Kit Resupply - Calmont Group 
From IP Address: 23.17.0.198
To view or review the OrderForm order on QuoteValet at any time Click here.
This email was created using QuoteValet - The online quote delivery and acceptance vehicle forQuoteWerks.</t>
  </si>
  <si>
    <t>[MEDIUM] Alert for Sophos Central [Lo-Se-Ca Foundation]</t>
  </si>
  <si>
    <t>CAUTION: This email originated from outside of the MNP network. Be cautious of any embedded links and/or attachments.
MISE EN GARDE: Ce courriel ne provient pas du rÃ©seau de MNP. MÃ©fiez-vous des liens ou piÃ¨ces jointes quâ€™il pourrait contenir.
This email alert was generated by Sophos Central. Do not reply to this email.
[Sophos Central]
Sophos Central Event Details for Lo-Se-Ca Foundation
What happened: PUA 'Generic ML PUA' detected in network location '\loseca.internal\shares\Home\Inhomesupport2\Downloads\Unconfirmed 422716.crdownload' requires attention
Where it happened: NC-LSC-RDS04
Path: \loseca.internal\shares\Home\Inhomesupport2\Downloads\Unconfirmed 422716.crdownload
What was detected: Generic ML PUA
User associated with device: &gt;LSC - In home Support 2
How severe it is: Medium
Help sources:
Sophos Central specific articles: https://community.sophos.com/kb?TopicId=9000.
Sophos Central Frequently Asked Questions (FAQ) - https://community.sophos.com/kb/en-us/119598.
Sign in to https://central.sophos.com/ for more information
Note: Depending on the alert email frequency setting you choose, we will either send one email for one alert of each type (for example, an alert for a protection-failed event) in any 24-hour period, or send one email for each alert. You might have more alerts of the same type in the dashboard of the Sophos Central console.</t>
  </si>
  <si>
    <t>New Employee - Clayton Gayle</t>
  </si>
  <si>
    <t>Name; Clayton Gayle
Title: Safety Advisor
Location; Fort McMurray
Same access as Bruce Hogg
[image]Â Riccardo Francese
Business Process Manager
T:       +1 (780) 400-7487
C:       +1 (587) 990-0176
F:       +1 (780) 417-6496
E:       RFrancese@siterg.com
W:       WWW.SITERG.COM
#170, 120 Pembina Rd., Sherwood Park, AB, T8H 0M2
The information contained in this e-mail may       contain confidential or privileged material and is intended only for the       stated addressee(s). If you are not the valid addressee, the use,       disclosure, copying or distribution of this information is prohibited and       may be unlawful. If you have received this email message in error, please       notify the sender immediately and delete all copies of the message from       your computer. All information within or opinions expressed in this       message and/or any attachments are those of the author and are not       necessarily those of the Centurion Group.</t>
  </si>
  <si>
    <t>Need assistance with a senior tech for an issue with Telus and our Camrose office</t>
  </si>
  <si>
    <t>We are having some network issues with regards to our Camrose  telephone service in Camrose.  _x000D_
  _x000D_
We have been tried to work through some issues with them remotely, but rrealize, we need IT assistance.  _x000D_
Essentially, they need to remote into the local computer out in Camrose, and  they have done so, they are saying that the network out there is set up with the wrong IP address.  _x000D_
The Camrose IP is 192.168.67 and it is not working for them.  _x000D_
  _x000D_
WE are asking that a senior tech please call Telus to resolve this for us.  Anytime after 3:30pm today  _x000D_
Telus   1.866.558.2273  _x000D_
Case # 12276330  _x000D_
And then please call our Edmonton office tomorrow to confirm that it has been completed.  _x000D_
  _x000D_
Thank you  _x000D_
Brenda Wood</t>
  </si>
  <si>
    <t>QuoteValet: ND - OrderForm - Field Kit Resupply Carry Steel</t>
  </si>
  <si>
    <t>CAUTION: This email originated from outside of the MNP network. Be cautious of any embedded links and/or attachments.
MISE EN GARDE: Ce courriel ne provient pas du rÃ©seau de MNP. MÃ©fiez-vous des liens ou piÃ¨ces jointes quâ€™il pourrait contenir.
[image]
780-424-6398
14505 114th Avenue NW, Edmonton, AB, T5M 2Y8
Dear Curt Giacomoni,
This is an automated notification from the QuoteValet system.
Your customer Carry Steel placed OrderForm Order # QVAO1281. ND Employee: Adebola Adeneye
Ticket: 1345129
Order Details:
ND - OrderForm - Field Kit Resupply - Carry Steel 
From IP Address: 199.126.237.4
To view or review the OrderForm order on QuoteValet at any time Click here.
This email was created using QuoteValet - The online quote delivery and acceptance vehicle forQuoteWerks.</t>
  </si>
  <si>
    <t>Shaun Gierent</t>
  </si>
  <si>
    <t>Shaun Gierent - Somethings wrong with Pulse Vet server updates</t>
  </si>
  <si>
    <t>### Summary of Issue_x000D_
Somethings wrong with Pulse Vet server updates_x000D_
  _x000D_
### Details of Issue_x000D_
Hey, So IT Glue reports no new scheduled server updates  since November and we somehow got automatic notifications this past weekend at about 3 am that they were happening which was after they reported multiple outage events afterhours.  Somethings goody here and we need to get this onto/back onto a proper schedule or fix the automation, whichever the problem actually lies with please._x000D_
  _x000D_
### Have you opened a ticket about this issue before?  _x000D_
 No  _x000D_
  _x000D_
### How many users are impacted by this issue?  _x000D_
 Some  _x000D_
  _x000D_
### How would you classify this issue?  _x000D_
 Work Impacting</t>
  </si>
  <si>
    <t>Clayton Frost</t>
  </si>
  <si>
    <t>Hi
Please note that Clayton Frost has been terminated from Calmont.
Please disable his computer, supplying a new password until further notice.
Also, please have his emails forwarded to Matthew Kennedy for 3 months.
With Thanks,
Cheryl Trenchard, PCP
Human Resources &amp; Payroll Manager
[cid:image001.jpg@01D407CC.BE04B790]
14610 Yellowhead Trail NW Edmonton, AB, T5L 3C5
Branch: 780-482-0281Â Â Â  Cell: 587-930-2091Â Â  Fax: 780-482-0278
Email:cheryl.trenchard@calmont.ca
Website:www.calmont.ca
This email, and any files transmitted with it, are confidential and are intended solely for the use of the individual or entity to which they are addressed. Any unauthorized use or disclosure is prohibited. Please notify the sender if you have received this email in error. Thank you for your co-operation.</t>
  </si>
  <si>
    <t>FW: Access</t>
  </si>
  <si>
    <t>Hi there,
Please note that Christine has been grantedfull access to the following folders:
N:\Leaders\Agency Leaders
N:\General Information\Internal
Let me know if you have any questions,
Thanks
M.LuizaCoelho e4c
Senior Manager
mlcoelho@e4calberta.org
T780.424.7543 ext 132
9321 Jasper Avenue, Edmonton AB T5H 3T7
e4calberta.org
[image]
This message is intended for the use of the individual or entity to which it is addressed and may contain information that is privileged and confidential. If you are not the intended recipient or the employee responsible for delivery of the message to the intended recipient, please be advised that any dissemination, distribution or copying of this message is strictly prohibited. If you have received this message in error, please notify us immediately by telephone and return the original email to us or destroy this message.
[image]e4c supports environmental conservation - please print wisely.
From: Christine Paquette Scott 
Sent: Wednesday, January 13, 2021 1:15 PM
To: M.Luiza Coelho &lt;mlcoelho@e4calberta.org&gt;
Subject: Access
Hello Luiza!
Thank you for the information this am on the new covid reporting.
I noticed I do not have access to certain parts of the shared drive. This includes Agency Leaders, it also includes, General which is in the all staff folder which I find odd. Could you please fix this for me?
ChristinePaquette Scott, (she/her)e4c
Site Manager 
Eagles Nest â€“ Inner Way Transitional Housing Program
CPaquetteScott@e4calberta.org
Edmonton AB T5H 3T7
e4calberta.org
[image]
This message is intended for the use of the individual or entity to which it is addressed and may contain information that is privileged and confidential. If you are not the intended recipient or the employee responsible for delivery of the message to the intended recipient, please be advised that any dissemination, distribution or copying of this message is strictly prohibited. If you have received this message in error, please notify us immediately by telephone and return the original email to us or destroy this message.
[image]e4c supports environmental conservation - please print wisely.</t>
  </si>
  <si>
    <t>shared folder access [N:\General Information\Internal]?</t>
  </si>
  <si>
    <t>Hi there,
Please make sure all e4c employees have access to the shared folder path below: 
N:\General Information\Internal
Please let me know if you have any questions. 
Thanks 
M.Luiza Coelho e4c
Senior Manager 
mlcoelho@e4calberta.org
T 780.424.7543 ext 132Â  
9321 Jasper Avenue, Edmonton AB T5H 3T7 
e4calberta.org
--------------------------------------------------------------------------------------------
This message is intended for the use of the individual or entity to which
it is addressed and may contain information that is privileged and 
confidential. If you are not the intended recipient or the employee 
responsible for delivery of the message to the intended recipient, please 
be advised that any dissemination, distribution or copying of this message 
is strictly prohibited. If you have received this message in error, please 
notify us immediately by telephone and return the original email to us or 
destroy this message.
--------------------------------------------------------------------------------------------
e4c supports environmental conservation - please print wisely.</t>
  </si>
  <si>
    <t>ADOBE Issue</t>
  </si>
  <si>
    <t>Good Afternoon
Can someone please contact me.
780.915.1000
Barb
BarbSpencer e4c
Chief Executive Officer
BSpencer@e4calberta.org
T780.424.7543 ext 165
9321 Jasper Avenue, Edmonton AB T5H 3T7
e4calberta.org
[image]
This message is intended for the use of the individual or entity to which it is addressed and may contain information that is privileged and confidential. If you are not the intended recipient or the employee responsible for delivery of the message to the intended recipient, please be advised that any dissemination, distribution or copying of this message is strictly prohibited. If you have received this message in error, please notify us immediately by telephone and return the original email to us or destroy this message.
[image]e4c supports environmental conservation - please print wisely.</t>
  </si>
  <si>
    <t>Cheryl Trenchard - Bobcat Manuals (M:) from Account</t>
  </si>
  <si>
    <t>Hi
Could you please remove the below drive from my computer.
I donâ€™t even know why I have this.
[image]
With Thanks,
Cheryl Trenchard, PCP
Human Resources &amp; Payroll Manager
[cid:image001.jpg@01D407CC.BE04B790]
14610 Yellowhead Trail NW Edmonton, AB, T5L 3C5
Branch: 780-482-0281Â Â Â  Cell: 587-930-2091Â Â  Fax: 780-482-0278
Email:cheryl.trenchard@calmont.ca
Website:www.calmont.ca
This email, and any files transmitted with it, are confidential and are intended solely for the use of the individual or entity to which they are addressed. Any unauthorized use or disclosure is prohibited. Please notify the sender if you have received this email in error. Thank you for your co-operation.</t>
  </si>
  <si>
    <t>New desktop image for all MHK servers</t>
  </si>
  <si>
    <t>MNP,
As we do each January, please make the attached image the new desktop image for all servers.
Thank you.
Michelle
Michelle Rose       BA
Manager, Communications &amp; Corporate Relations/Human Resources
EÂ Â Â Â Â  mrose@mhkinsurance.com
DÂ Â Â Â  587.525.6047Â 
CÂ Â Â Â  780.983.2976
12316-107 Avenue, Edmonton, AB  T5M 1Z1
www.mhkinsurance.com
[image]
[image]
We're here to help with your insurance needs. Emails       and phone calls are still encouraged. Appointments are required for       in-office broker meetings. Please wear a mask when       visiting.
MHK welcomes       e-Transfer payments to banking@mhkinsurance.â€‰com.
If you       receive this email in error, please notify us by reply email and destroy       this message. MHK complies with Canada's Anti-Spam and Alberta's PIPA       Legislations. If you no longer wish to receive emails from MHK, please       reply with 'Unsubscribe' in the subject   line.</t>
  </si>
  <si>
    <t>Cameron Dening</t>
  </si>
  <si>
    <t>Hi
Please disable Cameron Deningâ€™s Windows account.
Please have all emails forwarded to Craig Hickey for 1 month.
With Thanks,
Cheryl Trenchard, PCP
Human Resources &amp; Payroll Manager
[cid:image001.jpg@01D407CC.BE04B790]
14610 Yellowhead Trail NW Edmonton, AB, T5L 3C5
Branch: 780-482-0281Â Â Â  Cell: 587-930-2091Â Â  Fax: 780-482-0278
Email:cheryl.trenchard@calmont.ca
Website:www.calmont.ca
This email, and any files transmitted with it, are confidential and are intended solely for the use of the individual or entity to which they are addressed. Any unauthorized use or disclosure is prohibited. Please notify the sender if you have received this email in error. Thank you for your co-operation.</t>
  </si>
  <si>
    <t>Kelly Blackwood</t>
  </si>
  <si>
    <t>Kelly Blackwood - Bria Settings unable to save in RD</t>
  </si>
  <si>
    <t>### Summary of Issue_x000D_
Bria Settings unable to save in RD_x000D_
  _x000D_
### Details of Issue_x000D_
In order for Bria phone to work we need to save the setting in the RD.  We can do it one time but not able to save for all times going forward.  This is happening for me but also many other people too._x000D_
  _x000D_
### Have you opened a ticket about this issue before?  _x000D_
 No  _x000D_
  _x000D_
### How many users are impacted by this issue?  _x000D_
 Everyone  _x000D_
  _x000D_
### How would you classify this issue?  _x000D_
 Work Impacting  _x000D_
  _x000D_
### If your callback number is different than what's on record, please provide it below._x000D_
You can call me on cell 403 650 3700</t>
  </si>
  <si>
    <t>Joe Pilieci</t>
  </si>
  <si>
    <t>Joe Pilieci - Office phone</t>
  </si>
  <si>
    <t>Hi Riccardo
Here is the phone info in my office.
For future IT issues do I go through IT Servicesitservices@siteenergy.com ?
Also I couldnâ€™t find a webcam here is the Calgary office
Joe
From: Joe Pilieci &lt;jpilieci@telus.net&gt;
Sent: Wednesday, January 13, 2021 11:14 AM
To: Joe Pilieci &lt;JPilieci@siterg.com&gt;
Subject:
[image]
Sent from my iPhone</t>
  </si>
  <si>
    <t>New 365 license for Calgary Arts Development</t>
  </si>
  <si>
    <t>### What company is this quote for?_x000D_
Calgary Arts Development_x000D_
  _x000D_
### Is there an existing ticket on another Connectwise board? If so what is the ticket number?_x000D_
1321560_x000D_
  _x000D_
### Add or Remove CSP licenses  _x000D_
 Add licenses  _x000D_
  _x000D_
### March 30, 2020 New Microsoft 365 offerings for small and medium-sized businesses. (https://www.microsoft.com/en-us/microsoft-365/blog/2020/03/30/new-microsoft-365-offerings-small-and-medium-sized-businesses/)  _x000D_
  _x000D_
### What Type of license  _x000D_
 Microsoft 365 Apps for Business  _x000D_
  _x000D_
### How many licenses to add/remove?_x000D_
1</t>
  </si>
  <si>
    <t>Anthony Miller</t>
  </si>
  <si>
    <t>Hi
Please deactivate Anthony Millerâ€™s Windows and email.
He is no longer with Calmont.
With Thanks,
Cheryl Trenchard, PCP
Human Resources &amp; Payroll Manager
[cid:image001.jpg@01D407CC.BE04B790]
14610 Yellowhead Trail NW Edmonton, AB, T5L 3C5
Branch: 780-482-0281Â Â Â  Cell: 587-930-2091Â Â  Fax: 780-482-0278
Email:cheryl.trenchard@calmont.ca
Website:www.calmont.ca
This email, and any files transmitted with it, are confidential and are intended solely for the use of the individual or entity to which they are addressed. Any unauthorized use or disclosure is prohibited. Please notify the sender if you have received this email in error. Thank you for your co-operation.</t>
  </si>
  <si>
    <t>Baymag - Replacement QNAP HDD for EXSNAS2</t>
  </si>
  <si>
    <t>### What company is this quote for?_x000D_
Baymag_x000D_
  _x000D_
### Who should the quote be addressed to?  _x000D_
 The primary contact in Connectwise  _x000D_
  _x000D_
### Which location is the product for?_x000D_
Exshaw Plant_x000D_
  _x000D_
### Is there an existing ticket on another Connectwise board? If so what is the ticket number?_x000D_
1346423_x000D_
  _x000D_
### Which ND location is it needed at?  _x000D_
 Next Digital Calgary  _x000D_
  _x000D_
### When is it needed by OR when is the next site visit for the client's location?  _x000D_
Wed 10 Feb, 2021  _x000D_
  _x000D_
### What do you need quoted?_x000D_
1 x WD RED 4 TB NAS HDD (replacing defective QNAP HDD, same model, S/n# WCC4E4JP3XU1</t>
  </si>
  <si>
    <t>Quote Request - Calmont - Second USB-C Power Cord for his Laptop</t>
  </si>
  <si>
    <t>### End User Hardware  _x000D_
  _x000D_
### What company is this quote for?_x000D_
Calmont_x000D_
  _x000D_
### Who made this request and why?_x000D_
Mike Farhat on behalf on Rick Trenholm_x000D_
  _x000D_
### Give this request a name_x000D_
Second USB-C Power Cord for his Laptop_x000D_
  _x000D_
### Who should the quote be addressed to?  _x000D_
 The primary contact in Connectwise  _x000D_
  _x000D_
### Which location is the product for?_x000D_
Calmont-Calgary-BobCat_x000D_
  _x000D_
### Which ND location is it needed at?  _x000D_
 Next Digital Calgary  _x000D_
  _x000D_
### When is it needed by OR when is the next site visit for the client's location?  _x000D_
Tue 19 Jan, 2021  _x000D_
  _x000D_
### Do you need labour quoted?  _x000D_
 No  _x000D_
  _x000D_
### What products do you need on this quote?  _x000D_
 Accessories (Mice, keyboards, RAM/SSD upgrades etc)  _x000D_
  _x000D_
### Accessories  _x000D_
  _x000D_
### What do you need?  _x000D_
 Other  _x000D_
  _x000D_
### What do you need?_x000D_
-Second "USB-C Power Cord" for his Laptop 
-Laptop : Calmont-L-10175 ,S/N : PF23A01C
-Courtney is not aware_x000D_
  _x000D_
### What products do you need quoted?_x000D_
USB-C Power Cord for Rick Trenholm at Calmont-Calgary-Bobcat</t>
  </si>
  <si>
    <t>URGENT: ckerrigan Sage</t>
  </si>
  <si>
    <t>Can you please reset the password for: ckerrigan
The password should be: Zybertech$
Please reset this password for SAGE immediately
[image]Â Riccardo Francese
Business Process Manager
T:       +1 (780) 400-7487
C:       +1 (587) 990-0176
F:       +1 (780) 417-6496
E:       RFrancese@siterg.com
W:       WWW.SITERG.COM
#170, 120 Pembina Rd., Sherwood Park, AB, T8H 0M2
The information contained in this e-mail may       contain confidential or privileged material and is intended only for the       stated addressee(s). If you are not the valid addressee, the use,       disclosure, copying or distribution of this information is prohibited and       may be unlawful. If you have received this email message in error, please       notify the sender immediately and delete all copies of the message from       your computer. All information within or opinions expressed in this       message and/or any attachments are those of the author and are not       necessarily those of the Centurion Group.</t>
  </si>
  <si>
    <t>Ciara hodge</t>
  </si>
  <si>
    <t>Issue with access to some websites</t>
  </si>
  <si>
    <t>Hi There,
We are having issues with accessing some websites. I'm wondering if anyone has made any changes to our security settings.Â 
Thank you,Â 
-- 
Ciara Hodge
Administrative AssistantÂ 
MHA Properties
9833-110 Street NWÂ 
Edmonton, AB T5K 2P5
Tel: (780) 488-0288 Ext:301
Fax: (780) 488-0244
[image]
This transmission is intended exclusively for the individual orÂ entity to which it is addressed. This communication may containÂ information that is confidential, proprietary, privileged orÂ otherwise exempt from disclosure. If you are not the namedÂ addressee, you are NOT authorized to read, print, retain, copy orÂ disseminate this communication, its attachments or any part of them.
If you have received this communication in error, please notify theÂ sender immediately and delete this communication from all computers.
This communication does not form any contractual obligation onÂ behalf of the sender, the sender's employer, or the employer'sÂ parent company, affiliates or subsidiaries.</t>
  </si>
  <si>
    <t>Joanne Chaloner - Teams Addition</t>
  </si>
  <si>
    <t>### Summary of Issue_x000D_
Teams Addition_x000D_
  _x000D_
### Details of Issue_x000D_
Hello,
It is my understanding that when new users are added to the Global Address List in Outlook that they would also be added to the caryacalgary@caryacalgary.com distribution list, so that they will be part of the &gt;&gt;caryacalgary team within Teams.  Is this not the case?  We have a new user:  Kaila  Burnham that is in the Global Address List, but is not showing up in Teams.  As MNP is the owner of this Team, they should be ensuring that new staff are added to it.  Please advise when this user has been added._x000D_
  _x000D_
### Have you opened a ticket about this issue before?  _x000D_
 No  _x000D_
  _x000D_
### How many users are impacted by this issue?  _x000D_
 Some  _x000D_
  _x000D_
### How would you classify this issue?  _x000D_
 Work Impacting  _x000D_
  _x000D_
### If your callback number is different than what's on record, please provide it below._x000D_
Joanne 403-993-5639</t>
  </si>
  <si>
    <t>McFarlane Law</t>
  </si>
  <si>
    <t>Barbara McFarlane</t>
  </si>
  <si>
    <t>McFarlane Law - RE: Urgent action needed: last chance to keep Sophos Home account active</t>
  </si>
  <si>
    <t>Hi Curt,
Iâ€™ve just sent you a request for a quote.Â  I wansâ€™t sure who to ask about this but thought I should forward this ominous Sophos email to you as well.
I am not sure if I need Sophos going forward.Â  Could you let me know if I do need to renew it and why the updates arenâ€™t coming through as the e-mail indicates?
Also, I am not clear whether I need to renew my annual Microsoft licence or whether that is done through MNP Next Digital.Â  Could you let me know?
Thanks,
Barb
Barbara J. McFarlane, Q.C.|Barrister &amp; Solicitor Non-Practising (Inactive) Status|MCFARLANE LAW
BJMcFarlane@McFarlaneLaw.ca
Direct Line:Â  (403) 830-8179
Suite 2000, 125 â€“ 9th Avenue S.E., Calgary, Alberta T2G 0P6
The information and any attachment contained in this communication is subject to solicitor/client privilege, it is confidential and intended only for the use of the person(s) to whom it is addressed. If you have received this communication in error, please notify us and delete or destroy all copies immediately.
From: Sophos Home &lt;no-reply@mail.home.sophos.com&gt;
Sent: January 12, 2021 6:45 PM
To: Barbara McFarlane &lt;BJMcFarlane@mcfarlanelaw.ca&gt;
Subject: Urgent action needed: last chance to keep Sophos Home account active
[Image removed by sender. Sophos]
[Image removed by sender. Sophos Home]
Hello,
This is a final follow-up reminder. We noticed you haven't used your Sophos Home account registered to the email bjmcfarlane@mcfarlanelaw.ca for over 90 days. We also havenâ€™t been able to push updates to any computers you have linked to this account.
In order to provide the smoothest experience for all our users, we close accounts that are not being used for long periods of time. We will be automatically closing your Sophos Home account in 15 days if it is not being used.
Want to keep your account?
Just sign into your account atmy.sophos.com and add a computer. We will keep your account active and automatically restart a trial of Premium features on all your connected computers. Or you can purchase Sophos Home Premium and apply the license key in your account.
No longer want your account?
Take no action. We will automatically close your account in 15 days.
For more information regarding Sophos Home, please visithome.sophos.com.
Thank you.
The Sophos Home Team
[Image removed by sender. Sophos Home]
[Image removed by sender. Sophos Logo]
Â© Sophos Ltd. No. 2096520. All rights reserved | Privacy Policy
Registered office: The Pentagon, Abingdon Science Park, OX14 3YP, United Kingdom.
We use cookies and other similar tracking technologies in this email. To find out more about our use of cookies, please visit:https://www.sophos.com/en-us/legal/cookie-information.aspx
[Image removed by sender.]</t>
  </si>
  <si>
    <t>Auditor Access</t>
  </si>
  <si>
    <t>Good Morning,
Wen from RSM was previously setup with a VPN in December, but the auditor will require remote access as well to our environment, with access to our accounting drive, Finance drive and SAGE. Please let me know if this is possible.
Thank you,
MELEENA DOROSHENKO,CPA, CGA | Manager Finance &amp; Accounting
Alberta Construction Safety Association
225 Parsons Road SW |Â Edmonton ABÂ |Â T6X 0W6
TÂ 780.453.3311 ext. 7702 |Â FÂ 780.455.1120 |Â TFÂ 1.800.661.ACSA (2272)
mdoroshenko@youracsa.ca
www.youracsa.ca
[image]
CONFIDENTIAL â€“ This e-mail transmission and any documents attached to it may contain information that is confidential or legally privileged. If you are not the intended recipient, or a person responsible for delivering this information to the intended recipient, you are hereby notified that any discourse, copying, distribution or use of this transmission is strictly prohibited.Â  If you have received this transmission in error, please immediately notify the sender and destroy the original transmission, attachments and destroy any hard copies.
Please consider the environment before printing this e-mailâ˜º</t>
  </si>
  <si>
    <t>FW: Messages quarantined since Dec 31, 2020 08:00 AM for rfragoso@e4calberta.org</t>
  </si>
  <si>
    <t>Hi there,
Please remove and disable complete Vivianeâ€™s Bridgman email account from Barb Spencer outlook.
Also, is there a reason why she still receiving Rob Fragoso emails? I have requested few time to disable and remove his account from her outlook.
Let me know when this issues has been resolved.
Thanks
M.LuizaCoelho e4c
Senior Manager
mlcoelho@e4calberta.org
T780.424.7543 ext 132
9321 Jasper Avenue, Edmonton AB T5H 3T7
e4calberta.org
[image]
This message is intended for the use of the individual or entity to which it is addressed and may contain information that is privileged and confidential. If you are not the intended recipient or the employee responsible for delivery of the message to the intended recipient, please be advised that any dissemination, distribution or copying of this message is strictly prohibited. If you have received this message in error, please notify us immediately by telephone and return the original email to us or destroy this message.
[image]e4c supports environmental conservation - please print wisely.
From: Barb Spencer
Sent: Tuesday, January 05, 2021 12:33 PM
To: M.Luiza Coelho &lt;mlcoelho@e4calberta.org&gt;
Subject: RE: Messages quarantined since Dec 31, 2020 08:00 AM for rfragoso@e4calberta.org
Can you ask them why I continue to receive theseâ€¦..also please ask them to cancel Vivianneâ€™s email and remove from my outlookâ€¦thank youâ€¦.Happy New Year!!Â  Thanks so much for the bottle of wine.
BarbSpencer e4c
Chief Executive Officer
BSpencer@e4calberta.org
T
780.424.7543 ext 165
9321 Jasper Avenue, Edmonton AB T5H 3T7
e4calberta.org
[image]
This message is intended for the use of the individual or entity to which it is addressed and may contain information that is privileged and confidential. If you are not the intended recipient or the employee responsible for delivery of the message to the intended recipient, please be advised that any dissemination, distribution or copying of this message is strictly prohibited. If you have received this message in error, please notify us immediately by telephone and return the original email to us or destroy this message.
[image]e4c supports environmental conservation - please print wisely.
From: M.Luiza Coelho
Sent: Tuesday, January 05, 2021 12:30 PM
To: Barb Spencer &lt;BSpencer@e4calberta.org&gt;
Subject: RE: Messages quarantined since Dec 31, 2020 08:00 AM for rfragoso@e4calberta.org
Yes we did.
Will call MNP.
M.LuizaCoelho e4c
Senior Manager
mlcoelho@e4calberta.org
T
780.424.7543 ext 132
9321 Jasper Avenue, Edmonton AB T5H 3T7
e4calberta.org
[image]
This message is intended for the use of the individual or entity to which it is addressed and may contain information that is privileged and confidential. If you are not the intended recipient or the employee responsible for delivery of the message to the intended recipient, please be advised that any dissemination, distribution or copying of this message is strictly prohibited. If you have received this message in error, please notify us immediately by telephone and return the original email to us or destroy this message.
[image]e4c supports environmental conservation - please print wisely.
From: Barb Spencer
Sent: Tuesday, January 05, 2021 12:29 PM
To: M.Luiza Coelho &lt;mlcoelho@e4calberta.org&gt;
Subject: FW: Messages quarantined since Dec 31, 2020 08:00 AM for rfragoso@e4calberta.org
Iâ€™m not so sure why I still get these for Robâ€¦.I thought we deleted his emailâ€¦.
BarbSpencer e4c
Chief Executive Officer
BSpencer@e4calberta.org
T
780.424.7543 ext 165
9321 Jasper Avenue, Edmonton AB T5H 3T7
e4calberta.org
[image]
This message is intended for the use of the individual or entity to which it is addressed and may contain information that is privileged and confidential. If you are not the intended recipient or the employee responsible for delivery of the message to the intended recipient, please be advised that any dissemination, distribution or copying of this message is strictly prohibited. If you have rec...</t>
  </si>
  <si>
    <t>RE: Issue to connect to the cloud - Emergency</t>
  </si>
  <si>
    <t>Good day,
Our Bookkeeper user has issue to connect.Â  Whenever she click on the RDS to connect, she gets this message that no computer is available for her to connect.Â  This message happened before she can put her password.
I would appreciate if you could quickly reach out Nathalie at (514) 952-8454, wee are in the year-end closing and Nathalie must have access quickly to our cloud
[image]
Thank you for your collaboration
Martin
[Multotec-Canada-Signature-Portrait-small]Martin Jubinville Eng., M.A.Sc.
Commercial Manager
Multotec Canada
Office: (450) 651-5858 ext. 201
Mobile: (514) 772-3946
Email:martin@multotec.ca
Website:www.multotec.ca
â€œWarning/Disclaimer: This email, including any attachments, is subject to important warnings and disclaimers which are hereby incorporated into this email. The full text of the warnings and disclaimers together with the company particulars are available by clicking on: http://www.multotec.com/content/email-disclaimer"</t>
  </si>
  <si>
    <t>Kathy Saunderson - Spam</t>
  </si>
  <si>
    <t>Hi there. Lots of spam making their way through the spam filter. Please block.
Thanks,
Kathy
Kathy Saunderson, B.Comm
Professional Development OfficerÂ 
The Alberta Association of Architects
780.432.0224 ext. 218
Please note that AAA staff are working remotely due to the COVID situation. The Duggan House is closed to the public until further notice. We strive to maintain a high level of service and will respond within 3 business days. Please visit www.aaa.ab.ca for further updates and thank you for your patience during extraordinary times.</t>
  </si>
  <si>
    <t>Tim Holmes (Inactive)</t>
  </si>
  <si>
    <t>Software Renewal Notice</t>
  </si>
  <si>
    <t xml:space="preserve">Please quote a renewal for the attached software, config attached, which expires within 90 days. 
</t>
  </si>
  <si>
    <t>Lisa Krewda</t>
  </si>
  <si>
    <t>Brian Dickinson</t>
  </si>
  <si>
    <t>Kelly Blackwood - Cannot Open PowerBroker</t>
  </si>
  <si>
    <t>### Summary of Issue_x000D_
Cannot Open PowerBroker_x000D_
  _x000D_
### Details of Issue_x000D_
Clicking on the PowerBroker Icon in Remote Desktop I am receiving the attached error message_x000D_
  _x000D_
### Have you opened a ticket about this issue before?  _x000D_
 No  _x000D_
  _x000D_
### How many users are impacted by this issue?  _x000D_
 Everyone  _x000D_
  _x000D_
### How would you classify this issue?  _x000D_
 Work Impacting  _x000D_
  _x000D_
### If your callback number is different than what's on record, please provide it below._x000D_
My cell phone # 403 650 3700</t>
  </si>
  <si>
    <t>3 x EC License</t>
  </si>
  <si>
    <t>### What company is this quote for?_x000D_
Pilgrims Hospice_x000D_
  _x000D_
### Is there an existing ticket on another Connectwise board? If so what is the ticket number?_x000D_
1345818_x000D_
  _x000D_
### Add or Remove CSP licenses  _x000D_
 Add licenses  _x000D_
  _x000D_
### March 30, 2020 New Microsoft 365 offerings for small and medium-sized businesses. (https://www.microsoft.com/en-us/microsoft-365/blog/2020/03/30/new-microsoft-365-offerings-small-and-medium-sized-businesses/)  _x000D_
  _x000D_
### What Type of license  _x000D_
 Office 365 E3  _x000D_
  _x000D_
### How many licenses to add/remove?_x000D_
2</t>
  </si>
  <si>
    <t>Please call me on my cell # 780 292-5191
As an essential business, CARSTAR facilities are open and remain committed to helping the communities we live and work in. Our expert technicians and staff across North America are working hard to provide contact-free options, online estimates, vehicle delivery and more. Locally owned and operated, CARSTAR continues to put our communities first.
EstherÂ Cantafio
[image][image](780) 460-9920
CARSTAR St Albert
CARSTAR Edmonton East
CARSTAR Edmonton North
[image]
[image][image]
[Facebook][image][Twitter][image][LinkedIn][image][Driven Brand Charitable Foundation]
[image]
Proud Member of Driven Brandsâ„¢</t>
  </si>
  <si>
    <t>Jafaru Akemokwe</t>
  </si>
  <si>
    <t>3 Thinprint licenses for Pilgrims Hospice</t>
  </si>
  <si>
    <t>### What company is this quote for?_x000D_
Pilgrims Hospice_x000D_
  _x000D_
### Is there an existing ticket on another Connectwise board? If so what is the ticket number?_x000D_
1345818_x000D_
  _x000D_
### Add or Remove CSP licenses  _x000D_
 Add licenses  _x000D_
  _x000D_
### March 30, 2020 New Microsoft 365 offerings for small and medium-sized businesses. (https://www.microsoft.com/en-us/microsoft-365/blog/2020/03/30/new-microsoft-365-offerings-small-and-medium-sized-businesses/)  _x000D_
  _x000D_
### What Type of license  _x000D_
 Other License  _x000D_
  _x000D_
### What product?_x000D_
ThinPrint_x000D_
  _x000D_
### How many licenses to add/remove?_x000D_
3_x000D_
  _x000D_
### Optional - What users are the licenses for?_x000D_
Joscelyne Rivard, Nursing Station and Nursing Station2</t>
  </si>
  <si>
    <t>3 Office 365 E3 licenses for Pilgrims Hospice</t>
  </si>
  <si>
    <t>### What company is this quote for?_x000D_
Pilgrims Hospice_x000D_
  _x000D_
### Is there an existing ticket on another Connectwise board? If so what is the ticket number?_x000D_
1345818_x000D_
  _x000D_
### Add or Remove CSP licenses  _x000D_
 Add licenses  _x000D_
  _x000D_
### March 30, 2020 New Microsoft 365 offerings for small and medium-sized businesses. (https://www.microsoft.com/en-us/microsoft-365/blog/2020/03/30/new-microsoft-365-offerings-small-and-medium-sized-businesses/)  _x000D_
  _x000D_
### What Type of license  _x000D_
 Office 365 E3  _x000D_
  _x000D_
### How many licenses to add/remove?_x000D_
3_x000D_
  _x000D_
### Optional - What users are the licenses for?_x000D_
Joscelyne Rivard, Nursing Station and Nursing Station2</t>
  </si>
  <si>
    <t>Hydrodig</t>
  </si>
  <si>
    <t>Katrina Schroeder</t>
  </si>
  <si>
    <t>Canada VPN remote station issues</t>
  </si>
  <si>
    <t>Jeff Meadows
Field Services Technician
PH.Â 587.273.5062
4922 - 53 St.
Red Deer,       AB
T4N2E9
Jeff.Meadows@mnp.ca
mnp.ca [image]
[image]
From: Terry Romanow &lt;operations@hydrodig.com&gt; 
Sent: Tuesday, January 12, 2021 10:24 AM
To: Jeff Meadows &lt;Jeff.Meadows@mnp.ca&gt;; Mike Monaghan &lt;mmonaghan@nextdigital.ca&gt;
Subject: Re: Hydrodig Backup Refresh - Install and Deploy
CAUTION:This email originated from outside of the MNP network. Be cautious of any embedded links and/or attachments.
MISE EN GARDE:Ce courriel ne provient pas du rÃ©seau de MNP. MÃ©fiez-vous des liens ou piÃ¨ces jointes quâ€™il pourrait contenir.
Hello jeff
We are having connection to Canada VPN remote station issues here in denver. Please call Katrina at 303-287-8300
Be Great
Terry Romanow
President
Hydrodig
Sent from my iPhone
303-818-5602
On Nov 5, 2020, at 3:21 PM, Jeff Meadows &lt;Jeff.Meadows@mnp.ca&gt; wrote:
ï»¿
Hi Terry,
That should be possible. I will call Travis and discuss the specifics with him.
Jeff Meadows
Field Services Technician
PH.Â 587.273.5062
4922 - 53 St.
Red Deer, AB
T4N2E9
Jeff.Meadows@mnp.ca
mnp.ca
&lt;ceb2d446-9e86-49d5-bd6b-61b89a0c4ae0.jpg&gt;
&lt;7018-21-CORPTechSolMergerEmailSignature_cf3d1017-a58e-4489-b81c-f21d44bb6f08.jpg&gt;
&lt;12cb2224-f61a-4494-bab2-f68b7e50ddf6.JPG&gt;
From: Terry Romanow &lt;operations@hydrodig.com&gt; 
Sent: Wednesday, November 4, 2020 10:35 AM
To: Jeff Meadows &lt;Jeff.Meadows@mnp.ca&gt;
Cc: Mike Monaghan &lt;Mike.Monaghan@mnp.ca&gt;; Travis Huseby &lt;travish@hydrodig.com&gt;
Subject: RE: Hydrodig Backup Refresh - Install and Deploy
CAUTION:This email originated from outside of the MNP network. Be cautious of any embedded links and/or attachments.
MISE EN GARDE:Ce courriel ne provient pas du rÃ©seau de MNP. MÃ©fiez-vous des liens ou piÃ¨ces jointes quâ€™il pourrait contenir.
Hey guys I just bought another station for in the Bentley office, can we get you to transfer files and hook everything up on Nov 10 first thing in the morning?
Please arrange with Travis at 403-748-2110
Thanks
Terry Romanow
President
Hydrodig Canada &amp; Hydrodig USA
CAN HQ:Â  Bentley, Alberta
USA HQ:Â  Denver, Colorado
email: operations@hydrodig.com
cell (CAN):Â  403.357.9319
cell (USA):Â  303.818.5602
www.hydrodig.com
This e-mail and any attachments may contain confidential and privileged information. If you are not the intended recipient, please notify the sender immediately by return e-mail, delete this e-mail and destroy any copies. Any dissemination or use of this information by a person other than the intended recipient is unauthorized and may be illegal.
From: Jeff Meadows [mailto:Jeff.Meadows@mnp.ca]
Sent: August 18, 2020 2:51 PM
To: Terry Romanow
Cc: Mike Monaghan
Subject: RE: Hydrodig Backup Refresh - Install and Deploy
Hi Terry,
OK, sounds good. Let me know if you have any questions about the merger, but for day-to-day operations everything will be working the same way as before.
Thanks,
Jeff Meadows
Field Services Technician
DIRECT +1 4033468878
4922 - 53 St.
Red Deer, AB
T4N2E9
Jeff.Meadows@mnp.ca
mnp.ca
&lt;image001.jpg&gt;
&lt;image002.jpg&gt;
&lt;image003.jpg&gt;
From: Terry Romanow &lt;operations@hydrodig.com&gt; 
Sent: Tuesday, August 18, 2020 2:31 PM
To: Jeff Meadows &lt;Jeff.Meadows@mnp.ca&gt;
Cc: Mike Monaghan &lt;Mike.Monaghan@mnp.ca&gt;
Subject: Re: Hydrodig Backup Refresh - Install and Deploy
CAUTION:This email originated from outside of the MNP network. Be cautious of any embedded links and/or attachments.
MISE EN GARDE:Ce courriel ne provient pas du rÃ©seau de MNP. MÃ©fiez-vous des liens ou piÃ¨ces jointes quâ€™il pourrait contenir.
Nope nothing
Be Great,
Terry Romanow
President
Hydrodig
Sent from my IPhone
403-357-9319
On Aug 18, 2020, at 1:52 PM, Jeff Meadows &lt;Jeff.Meadows@mnp.ca&gt; wrote:
Hi Terry,
NextDigital recently underwent a merger with MNP Technologies that changed around how our emails work/look, but everyone at NextDigital is still here doing the same thing â€“ just under a different name. Did you have any issues that you needed assistance with?
Jeff Meadows
Field Ser...</t>
  </si>
  <si>
    <t>Align Orthodontics - Hewes Business Color Printer M452 - Replacement Quote</t>
  </si>
  <si>
    <t>From: Lance Molnar &lt;Lance.Molnar@mnp.ca&gt; 
Sent: Tuesday, January 12, 2021 3:29 PM
To: Sales - MNP IT Managed Services &lt;sales@mnptechnology.ca&gt;
Subject: FW: Hewes Business Color Printer M452 - Replacement Quote
Lance Molnar
Field Services Technician
PH.Â +1 7804246398
14505 114th Avenue NW
Edmonton, AB
T5M2Y8
Lance.Molnar@mnp.ca
mnp.ca
[image]
[image]
From: Melody Baldry &lt;Melody.Baldry@alignortho.com&gt; 
Sent: Tuesday, January 12, 2021 2:48 PM
To: Lance Molnar &lt;Lance.Molnar@mnp.ca&gt;
Subject: Hewes Business Color Printer M452 - Replacement Quote
CAUTION:This email originated from outside of the MNP network. Be cautious of any embedded links and/or attachments.
MISE EN GARDE:Ce courriel ne provient pas du rÃ©seau de MNP. MÃ©fiez-vous des liens ou piÃ¨ces jointes quâ€™il pourrait contenir.
Hi Lance,
I just received confirmation from Neil at AskTech, our printer service technician. He has been trying to replace the duplexing unit on the Hewes Business Color printer M452 since November. His price just came in at $400.
This printer still prints in color, however the duplexing doesnâ€™t work. Could you seek a quote for a color printer replacement for this printer? It doesnâ€™t have to be the exact replacement. We are up for an alternate type.
I may not replace it yet, but just curious about a replacement quote.
Thanks,
Mel
[Email Logo Template]
From: Lance Molnar &lt;Lance.Molnar@mnp.ca&gt; 
Sent: January 12, 2021 1:38 PM
To: Melody Baldry &lt;Melody.Baldry@alignortho.com&gt;
Subject: Remote Site Visit
Hi Mel,
I will be doing a remote site visit for you this afternoon, let me know if you need anything looked at.
Thank you,
Lance Molnar
Field Services Technician
PH.Â +1 7804246398
14505 114th Avenue NW
Edmonton, AB
T5M2Y8
Lance.Molnar@mnp.ca
mnp.ca
[image]
[image]</t>
  </si>
  <si>
    <t>FW: Hewes Business Color Printer M452 - Replacement Quote</t>
  </si>
  <si>
    <t>Replacement SKU W1Y44A#BGJ
From: Lance Molnar &lt;Lance.Molnar@mnp.ca&gt; 
Sent: Tuesday, January 12, 2021 3:29 PM
To: Sales - MNP IT Managed Services &lt;sales@mnptechnology.ca&gt;
Subject: FW: Hewes Business Color Printer M452 - Replacement Quote
Lance Molnar
Field Services Technician
PH.Â +1 7804246398
14505 114th Avenue NW
Edmonton, AB
T5M2Y8
Lance.Molnar@mnp.ca
mnp.ca
[image]
[image]
From: Melody Baldry &lt;Melody.Baldry@alignortho.com&gt; 
Sent: Tuesday, January 12, 2021 2:48 PM
To: Lance Molnar &lt;Lance.Molnar@mnp.ca&gt;
Subject: Hewes Business Color Printer M452 - Replacement Quote
CAUTION:This email originated from outside of the MNP network. Be cautious of any embedded links and/or attachments.
MISE EN GARDE:Ce courriel ne provient pas du rÃ©seau de MNP. MÃ©fiez-vous des liens ou piÃ¨ces jointes quâ€™il pourrait contenir.
Hi Lance,
I just received confirmation from Neil at AskTech, our printer service technician. He has been trying to replace the duplexing unit on the Hewes Business Color printer M452 since November. His price just came in at $400.
This printer still prints in color, however the duplexing doesnâ€™t work. Could you seek a quote for a color printer replacement for this printer? It doesnâ€™t have to be the exact replacement. We are up for an alternate type.
I may not replace it yet, but just curious about a replacement quote.
Thanks,
Mel
[Email Logo Template]
From: Lance Molnar &lt;Lance.Molnar@mnp.ca&gt; 
Sent: January 12, 2021 1:38 PM
To: Melody Baldry &lt;Melody.Baldry@alignortho.com&gt;
Subject: Remote Site Visit
Hi Mel,
I will be doing a remote site visit for you this afternoon, let me know if you need anything looked at.
Thank you,
Lance Molnar
Field Services Technician
PH.Â +1 7804246398
14505 114th Avenue NW
Edmonton, AB
T5M2Y8
Lance.Molnar@mnp.ca
mnp.ca
[image]
[image]</t>
  </si>
  <si>
    <t>Andersons Liquor IT</t>
  </si>
  <si>
    <t>RÃ©al  Verrier</t>
  </si>
  <si>
    <t>FW: Request for Eaton 3S 550VA/Eaton 5S1500LCD</t>
  </si>
  <si>
    <t>From: realv@rockymountainliquor.ca &lt;realv@rockymountainliquor.ca&gt;
Sent: January 12, 2021 3:12 PM
To: Sales - MNP IT Managed Services &lt;sales@mnptechnology.ca&gt;; Sales - MNP IT Managed Services &lt;sales@mnptechnology.ca&gt;
Subject: Andersons
CAUTION:This email originated from outside of the MNP network. Be cautious of any embedded links and/or attachments.
MISE EN GARDE:Ce courriel ne provient pas du rÃ©seau de MNP. MÃ©fiez-vous des liens ou piÃ¨ces jointes quâ€™il pourrait contenir.
Hello again Curt and Cori
Have another drop ship order.
2 -Eaton 3S 550 VA
1 - Eaton 5S 1500LCD
To be dropped ship to the location below.
Great Canadian Liquor
Attn. Real
11478 - 149 St.
Edmonton, AB
T5M 1W7
Thank You
[image]
RÃ©al Verrier
Andersons Liquor IT
realv@rockymountainliquor.ca
780.929.6211</t>
  </si>
  <si>
    <t>Annie Brandt - email account creation and edits</t>
  </si>
  <si>
    <t>### Summary of Issue_x000D_
email account creation and edits_x000D_
  _x000D_
### Details of Issue_x000D_
I need email accounts similar to Megan Walkhouse set up for the following individuals:
Madeline Martel
Kendall Dewitt
Kate Boyce
The email for Jamie McPherson needs to have her name edited to be spelled:
Jaime instead of Jamie
Micaela Strelau needs her email disabled_x000D_
  _x000D_
### Have you opened a ticket about this issue before?  _x000D_
 No  _x000D_
  _x000D_
### How many users are impacted by this issue?  _x000D_
 Some  _x000D_
  _x000D_
### How would you classify this issue?  _x000D_
 Work Impacting  _x000D_
  _x000D_
### If your callback number is different than what's on record, please provide it below._x000D_
780-777-1249</t>
  </si>
  <si>
    <t>Lab Computer - Historian Server</t>
  </si>
  <si>
    <t>Hi David,
Xuan and I need you to take a look at the computer in the downstairs lab to make sure it can connect to the Historian Server (EXSHISTORIAN â€“ 172.16.201.251).
We are going to be running an Excel document on that machine to write lab data to the Historian Server.
When you are on-site tomorrow please see Xuan and he can show you which computer the Lab Technicians will be using for this.
Feel free to give me a call on my cell if you have any questions tomorrow.
Thanks,
Codi Hiebert
Engineer Technologist
Baymag Inc.
Plantsite Operations251
Exshaw, Alberta
Canada
Phone: 403-673-3790 ext.245</t>
  </si>
  <si>
    <t>Pics email</t>
  </si>
  <si>
    <t>Hi,
Can you add Michael Rose (mrose@nationalneon) to the pics@nationalneon.com distribution list?
Thanks,
Ryan Sander</t>
  </si>
  <si>
    <t>NCSO Email Inbox</t>
  </si>
  <si>
    <t>Hello,
Can you please add Christina Chen as to have access to view and reply to the email inbox ncso@youracsa.ca. CanÂ  we please have it set up a separate email inbox within her email account instead of going directly to her inbox.
Thank you,
TIFFANY CAVNER |Â Client Services Team Lead
Alberta Construction Safety Association
225 Parsons Road SW |Â Edmonton ABÂ |Â T6X 0W6
TÂ 780.453.3311 ext. 7950 |Â FÂ 780.455.1120 |Â TFÂ 1.800.661.ACSA (2272)
www.youracsa.ca
[2021 ACSA Conference email signature_FINAL]
[cid:image001.png@01D32174.409ADC10][cid:image002.png@01D32174.409ADC10][cid:image003.png@01D32174.409ADC10][cid:image004.png@01D32174.409ADC10]</t>
  </si>
  <si>
    <t>FW: Security Certificates for RDS Expired - 12 PM</t>
  </si>
  <si>
    <t>Hi,
Can MNP take a look on the credentials that expiring today.
M.LuizaCoelho e4c
Senior Manager
mlcoelho@e4calberta.org
T780.424.7543 ext 132
9321 Jasper Avenue, Edmonton AB T5H 3T7
e4calberta.org
[image]
This message is intended for the use of the individual or entity to which it is addressed and may contain information that is privileged and confidential. If you are not the intended recipient or the employee responsible for delivery of the message to the intended recipient, please be advised that any dissemination, distribution or copying of this message is strictly prohibited. If you have received this message in error, please notify us immediately by telephone and return the original email to us or destroy this message.
[image]e4c supports environmental conservation - please print wisely.
From: Shannon Donogh 
Sent: Tuesday, January 12, 2021 1:12 PM
To: M.Luiza Coelho &lt;mlcoelho@e4calberta.org&gt;
Subject: Security Certificates for RDS Expired - 12 PM
Importance: High
Hi Luiza,
See attached screen caps for details. I noticed it when my wifi kicked me off and I needed to reconnect to RDS. I reached out to Steve who relayed he received similar messages (also attached with hockey background).
Wanted to let you know as it looks like they were issued from 2017-2020. MNP should have renewed prior to today as the credentials are hosted in AZ. It appears to create a security transmission risk for content within the RDS.
Thanks,
Shannon
ShannonDonogh, (she/her)e4c
Communications Lead 
e4c Communications
SDonogh@e4calberta.org
T
780.424.7543 ext 116
9321 Jasper Avenue, Edmonton AB T5H3T7
e4calberta.org
[image]
This message is intended for the use of the individual or entity to which it is addressed and may contain information that is privileged and confidential. If you are not the intended recipient or the employee responsible for delivery of the message to the intended recipient, please be advised that any dissemination, distribution or copying of this message is strictly prohibited. If you have received this message in error, please notify us immediately by telephone and return the original email to us or destroy this message.
[image]e4c supports environmental conservation - please print wisely.</t>
  </si>
  <si>
    <t>Port for GE to have remote access to our GE ultrasound systems</t>
  </si>
  <si>
    <t>Good day Vito, and Faizel,
I wasnâ€™t sure if you figured out a time for Jordan from VidiStar (Hitachi Healthcare) to remote in on the router to work on getting the DICOM send error corrected so the Vivid E90 can send data to the VidiStar PACS again.
While we are at it, I am not sure if this requires a separate ticket, but could we get a port opened for GE Healthcare so that they can remote in on our imaging systems if needed?Â  The information from Sandra is below.
Thank you,
Kim
From: Palbiski, Sandra Y (GE Healthcare) &lt;Sandra.Palbiski@med.ge.com&gt;
Sent: January 12, 2021 1:09 PM
To: Kim Hawkes &lt;kimh@pulseveterinary.ca&gt;
Subject: Insite information for IT: Firewall exceptions
-Customer firewall should allow internet connectivity to these URLs as appropriate:
Questra:
us1-ws.service.gehealthcare.com
us1-rd.service.gehealthcare.com
and Port 445
Regards,
Sandra Palbiski
Cardiac Ultrasound TSE
GE Healthcare
262.506.9892
[image]
Kim Hawkes DVM, DACVIM(Cardiology)
Cardiology Department
E: cardiology@pulseveterinary.ca
P: 780.570.9999
A: 450 Ordze Road, Unit #320.Â  Sherwood Park, AB T8B 0C5
www.pulseveterinary.ca</t>
  </si>
  <si>
    <t>Kari Anne Gaume</t>
  </si>
  <si>
    <t>FW: ISL Engineering and Land Services Ltd</t>
  </si>
  <si>
    <t>FYI..I feel that the e-mail below could be a scam as I am not expecting a invoice from ISL.
Kari Anne Gaume, Principal
LICENSED INTERIOR DESIGNER AAA LEED AP BD+C NCIDQ IDA IDC
Group2
Architecture Interior Design Ltd.
200, 4706 Â 48th Â Avenue Red Deer AB T4N 6J4
T +1Â 403 340 2200
C +1 403 872 4428
group2.ca
Group2 is committed to being both responsive and responsible in navigating these extraordinary times with everyoneâ€™s safety in mind. Since the outset of the COVID-19 situation, we have enabled our employees to work remotely, allowing us to continue business operations and maintain our client commitments.
This email and any files transmitted with it are confidential and intended solely for the use of the individual or entity to whom they are addressed. If you have received this email in error please notify the system manager. This message contains confidential information and is intended only for the individual named. If you are not the named addressee you should not disseminate, distribute or copy this e-mail.
From: Terry J. Myles &lt;tmyles@islengineering.com&gt;
Sent: January 12, 2021 9:54 AM
To: Terry J. Myles &lt;accountings@islengineering.com&gt;
Subject: ISL Engineering and Land Services Ltd
Please see below and confirm receipt
Let me know if youâ€™ve any questions
[image][/var/folders/jx/yvxf5d4n6898tc_qxnv45hph0000gn/T/com.microsoft.Outlook/Content.MSO/43818AF8.tmp]
Terry J. Myles Â shared a File
Here's the document that Terry sent to you.
INVOICE
[permission globe icon]
This link will work for anyone.
View
Terry J. Myles,Â Senior Designer/Senior Project ManagerÂ  |Â Â  Urban Design + Landscape Architecture
ISL Engineering and Land Services Ltd
Main: 780.448.9000Â Â Â  Direct:Â 780.441.4343Â Â Â tmyles@islengineering.com
COVID-19 Update:Â Our commitment to delivering our projects is unwavering. We use cloud-based software and tools to maintain our collaborative environment and keep staff and partners safe.Â Learn more on our website.</t>
  </si>
  <si>
    <t>Cheryl Waldo - RE:  Word Doc Issues</t>
  </si>
  <si>
    <t>Good afternoon,
My Word documents seem to all be opening without the headers / logos now.Â  Not sure what has changed but if you could please look into this, that would be great.
Thank you
Cheryl Waldo
Senior Executive Assistant
Pilgrims Hospice Society
9808 â€“ 148 Street
Edmonton ABÂ  T5N 3E8
T. 780.413.9801 ext. 240 / T. 587.414.5043 (direct)
*Home of the new Roozen Family Hospice Centre
[image]</t>
  </si>
  <si>
    <t>Out of office for COO and CFO</t>
  </si>
  <si>
    <t>Hello IT,
Both Linda Tickner and Carolyn Frew are off on extended leaves.Â  We would like to update what they have put on their out of office reply.Â  Is that possible?
Please change the out of office reply for each staff noted below to:
For Linda Tickner
Thank you for your note.Â  I am currently out of the office until January 25. In my absence please reach out as below:
For Payroll questions - Thuy Nguyen atThuyN@carycaglary.ca
For Accounts Payable/Accounts Receivable - Laura Alipio atLauraA@caryacalgary.ca
For IT Liaison/Equipment â€“ Joanne Chaloner atJoanneC@caryacalgary.ca
For urgent finance or agency related matters â€“ Monique Auffrey, CEO at MoniqueA@caryacalgary.ca
For Carolyn Frew
Thanks for your email.Â  I'm currently away from work until February 1, 2021.
In my absence, please reach out to:
Lisa Stebbins, Director - regarding Multigenerational Wellness in Community (MWC) at LIsaS@caryacalgary.ca
Susan Herman, Director - regarding Strong Families in Community (SFC) at SusanH@caryacalgary.ca
Monique Auffrey, CEO - regarding urgent agency related matters at MoniqueA@caryacalgary.ca
[image]
Leanna Craig, MA, CCC, CPHR
HR Manager
T: 403.205.5243 |E: LeannaC@caryacalgary.ca| C: 403.830.3569
180, 839 5 Ave SW | Calgary, AB | T2P 3C8
[image]Â [image][instagram-1675670]Â [image]
carya (formerly Calgary Family Services)
Stay up to date with the latest carya news, programs, and events by signing up for ourmonthly newsletter.
In the spirit of our efforts to promote reconciliation, we acknowledge the traditional territories and oral practices of the Blackfoot, the Tsuut'ina, the Stoney Nakoda First Nations, the MÃ©tis Nation Region 3, and all people who make their homes in the Treaty 7 region of Southern Alberta. We also respectfully acknowledge that the province of Alberta is comprised of Treaty 6, Treaty 7, and Treaty 8 territory, the traditional lands of First Nations and MÃ©tis peoples.
No form of electronic communication is secure and may be intercepted by others. Carya cannot guarantee the receipt of electronic communication nor a timely response. Where communication is confidential or time sensitive we recommend you call 403-269-9888 during business hours (Monday-Friday, 8:30am-4:30pm). For immediate crisis response please contact the Distress Centre Crisis Line at 403-266-HELP (4537) and in case of an emergency dial 911.
This e-mail is intended solely for the person or entity to which it is addressed and may contain confidential and/or privileged information. Any review, dissemination, copying, printing, forwarding or other use of this e-mail by persons or entities other than the addressee is prohibited. If you have received this e-mail in error, please contact the sender immediately and delete the material from your computer.</t>
  </si>
  <si>
    <t>Jorge Bustamante - Tickets stuck in UNSET</t>
  </si>
  <si>
    <t>### Summary of Issue_x000D_
Tickets stuck in UNSET_x000D_
  _x000D_
### Details of Issue_x000D_
Still having issues with this every now and again, we try to check 2-3 times per day to keep them from being forgotten about but I was wondering if there was a way we could permanently fix this? Seems to be very sporadic, happens pretty randomly. I just started writing these down so I'll send more ticket numbers as it occurs more.
Tickets stuck yesterday:
#1345208_x000D_
  _x000D_
### Have you opened a ticket about this issue before?  _x000D_
 Yes  _x000D_
  _x000D_
### How many users are impacted by this issue?  _x000D_
 Everyone  _x000D_
  _x000D_
### How would you classify this issue?  _x000D_
 Work Impacting</t>
  </si>
  <si>
    <t>To whom it may concern:
There is a new update on the Quickbooks Accountant Edition 2020. Can you please set up a time for this update please? Thank you.
Fernando Lau, CPA, CGA
Caskey &amp; Company LLP |www.ccllp.ca
T 780 487 7135 |F 780 487 7197
EÂ flau@ccllp.ca
#205 10441 178 Street, Edmonton AB, T5S 1R5</t>
  </si>
  <si>
    <t>NEw Employee - Robert Stark</t>
  </si>
  <si>
    <t>Name: Robert Stark
Title: Compliance Manager
Location: Sherwood Park
Same access as Ken Davies
[image]Â Riccardo Francese
Business Process Manager
T:       +1 (780) 400-7487
C:       +1 (587) 990-0176
F:       +1 (780) 417-6496
E:       RFrancese@siterg.com
W:       WWW.SITERG.COM
#170, 120 Pembina Rd., Sherwood Park, AB, T8H 0M2
The information contained in this e-mail may       contain confidential or privileged material and is intended only for the       stated addressee(s). If you are not the valid addressee, the use,       disclosure, copying or distribution of this information is prohibited and       may be unlawful. If you have received this email message in error, please       notify the sender immediately and delete all copies of the message from       your computer. All information within or opinions expressed in this       message and/or any attachments are those of the author and are not       necessarily those of the Centurion Group.</t>
  </si>
  <si>
    <t>Reactivate - Trent Threadkell</t>
  </si>
  <si>
    <t>Please reactivate
Change title: Corporate Development Manager
Location: Calgary
Give same access as Roger Didychuk
[image]Â Riccardo Francese
Business Process Manager
T:       +1 (780) 400-7487
C:       +1 (587) 990-0176
F:       +1 (780) 417-6496
E:       RFrancese@siterg.com
W:       WWW.SITERG.COM
#170, 120 Pembina Rd., Sherwood Park, AB, T8H 0M2
The information contained in this e-mail may       contain confidential or privileged material and is intended only for the       stated addressee(s). If you are not the valid addressee, the use,       disclosure, copying or distribution of this information is prohibited and       may be unlawful. If you have received this email message in error, please       notify the sender immediately and delete all copies of the message from       your computer. All information within or opinions expressed in this       message and/or any attachments are those of the author and are not       necessarily those of the Centurion Group.</t>
  </si>
  <si>
    <t>AJ Whitford - Workstation issues</t>
  </si>
  <si>
    <t>### Summary of Issue_x000D_
Workstation issues_x000D_
  _x000D_
### Details of Issue_x000D_
System is running slow, high memory usage, not much running 
(75% memory laod with Teams/Shoretel open)
tried clearing up some disk space, doubling page file and running sfc/dism
Also unable to use FST shared workstation space as docks/cabling are setup for newer laptops which is affecting my ability to work from the office effectively if needed_x000D_
  _x000D_
### Have you opened a ticket about this issue before?  _x000D_
 No  _x000D_
  _x000D_
### How many users are impacted by this issue?  _x000D_
 One  _x000D_
  _x000D_
### How would you classify this issue?  _x000D_
 Work Impacting</t>
  </si>
  <si>
    <t>FW: James added to lease return email</t>
  </si>
  <si>
    <t>Hi
Please add James Nelson to the Lease Return email list and delete Andrew Dowdall and Amanda Trundle
With Thanks,
Cheryl Trenchard, PCP
Human Resources &amp; Payroll Manager
[cid:image001.jpg@01D407CC.BE04B790]
14610 Yellowhead Trail NW Edmonton, AB, T5L 3C5
Branch: 780-482-0281Â Â Â  Cell: 587-930-2091Â Â  Fax: 780-482-0278
Email:cheryl.trenchard@calmont.ca
Website:www.calmont.ca
This email, and any files transmitted with it, are confidential and are intended solely for the use of the individual or entity to which they are addressed. Any unauthorized use or disclosure is prohibited. Please notify the sender if you have received this email in error. Thank you for your co-operation.
From: Michael Burdeyney &lt;Michael.Burdeyney@calmont.ca&gt;
Sent: January 12, 2021 10:19 AM
To: Cheryl Trenchard &lt;Cheryl.Trenchard@calmont.ca&gt;
Cc: James Nelson &lt;James.Nelson@calmont.ca&gt;
Subject: James added to lease return email
Hey Cheryl,
Can you please have James added to our lease return email please? We can also have Amanda and Andrew removed as they are no longer with us.
Thanks,
Michael Burdeyney
Fleet and Leasing Manager
[cid:image001.jpg@01D4A68F.BB6B42D0]
14610 Yellowhead Trail NW Edmonton, AB, T5L 3C5
Branch: 780-454-0491Â Â Â Â  Toll Free: 1-800-363-7819Â Â Â Â  Direct: 780-409-3348Â Â Â Â  Cell:780-860-2581Â Â Â Â  Fax: 780-482-5663
Email:mike.burdeyney@calmont.ca
Website:www.calmont.ca
This email, and any files transmitted with it, are confidential and are intended solely for the use of the individual or entity to which they are addressed. Any unauthorized use or disclosure is prohibited. Please notify the sender if you have received this email in error. Thank you for your co-operation.</t>
  </si>
  <si>
    <t>Just Cabling Inc.</t>
  </si>
  <si>
    <t>Clayton Sielski</t>
  </si>
  <si>
    <t>Quote Request - Just Cabling - Just Cabling Panasonic Quote for Cardinal Tool</t>
  </si>
  <si>
    <t>### End User Hardware  _x000D_
  _x000D_
### What company is this quote for?_x000D_
Just Cabling_x000D_
  _x000D_
### Who made this request and why?_x000D_
Clayton_x000D_
  _x000D_
### Give this request a name_x000D_
Just Cabling Panasonic Quote for Cardinal Tool_x000D_
  _x000D_
### Who should the quote be addressed to?  _x000D_
 The primary contact in Connectwise  _x000D_
  _x000D_
### Which location is the product for?_x000D_
Edmonton_x000D_
  _x000D_
### Is there an existing ticket on another Connectwise board? If so what is the ticket number?_x000D_
0_x000D_
  _x000D_
### Which ND location is it needed at?  _x000D_
 Next Digital Edmonton  _x000D_
  _x000D_
### When is it needed by OR when is the next site visit for the client's location?  _x000D_
Wed 13 Jan, 2021  _x000D_
  _x000D_
### Do you need labour quoted?  _x000D_
 No  _x000D_
  _x000D_
### What products do you need on this quote?  _x000D_
 Voice Equipment  _x000D_
  _x000D_
### What products do you need quoted?_x000D_
Panasonic Telephone System</t>
  </si>
  <si>
    <t>RE:  Q &amp; A / Email</t>
  </si>
  <si>
    <t>Good morning,
We have a current email called nursingstation@pilgrimshospice.com.Â  We have just had Shae set up two desktops in our nursing station yesterday but are wondering if both computers can be logged in simultaneously or if we will have to have a secondary email address to access the second computer.Â  If we can log in both then I will require a password to go with the email.
Also, there was a laptop set up yesterday in the nursing station as well and this will require email and E3 license for Joscelyne Rivard (see attached form).Â  Please forward all credentials to myself when complete and if there is a chance we could get this set up today that would be great, although I am not sure if we a spare E3 license at the current moment.
Thank you,
Cheryl Waldo
Senior Executive Assistant
Pilgrims Hospice Society
9808 â€“ 148 Street
Edmonton ABÂ  T5N 3E8
T. 780.413.9801 ext. 240 / T. 587.414.5043 (direct)
*Home of the new Roozen Family Hospice Centre
[image]</t>
  </si>
  <si>
    <t>Email Undeliverable - Microsoft Outlook notice</t>
  </si>
  <si>
    <t>Hello MNP IT,
Myself and Paula are having random emails returned as â€œundeliverableâ€ today. Yesterday, we had difficulties with our Outlook Web App, but that seems to be corrected.
Paulaâ€™s issues began at 3pm yesterday and mine began first thing. I have reviewed with Paula this morning and not every email goes undeliverable, however the odd email does.
Could you please review?
Thanks,
Melody
[Email Logo Template]
From: Microsoft Outlook &lt;MicrosoftExchange329e71ec88ae4615bbc36ab6ce41109e@alignortho.com&gt;
Sent: January 12, 2021 8:52 AM
To: Melody Baldry
Subject: Undeliverable: RE: Change Process
esa4.hc3069-42.iphmx.com rejected your message to the following e-mail addresses:
Joe Ludwig (jludwig2@mmm.com)
esa4.hc3069-42.iphmx.com gave this error:
#5.7.1 Your access to submit messages to this e-mail system has been rejected.
A problem occurred during the delivery of this message to this e-mail address. Try sending this message again. If the problem continues, please contact your helpdesk.
Diagnostic information for administrators:
Generating server: HEWES-EX-01.AlignHewes.local
jludwig2@mmm.com
esa4.hc3069-42.iphmx.com #550 #5.7.1 Your access to submit messages to this e-mail system has been rejected. ##
Original message headers:
```
Received: from HEWES-EX-01.AlignHewes.local (fe80::3029:3ed3:1ebc:d276) by
```
```
HEWES-EX-01.AlignHewes.local (fe80::3029:3ed3:1ebc:d276%10) with mapi id
```
```
14.03.0509.000; Tue, 12 Jan 2021 08:51:31 -0700
```
```
From: Melody Baldry &lt;Melody.Baldry@alignortho.com&gt;
```
```
To: Joe Ludwig &lt;jludwig2@mmm.com&gt;
```
```
Subject: RE: Change Process
```
```
Thread-Topic: Change Process
```
```
Thread-Index: AdboR5NezarK4WUHQwOA1X/o0YfY3wAsysKg
```
```
Date: Tue, 12 Jan 2021 15:51:29 +0000
```
```
Message-ID: &lt;3566DAC64813244E9389C7D330CA848F64D7DFF1@HEWES-EX-01.AlignHewes.local&gt;
```
```
References: &lt;MWHPR03MB30724B2F9573EDC9136EF23384AB0@MWHPR03MB3072.namprd03.prod.outlook.com&gt;
```
```
In-Reply-To: &lt;MWHPR03MB30724B2F9573EDC9136EF23384AB0@MWHPR03MB3072.namprd03.prod.outlook.com&gt;
```
```
Accept-Language: en-US
```
```
Content-Language: en-US
```
```
X-MS-Has-Attach: yes
```
```
X-MS-TNEF-Correlator:
```
```
x-originating-ip: 192.168.10.122
```
```
Content-Type: multipart/related;
```
```
boundary="_012_3566DAC64813244E9389C7D330CA848F64D7DFF1HEWESEX01AlignH_";
```
```
type="multipart/alternative"
```
```
MIME-Version: 1.0
```</t>
  </si>
  <si>
    <t>Daniel Boire</t>
  </si>
  <si>
    <t>Daniel Boire - Heavy Job Shifts Employee to Different Timecard</t>
  </si>
  <si>
    <t>We have the foremen entering time on the Ipads. We have now seen it occur multiple times where the hours for an employee will be shifted onto a different foremans time card. Their hours remain in the same column that they were orignally entered but will then be in a different cost code as the other foreman will have their cost codes sequenced differently.  _x000D_
  _x000D_
_      _x000D_
 Attached files:  _x000D_
- Dylan's Timecard.pdf  _x000D_
- Jeff's Timecard.pdf</t>
  </si>
  <si>
    <t>Google Analytics - TXT file</t>
  </si>
  <si>
    <t>I need to gain access to our Google Analytics account for Black Stone and need to follow these steps. Can you please call me and assist with this?
Steps to demonstrate ownership of Google Analytics web properties
Please be sure to review the permissions you'd like to be granted:https://support.google.com/analytics/answer/2884495
To show ownership for each domain tracked in UA-83221439-1 that youâ€™re requesting access to, follow these steps:
1. Create a text file and save it as: analytics.txt
2. Include the following string of text in this text file:Â  Â  â€œGooGhywoiu9839t543j0s7543uw1. Â Please addjbrenner@maclabdevelopment.comÂ to GA account UA-83221439-1 with â€œManage Users and Editâ€ permissions - date 06-01-2021.
3. Upload this text file to the root of each of the domains from which you're requesting access.
Youâ€™ll append "analytics.txt" to the end of your URL. For example, if your site URL ishttp://www.example.com, the uploaded file will look like this:http://www.example.com/analytics.txt
Important: Your email address (Gmail or non-Gmail) needs to be associated with a Google Account in order to be added to Google Analytics
 If you are using a Gmail address (@gmail.com), no further action is needed as all Gmail addresses are associated with a Google Account.
 If you are using a non-Gmail address, you can check if your email address is associated with a Google Account here:https://support.google.com/accounts/answer/40560?hl=en
 In case your email address is not associated with a Google Account, please take the following steps to create a Google Account :https://support.google.com/accounts/answer/27441?hl=en
Please create a Google Account rather than changing the email address that youâ€™d like to be added to Google Analytics, as this would require us to re-initiate this process.
Next steps
Once you've uploaded the text file, "analytics.txt," reply to this email with the URLs of the uploaded files. Once I receive this information, Iâ€™ll grant you â€œManage Users and Editâ€ permissions to the Google Analytics account or property.
We ask people to follow these steps for security purposes. Thanks for your help and understanding!
Sincerely,
Maheshwar
[image]
Janelle Brenner | Executive Associate Human Resources &amp; Corporate Marketing
Suite #1005 |10104 103 Avenue NW| Edmonton, AB | T5J 0H8
Tel 780.420.4018 |Cell 780.913.2885 |www.maclabdevelopment.com</t>
  </si>
  <si>
    <t>Equity First Mortgage Ltd.</t>
  </si>
  <si>
    <t>Michael Benning</t>
  </si>
  <si>
    <t>Office 365 Subscription</t>
  </si>
  <si>
    <t>I am adding another laptop and want to find out if there are any extra devices available under my current subscription?
Thanks,
Michael A. Benning, Manager
EQUITY FIRST MORTGAGE LTD.
343, 14032 23 Avenue NW
Edmonton, AB T6R 3L6
Direct: 780.918.4474</t>
  </si>
  <si>
    <t>CAUTION: This email originated from outside of the MNP network. Be cautious of any embedded links and/or attachments.
MISE EN GARDE: Ce courriel ne provient pas du rÃ©seau de MNP. MÃ©fiez-vous des liens ou piÃ¨ces jointes quâ€™il pourrait contenir.
This email alert was generated by Sophos Central. Do not reply to this email.
[Sophos Central]
Sophos Central Event Details for AMP Financial
What happened: We could not clean up a threat.
Where it happened: W7-AMP-008
Path: C:\Users\assistant\AppData\Local\Microsoft\Windows\INetCache\Content.Outlook\RBSIXMYK\ðŸ“ž Assistant-22309-5684-39-528834.HTM
What was detected: Troj/Phish-HHH
User associated with device: assistant
How severe it is: High
What Sophos has done so far: We attempted to clean up.
What you need to do:In the Sophos Central Admin console, go to the Alerts page and find the threat alert. Click on the threat name to see details and cleanup advice on the Sophos website. Then go to the affected computer and clean up the threat manually.
Help sources:
Sophos Central specific articles: https://community.sophos.com/kb?TopicId=9000.
Sophos Central Frequently Asked Questions (FAQ) - https://community.sophos.com/kb/en-us/119598.
Sign in to https://central.sophos.com/ for more information
Note: Depending on the alert email frequency setting you choose, we will either send one email for one alert of each type (for example, an alert for a protection-failed event) in any 24-hour period, or send one email for each alert. You might have more alerts of the same type in the dashboard of the Sophos Central console.</t>
  </si>
  <si>
    <t>Sterling Place - Two Electrical Panels Replacement</t>
  </si>
  <si>
    <t>Ben,
Iâ€™m not sure how this will affect our servicesâ€¦..I have copied the helpdesk.
Nora
From: anosh.tavitian@gwlra.com [mailto:GWL.communication@com.ng1.angusanywhere.com]
Sent: Tuesday, January 12, 2021 7:57 AM
To: Nora Decosemo &lt;Nora.Decosemo@nrcb.ca&gt;
Subject: Sterling Place - Two Electrical Panels Replacement
Good morning,
Please see attached important memo and kindly ensure to inform all staff.
Thank you,
GWL Realty Advisors Inc
The contents of this communication, including any attachment(s), are confidential and may be privileged. If you are not the intended recipient (or are not receiving this communication on behalf of the intended recipient), please notify the sender immediately and delete or destroy this communication without reading it, and without making, forwarding, or retaining any copy or record of it or its contents. Thank you. Note: We have taken precautions against viruses,but take no responÂ­sibility for loss or damage caused by any virus present.By giving us your email address, you agree to allowGWLRealty Advisors Inc.to contact you from time to time until you tell us otherwise. If you have any questions, please contact us atUnsubscribeCASL@gwlra.com.
Le contenu de la prÃ©sente communication, y compris tout fichier joint, est confiÂ­dentiel et peut Ãªtre privilÃ©giÃ©. Si vous nâ€™Ãªtes pas le destinataire visÃ© (ou si vous ne recevez pas la prÃ©sente communication au nom du destinataire visÃ©), veuillez en aviser immÃ©diatement lâ€™expÃ©diteur et supprimer ou dÃ©truire le prÃ©sent message sans le lire, en tirer des copies, le retransmettre ou en enregistrer le contenu. Merci. Ã€ noter : Nous avons pris des mesures de protection contre les virus, mais nous nâ€™assumons aucune responsabilitÃ© pour ce qui est de la perteou des domÂ­mages causÃ©s par la prÃ©sence dâ€™un virus. En nous donnant votre adresse de courriel, vous autorisezÂ La sociÃ©tÃ© Conseillersimmobiliers GWLÃ  communiquer avec vous de jusquâ€™Ã  indication contraire de votre part. Si vous avez des questions, veuillez communiquer avec nous pardesabonnementLCAP@gwlra.com.</t>
  </si>
  <si>
    <t>[image]
A high-severity alert has been triggered
âš Microsoft 365 compliance center
Severity:â—High
Time:1/12/2021 3:01:01 PM (UTC)
Activity:Protection
Details: 1 message hit on 38547acb-af2f-4302-a33c-08d8b70ade71-13832430629495220855-1, sent by smtp-iahbr@pirkanet.com to barry.j.stewart@igloo.ca at time 1/12/2021 3:01:01 PM.
              View alert details          
Thank you, 
The Office 365 Team
[image]
One Microsoft Way
Redmond, WA
98052-6399 USA
Privacy | Legal</t>
  </si>
  <si>
    <t>URGENT: Permission Group</t>
  </si>
  <si>
    <t>Hello,
Can we please make a permission group for this location: S:\Construction Operations\Projects\56 Fort Mac\56-20-F0241 Suncor Pads 111,125-126 ,131
They should have modify / read / write priveleges to all subfolders
Please give this to Cory Hancheryk and Dustin Hendrickson
[image]Â Riccardo Francese
Business Process Manager
T:       +1 (780) 400-7487
C:       +1 (587) 990-0176
F:       +1 (780) 417-6496
E:       RFrancese@siterg.com
W:       WWW.SITERG.COM
#170, 120 Pembina Rd., Sherwood Park, AB, T8H 0M2
The information contained in this e-mail may       contain confidential or privileged material and is intended only for the       stated addressee(s). If you are not the valid addressee, the use,       disclosure, copying or distribution of this information is prohibited and       may be unlawful. If you have received this email message in error, please       notify the sender immediately and delete all copies of the message from       your computer. All information within or opinions expressed in this       message and/or any attachments are those of the author and are not       necessarily those of the Centurion Group.</t>
  </si>
  <si>
    <t>Barbara Bruce</t>
  </si>
  <si>
    <t>Barbara Bruce - Email on New Phone</t>
  </si>
  <si>
    <t>I recently purchased a new cell phone (Samsung) and moved 99% of my items over.Â  But I need to put in my password for my office e-mail account and it is not accepting what I am offering.Â  I tried the â€œforgot passwordâ€ function but it tells me that I am not allowed to do this.
Can you please help?
Thanks!
BB
Barbara Bruce, CAE, Hon. MRAIC
Executive Director
The Alberta Association of Architects
Duggan House| 10515 Saskatchewan Dr., NW
Edmonton, AB| T6E 4S1
Cell: 780.909.8172 |
website|eBulletin|LinkedIn|Facebook|Twitter
Please note that AAA staff are working remotely due to the Covid-19 pandemic. Duggan House is closed to the public until further notice.We strive to maintain a high level of service and will respond within a maximum of 3 business days.Â  Please visitwww.aaa.ab.cafor updates. Thank you for your patience during extraordinary times.
Confidentiality Note: This email may contain confidential and/or private information. 
If you received this email in error please delete and notify sender.</t>
  </si>
  <si>
    <t>Samuel Noubissie</t>
  </si>
  <si>
    <t>Samuel Noubissie - Issue with Laptop FRAP-L-7275 -User Estelle Pekan -</t>
  </si>
  <si>
    <t>Hi Support,
We need your support to install the acrobat reader on the laptop FRAP-L-7275 -User Estelle Pekan â€“ We did not have the admin account to proceed. The local admin account FRAPADMIN requested for all the FRAP Pcs is not yet setup on the said laptop.
Thanks for your support and feedback.
Samuel</t>
  </si>
  <si>
    <t xml:space="preserve">Julie Nadeau - New Employee, Lyndsay Yellowdirt </t>
  </si>
  <si>
    <t>### Summary of Issue_x000D_
New Employee_x000D_
  _x000D_
### Details of Issue_x000D_
Lyndsay Yellowdirt - PA Team
start date January 13 2021
UN
PW
EA_x000D_
  _x000D_
### Have you opened a ticket about this issue before?  _x000D_
 No  _x000D_
  _x000D_
### How many users are impacted by this issue?  _x000D_
 One  _x000D_
  _x000D_
### How would you classify this issue?  _x000D_
 Other</t>
  </si>
  <si>
    <t>IP-IT Issues accessing Codes</t>
  </si>
  <si>
    <t>I am having difficulty accessing a â€˜subscribed toâ€™ PDF document.Â Â I believe the way we set it up a number of years ago was to map the file opening from a registered IP address on one of our servers.Â Â Iâ€™m not sure what has changed, but it appears the address is no longer valid.Â Â We had ND set this up originally so I am hoping you can track down some info on it.Â Â It is not a document that is referenced often, so Iâ€™m not sure how long it has been inaccessible, but is required now for a project.Â Â The file we are trying to open is located here:
P:\Codes\Other Codes\Fire Codes\ 2015 National Fire Code of Canada.pdf
And the error I receive is this:
[image]
This is an issue we experienced in August of last year as well.Â  Reference tickets 1267626, 1215998 and 1240436.
Thank you in advance.
-jg
Jon Gulayets, Associate
Group2
Architecture Interior Design Ltd.
200, 4706 Â 48th Â Avenue Red Deer AB T4N 6J4
T +1Â 403 340 2200 x 422
C +1 403 872 7422
group2.ca</t>
  </si>
  <si>
    <t>E4C - Low disk space on NC-E4C-MAIL01</t>
  </si>
  <si>
    <t>### Summary of Issue_x000D_
Low disk space on NC-E4C-MAIL01_x000D_
  _x000D_
### Details of Issue_x000D_
All drives are showing low disk space_x000D_
  _x000D_
### Have you opened a ticket about this issue before?  _x000D_
 No  _x000D_
  _x000D_
### How many users are impacted by this issue?  _x000D_
 Everyone  _x000D_
  _x000D_
### How would you classify this issue?  _x000D_
 Work Impacting</t>
  </si>
  <si>
    <t>Carol Reid</t>
  </si>
  <si>
    <t>Error in Sig.</t>
  </si>
  <si>
    <t>Not sure what this error is?Â Â Â  I had to task manager out of Sig.
Carol Reid       
Senior Account Manager, Personal Lines
EÂ Â Â Â Â  CReid@mhkinsurance.com
DÂ Â Â Â  587.525.6007Â 
12316-107 Avenue, Edmonton, AB  T5M 1Z1
www.mhkinsurance.commailto:CReid@mhkinsurance.com)
[image]
[image]
We're here to help with your insurance needs. Emails       and phone calls are still encouraged. Appointments are required for       in-office broker meetings. Please wear a mask when       visiting.
MHK welcomes       e-Transfer payments to banking@mhkinsurance.com.
If you       receive this email in error, please notify us by reply email and destroy       this message. MHK complies with Canada's Anti-Spam and Alberta's PIPA       Legislations. If you no longer wish to receive emails from MHK, please       reply with 'Unsubscribe' in the subject   line.
From: Carol Reid &lt;CReid@mhkinsurance.com&gt; 
Sent: Monday, January 11, 2021 3:09 PM
To: Carol Reid &lt;CReid@mhkinsurance.com&gt;
Subject: Sent from Snipping Tool
Carol Reid
Senior Account Manager, Personal Lines
EÂ Â Â Â Â CReid@mhkinsurance.com
DÂ Â Â Â  587.525.6007Â 
12316-107 Avenue, Edmonton, AB T5M 1Z1
www.mhkinsurance.com
[image]
[image]
We're here to help with your insurance needs. Emails and phone calls are still encouraged. Appointments are required for in-office broker meetings. Please wear a mask when visiting.
MHK welcomes e-Transfer payments to banking@mhkinsurance.com.
If you receive this email in error, please notify us by reply email and destroy this message. MHK complies with Canada's Anti-Spam and Alberta's PIPA Legislations. If you no longer wish to receive emails from MHK, please reply with 'Unsubscribe' in the subject line.</t>
  </si>
  <si>
    <t>Celia Chan</t>
  </si>
  <si>
    <t>Celia Chan - adobe keeps asking me to sign in</t>
  </si>
  <si>
    <t>### Summary of Issue_x000D_
adobe keeps asking me to sign in_x000D_
  _x000D_
### Details of Issue_x000D_
I'm having issues using Adobe. It won't stay open and it keeps asking me to sign in_x000D_
  _x000D_
### Have you opened a ticket about this issue before?  _x000D_
 No  _x000D_
  _x000D_
### How many users are impacted by this issue?  _x000D_
 One  _x000D_
  _x000D_
### How would you classify this issue?  _x000D_
 Work Impacting  _x000D_
  _x000D_
### If your callback number is different than what's on record, please provide it below._x000D_
7807097292</t>
  </si>
  <si>
    <t>RE: Bulk Scale Irregularities</t>
  </si>
  <si>
    <t>Hi Codi,
Iâ€™ll restart the service, and will review some sort of error recovery for this issu.e
Iâ€™ve included our support email so that a ticket can be opened for this..
Thank you,
David
David Stevens
Team Lead, Field Services Technician
PH.Â +1 4036864357
310 - 4000 4 St SE
Calgary,       AB
T2G2W3
David.Stevens@mnp.ca
mnp.ca [image]
[image]
From: Hiebert, Codi &lt;Codi.Hiebert@BAYMAG.COM&gt; 
Sent: Monday, January 11, 2021 1:55 PM
To: Jeff Meadows &lt;Jeff.Meadows@mnp.ca&gt;; David Stevens &lt;David.Stevens@mnp.ca&gt;
Cc: Lafond, Gilles &lt;Gilles.Lafond@BAYMAG.COM&gt;; Hunter, Jeff &lt;Jeff.Hunter@BAYMAG.COM&gt;; Masters, Kara &lt;Kara.Masters@baymag.com&gt;
Subject: RE: Bulk Scale Irregularities
Hi Jeff &amp; David,
I was just notified we were having issues with our Loadout scale. I opened up the Scale FTP and it looks like the memory is filling up with tickets again.
When the scale FTP memory is maxed out the scale stops communicating to our PLC and we are unable to operate it properly.
Would you guys be able to take a look into why some tickets arenâ€™t being removed from the FTP after they are being copied over?
Thanks,
Codi Hiebert
Engineer Technologist
Baymag Inc.
Plantsite Operations
Exshaw, Alberta
Canada
Phone: 403-673-3790 ext.245
From: Jeff Meadows &lt;Jeff.Meadows@mnp.ca&gt; 
Sent: Wednesday, December 16, 2020 3:46 PM
To: Masters, Kara &lt;Kara.Masters@baymag.com&gt;
Cc: Hiebert, Codi &lt;Codi.Hiebert@BAYMAG.COM&gt;; Lafond, Gilles &lt;Gilles.Lafond@BAYMAG.COM&gt;; Hunter, Jeff &lt;Jeff.Hunter@BAYMAG.COM&gt;; David Stevens &lt;David.Stevens@mnp.ca&gt;
Subject: RE: Bulk Scale Irregularities
CAUTION: This email originated from outside of Refratechnik and contains hyperlinks and attached files. Please do not open those files or click those links unless you are expecting this email and you know that it originates from a safe source.
WARNUNG: Diese E-Mail ist von ausserhalb der Refratechnik verschickt worden und enthaelt Dateianhaenge und Hyperlinks. Bitte oeffnen Sie die Dateien oder Links nur, wenn Sie sicher sind, dass die Email von einem vertrauenswuerdigen Absender stammt.
Hi Kara,
As per our discussion on the phone we have investigated and confirmed that the discrepancy does appear to originate with the scale itself. You mentioned that you and Codi work with an Avery programmer on these scales, this would be the next step to investigate why the scale is recording different values than it prints. Please let us know if youâ€™d like us to contact him to troubleshoot further or if you prefer to discuss it with him directly.
Thanks,
Jeff Meadows
Field Services Technician
PH.Â 587.273.5062
4922 - 53 St.
Red Deer, AB
T4N2E9
Jeff.Meadows@mnp.ca
mnp.ca
[image]
[image]
[image]
From: Masters, Kara &lt;Kara.Masters@baymag.com&gt; 
Sent: Friday, December 11, 2020 7:23 AM
To: David Stevens &lt;David.Stevens@mnp.ca&gt;
Cc: Hiebert, Codi &lt;Codi.Hiebert@BAYMAG.COM&gt;; Lafond, Gilles &lt;Gilles.Lafond@BAYMAG.COM&gt;; Hunter, Jeff &lt;Jeff.Hunter@BAYMAG.COM&gt;
Subject: Bulk Scale Irregularities
Hi David
Can I get you to look at the bulk scale transfer data into SAP? Thereâ€™s often small irregularities but this one is a bit odd. SAP and the data file both report a tare in weight of 19,300 kg however the scale ticket prints 19,260 kg.
Iâ€™m not concerned about a difference of 40 kgâ€¦Iâ€™m confused on why and how the system reports one thing and prints another.
Kara
[image]
[image]
Kara Masters
Baymag Inc.
Plantsite Operations
Exshaw, Alberta
Canada
Phone: 403-673-3790 ext. 221
Fax: 403-673-3825
Email: kara.masters@baymag.com</t>
  </si>
  <si>
    <t>Rebecka Kowal</t>
  </si>
  <si>
    <t>Rebecka Kowal - Email sent is going into gmail spam on receipent's side</t>
  </si>
  <si>
    <t>Hello â€“ a customer said my emailed are coming up for her as spam and she is not receiving them, she said everyone else is find its just my address
She sent me a screen shot of the error
Please advise if its our end or hers and how to proceed
**We will be now closed ALL Sundays until further notice, sorry for any inconvenience this may cause**
As of Monday, April 6/20 our hours of operation will be reduced, And will close at 9PM Mon-Friday, also starting Sept. 1 we will be closing Saturdays 6pm*
Remember to wash your hands.
Rebecka Kowal
Service Writer
[cid:image001.jpg@01D5635B.C91AFAE0]
11403 â€“ 174 Street Edmonton, AB T5S 2P4
Branch: 780-451-2680 Â Â Â Â Â Â Â Â Â Â  Toll Free:1-800-252-7902Â Â Â Â Â  Direct: 780-451-2680 ext. 1325
Fax: 780-454-5096
Email:Rebecka.kowal@calmont.ca
Website:www.calmont.ca
This email, and any files transmitted with it, are confidential and are intended solely for the use of the individual or entity to which they are addressed. Any unauthorized use or disclosure is prohibited. Please notify the sender if you have received this email in error. Thank you for your co-operation.</t>
  </si>
  <si>
    <t>Terminate - Denise Dodds</t>
  </si>
  <si>
    <t>Please terminate
[image]Â Riccardo Francese
Business Process Manager
T:       +1 (780) 400-7487
C:       +1 (587) 990-0176
F:       +1 (780) 417-6496
E:       RFrancese@siterg.com
W:       WWW.SITERG.COM
#170, 120 Pembina Rd., Sherwood Park, AB, T8H 0M2
The information contained in this e-mail may       contain confidential or privileged material and is intended only for the       stated addressee(s). If you are not the valid addressee, the use,       disclosure, copying or distribution of this information is prohibited and       may be unlawful. If you have received this email message in error, please       notify the sender immediately and delete all copies of the message from       your computer. All information within or opinions expressed in this       message and/or any attachments are those of the author and are not       necessarily those of the Centurion Group.</t>
  </si>
  <si>
    <t>FW: Migrating Vidistar to main server</t>
  </si>
  <si>
    <t>Hi Faizel,
Here is the last email I had between Jordan and Lyndon.
Thanks,
Kim
[image]
Kim Hawkes DVM, DACVIM(Cardiology)
Cardiology Department
E: cardiology@pulseveterinary.ca
P: 780.570.9999
A: 450 Ordze Road, Unit #320.Â  Sherwood Park, AB T8B 0C5
www.pulseveterinary.ca
From: Sumner, Jordan &lt;sumnerj@hitachihealthcare.com&gt;
Sent: August 27, 2020 2:57 PM
To: Kim Hawkes &lt;kimh@pulseveterinary.ca&gt;; Bryce Johnston &lt;Bryce@pulseveterinary.ca&gt;; Lyndon Will &lt;lwill@nextdigital.ca&gt;; John McLaughlin &lt;John.McLaughlin@mnp.ca&gt;
Subject: RE: Migrating Vidistar to main server
Hey Kim,
Lyndon and I got this installed on the server. The new info to send to Vidistar is:
IP: 172.30.144.13
Port: 1104
AET: VIDISTAR
Jordan Sumner
1-888-518-7541 x 109
sumnerj@HitachiHealthcare.com
HITACHI HEALTHCARE AMERICAS
1959 Summit Commerce Park
Twinsburg, OH, USA 44087
Hitachi Healthcare Americas
INNOVATING HEALTHCARE, EMBRACING THE FUTURE
From: Kim Hawkes &lt;kimh@pulseveterinary.ca&gt;
Sent: Thursday, August 27, 2020 11:08 AM
To: Sumner, Jordan &lt;sumnerj@hitachihealthcare.com&gt;; Bryce Johnston &lt;Bryce@pulseveterinary.ca&gt;; Lyndon Will &lt;lwill@nextdigital.ca&gt;; John McLaughlin &lt;John.McLaughlin@mnp.ca&gt;
Subject: Migrating Vidistar to main server
Good day Jordan and team,
I was wondering if we can move VidiStar to the main server.Â  Right now all studies are not sending to VidiStar because it required my workstation to be on and active.Â  My workstation has been in a limping mode as the troubleshooting continues on my system snag causing the monitor issues.Â  Therefore, all my studies this week have not transferred to VidiStar meaning I have no chance in completing reports until this problem is rectified.Â  I suspect moving VidiStar to the server should alleviate this problem.Â  I have included Bryce so that he can help with anything required on our end.
John, and Lyndon, while I think of it, GE requires a port opened up so that they can connect remotely to our echo and ultrasound systems so they can troubleshoot any system problems.
Kind regards,
Kim
[image]
Kim Hawkes DVM, DACVIM(Cardiology)
Cardiology Department
E: cardiology@pulseveterinary.ca
P: 780.570.9999
A: 450 Ordze Road, Unit #320.Â  Sherwood Park, AB T8B 0C5
www.pulseveterinary.ca
The information contained in this communication (including any attachments) is for the sole use of the intended recipient(s) and may contain confidential information. If you are not an intended recipient, do not intercept, read, print, retain, copy, forward, or disseminate this communication. Please immediately destroy the message and notify the sender of this error by email or at 330-425-1313.</t>
  </si>
  <si>
    <t>Quote for a replacement UPS</t>
  </si>
  <si>
    <t>### What company is this quote for?_x000D_
Carry Steel Division of C.W. Carry Ltd._x000D_
  _x000D_
### Who should the quote be addressed to?  _x000D_
 The primary contact in Connectwise  _x000D_
  _x000D_
### Which location is the product for?_x000D_
Edmonton_x000D_
  _x000D_
### Is there an existing ticket on another Connectwise board? If so what is the ticket number?_x000D_
1345129_x000D_
  _x000D_
### Which ND location is it needed at?  _x000D_
 Next Digital Edmonton  _x000D_
  _x000D_
### When is it needed by OR when is the next site visit for the client's location?  _x000D_
Mon 18 Jan, 2021  _x000D_
  _x000D_
### What do you need quoted?_x000D_
Need to have a replacement UPS quoted. The details of the old UPS is:
UPS is a Tripp-Lite, model:  
MODEL: SMART2200RM2U, SERIES AGSM8207
PLUG TYPE; 5-20P
OUTPUT; 120V~ 60Hz, 2200VA, 1920W, 16A
The replacement UPS need 6 battery- backed power outlets</t>
  </si>
  <si>
    <t>Mint Drugs Head Office - Wireless Phone for Head Office</t>
  </si>
  <si>
    <t>Good Afternoon Pat,
We have put together a quote for the request of 1 Panasonic Wireless Phone Model KXTCA185 needed at your head office.
You can review and approve the quote by clicking the link below.
Quote Number: AAAQ19920 
If you have any questions regarding this quote please do not hesitate to reach out.
Thanks,
Cori</t>
  </si>
  <si>
    <t>FW: Quote for a new Eaton device</t>
  </si>
  <si>
    <t>From:realv@rockymountainliquor.ca &lt;realv@rockymountainliquor.ca&gt; 
Sent: Monday, January 11, 2021 12:47 PM
To: Sales - MNP IT Managed Services &lt;sales@mnptechnology.ca&gt;; 'Sales' &lt;sales@nextdigital.ca&gt;
Subject: Quote for a new Eaton device
CAUTION:This email originated from outside of the MNP network. Be cautious of any embedded links and/or attachments.
MISE EN GARDE:Ce courriel ne provient pas du rÃ©seau de MNP. MÃ©fiez-vous des liens ou piÃ¨ces jointes quâ€™il pourrait contenir.
Hello
Curt and Cori
I am in need a bigger Eaton device with more juice. Can I get a quote these device and if they are in stock. Iâ€™m only grabbing one of these and a couple more of the regular, but only once I figure out which Iâ€™m going with.
Eaton 5S 700
Eaton 5S 1000LCD
Eaton 5S 1500G
Eaton 5S 1500LCD
Thanks in advance.
[image]
RÃ©al Verrier
Andersons Liquor IT
realv@rockymountainliquor.ca
780.929.6211</t>
  </si>
  <si>
    <t>O: Drive Saving Access</t>
  </si>
  <si>
    <t>Hi,
Can we get Andrea Ruether the power to save in the O:/ Marketing drive?
Thanks,
Nyle Segovia, Marketing
Group2
Architecture Interior Design Ltd.
630c-10th Street E Saskatoon SK S7H 0G9
T +1Â 306 979 2935 ext. 607
group2.ca
Group2 is committed to being both responsive and responsible in navigating these extraordinary times with everyoneâ€™s safety in mind. Since the outset of the COVID-19 situation, we have enabled our employees to work remotely, allowing us to continue business operations and maintain our client commitments.
This email and any files transmitted with it are confidential and intended solely for the use of the individual or entity to whom they are addressed. If you have received this email in error please notify the system manager. This message contains confidential information and is intended only for the individual named. If you are not the named addressee you should not disseminate, distribute or copy this e-mail.</t>
  </si>
  <si>
    <t>Stephen Faust</t>
  </si>
  <si>
    <t>Stephen Faust - Edmonton Studio Server Room Beep</t>
  </si>
  <si>
    <t>Greetings,
Something in our server room in Edmonton is repeatedly beeping every 15-20 seconds.Â  Can you please advise or send a service technician?Â  Thank you.
Regards,
Stephen Faust, Architect
AAA MRAIC
Group2
Architecture Interior Design Ltd.
900-10150 St NW, Edmonton, AB, T5J 0P6
T +1 780 447 2990 (ext. 524)
group2.ca
Group2 is committed to being both responsive and responsible in navigating these extraordinary times with everyoneâ€™s safety in mind. Since the outset of the COVID-19 situation, we have enabled our employeesto work remotely, allowing us to continue business operations and maintain our client commitments. 
This email and any files transmitted with it are confidential and intended solely for the use of the individual or entity to whom they are addressed. If you have received this email in error please notify thesystem manager. This message contains confidential information and is intended only for the individual named. If you are not the named addressee you should not disseminate, distribute or copy this e-mail.</t>
  </si>
  <si>
    <t>Internal -Receycling of old harddrives and Tape drives</t>
  </si>
  <si>
    <t>FYI,  _x000D_
  _x000D_
 Internal project to dispose of old storage devices tomorrow. Feel free to contact me if you have any concerns.  _x000D_
  _x000D_
Thanks</t>
  </si>
  <si>
    <t>Joseph A. Nagy Professional Corporation</t>
  </si>
  <si>
    <t>Joseph Nagy</t>
  </si>
  <si>
    <t>Adobe Pro - To Edit PDFs</t>
  </si>
  <si>
    <t>### What company is this quote for?_x000D_
Joseph Nagy Corp_x000D_
  _x000D_
### Who should the quote be addressed to?  _x000D_
 The primary contact in Connectwise  _x000D_
  _x000D_
### Which location is the product for?_x000D_
Main_x000D_
  _x000D_
### Is there an existing ticket on another Connectwise board? If so what is the ticket number?_x000D_
1345263_x000D_
  _x000D_
### Which ND location is it needed at?  _x000D_
 Next Digital Edmonton  _x000D_
  _x000D_
### When is it needed by OR when is the next site visit for the client's location?  _x000D_
Mon 11 Jan, 2021  _x000D_
  _x000D_
### What do you need quoted?_x000D_
Pro version of Adobe Reader so that they can edit PDFs. Client has requested it ASAP.</t>
  </si>
  <si>
    <t>[JIRA] (TIAP-999) Box Drive update available</t>
  </si>
  <si>
    <t>Jackie Terry added 1 new comment. Toronto Innovation Acceleration Partners/TIAP-999 Box Drive update available 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
Jackie Terry added 1 new comment.
Toronto Innovation Acceleration Partners
/Â Â   [image] Â  TIAP-999
 Box Drive update available 
[image]  Jackie Terry  1:48Â PMÂ EST
Sorry Chuck, running late, is 2:15 pm today OK?
View issue
Get Jira notifications on your phone! Download the Jira Cloud app for Android or iOS.
Manage notifications   Â â€¢Â    Give feedback   Â â€¢Â    Privacy policy
[image]
[image]
[image]</t>
  </si>
  <si>
    <t>ANNELIESE FRIS - Offboard Allison Yaseniuk</t>
  </si>
  <si>
    <t>### Summary of Issue_x000D_
Offboard Allison Yaseniuk_x000D_
  _x000D_
### Details of Issue_x000D_
Please complete offboarding of Allison Yaseniuk (Saskatchewan studio)_x000D_
  _x000D_
### Have you opened a ticket about this issue before?  _x000D_
 No  _x000D_
  _x000D_
### How many users are impacted by this issue?  _x000D_
 One  _x000D_
  _x000D_
### How would you classify this issue?  _x000D_
 Other</t>
  </si>
  <si>
    <t>Sherwood Park Toyota</t>
  </si>
  <si>
    <t>Jennifer White</t>
  </si>
  <si>
    <t>Quote Request - Sherwood Park Toyota - Quote for cordless headset SAVI700 series</t>
  </si>
  <si>
    <t>### End User Hardware  _x000D_
  _x000D_
### What company is this quote for?_x000D_
Sherwood Park Toyota_x000D_
  _x000D_
### Who made this request and why?_x000D_
Kelly @ reception, wants a cordless headset_x000D_
  _x000D_
### Give this request a name_x000D_
Quote for cordless headset SAVI700 series_x000D_
  _x000D_
### Who should the quote be addressed to?  _x000D_
 Someone else  _x000D_
  _x000D_
### Who should it be addressed to?_x000D_
kpeters@sptoyota.com_x000D_
  _x000D_
### Which location is the product for?_x000D_
Main_x000D_
  _x000D_
### Which ND location is it needed at?  _x000D_
 Next Digital Edmonton  _x000D_
  _x000D_
### When is it needed by OR when is the next site visit for the client's location?  _x000D_
Wed 13 Jan, 2021  _x000D_
  _x000D_
### Do you need labour quoted?  _x000D_
 Yes  _x000D_
  _x000D_
### What products do you need on this quote?  _x000D_
 Accessories (Mice, keyboards, RAM/SSD upgrades etc)  _x000D_
  _x000D_
### Accessories  _x000D_
  _x000D_
### What do you need?  _x000D_
 Other  _x000D_
  _x000D_
### What do you need?_x000D_
SAVI700 series cordless headset or equivalent_x000D_
  _x000D_
### What products do you need quoted?_x000D_
SAV700 series or equivalent cordless headset</t>
  </si>
  <si>
    <t>Concord Consulting Corporation</t>
  </si>
  <si>
    <t>Mike Moreau</t>
  </si>
  <si>
    <t>Veeam O365 Backups</t>
  </si>
  <si>
    <t>### What company is this quote for?_x000D_
concord consulting_x000D_
  _x000D_
### Who should the quote be addressed to?  _x000D_
 The primary contact in Connectwise  _x000D_
  _x000D_
### Which location is the product for?_x000D_
main_x000D_
  _x000D_
### Which ND location is it needed at?  _x000D_
 Next Digital Edmonton  _x000D_
  _x000D_
### When is it needed by OR when is the next site visit for the client's location?  _x000D_
Fri 15 Jan, 2021  _x000D_
  _x000D_
### What do you need quoted?_x000D_
6 x Veeam o365 mailboxes
130 GB SPO/OneDrive</t>
  </si>
  <si>
    <t>[image]
A high-severity alert has been triggered
âš Microsoft 365 compliance center
Severity:â—High
Time:1/11/2021 5:52:03 PM (UTC)
Activity:Protection
Details: 1 message hit on d5fb4215-2fd6-4092-ce41-08d8b6599108-3768954335478600167-1, sent by noreply@dhl.com to doug.forge@igloo.ca at time 1/11/2021 5:52:03 PM.
              View alert details          
Thank you, 
The Office 365 Team
[image]
One Microsoft Way
Redmond, WA
98052-6399 USA
Privacy | Legal</t>
  </si>
  <si>
    <t>Carmen Enman</t>
  </si>
  <si>
    <t>RE: Ticket #1343923/RE: Ticket#1317235/CalmontGroup/Carmen Enman - Loss access to the shared drive -</t>
  </si>
  <si>
    <t xml:space="preserve">I still do not have access, is there anyone able to asist me, thank you
Carmen Enman
Warranty Administrator
[New Calmont Logo]
Volvo Truck Centre Calgary
We`re Customer Driven
5475 â€“ 53rd Street SE Calgary, Alberta, CanadaÂ  T2C 4P6
Tel: (403) 236-1993Â  Extension: 8910
Toll Free: 1-800-463-5943
Email: carmen.enman@calmont.ca
Visit Our Website at: www.calmont.ca
[volvo]
This email and any files transmitted with it are confidential and are intended solely for the use of the individual or entity to which they are addressed. Any unauthorized use or disclosure is prohibited. Please notify the sender if you have received this email in error. Thank you for your co-operation.
</t>
  </si>
  <si>
    <t>[image]
A high-severity alert has been triggered
âš Microsoft 365 compliance center
Severity:â—High
Time:1/11/2021 4:43:47 PM (UTC)
Activity:Protection
Details: 1 message hit on 6a3ed9c1-06b6-467a-23ec-08d8b6500fb9-306992058245817253-1, sent by rbc@support.net to david.dana@igloo.ca at time 1/11/2021 4:43:47 PM.
              View alert details          
Thank you, 
The Office 365 Team
[image]
One Microsoft Way
Redmond, WA
98052-6399 USA
Privacy | Legal</t>
  </si>
  <si>
    <t>Jerry Wilkinson - Pickup loaner QNAP at Landrex</t>
  </si>
  <si>
    <t>### Summary of Issue_x000D_
Pickup loaner QNAP at Landrex_x000D_
  _x000D_
### Details of Issue_x000D_
Landrex was using a loaner QNAP of ours, it needs to be shutdown and brought back to our office and given to Thomas_x000D_
  _x000D_
### Have you opened a ticket about this issue before?  _x000D_
 No  _x000D_
  _x000D_
### How many users are impacted by this issue?  _x000D_
 One  _x000D_
  _x000D_
### How would you classify this issue?  _x000D_
 Minor Inconvenience</t>
  </si>
  <si>
    <t>Noah Sander</t>
  </si>
  <si>
    <t>National Neon - DNS and Domain hosting</t>
  </si>
  <si>
    <t>### What company is this quote for?_x000D_
National Neon_x000D_
  _x000D_
### Who should the quote be addressed to?  _x000D_
 The primary contact in Connectwise  _x000D_
  _x000D_
### Which location is the product for?_x000D_
Main_x000D_
  _x000D_
### Is there an existing ticket on another Connectwise board? If so what is the ticket number?_x000D_
1345178_x000D_
  _x000D_
### Which ND location is it needed at?  _x000D_
 Next Digital Edmonton  _x000D_
  _x000D_
### When is it needed by OR when is the next site visit for the client's location?  _x000D_
Mon 11 Jan, 2021  _x000D_
  _x000D_
### What do you need quoted?_x000D_
Domain and DNS hosting. Their ex-developer dropped the domain immediately and nothing got transferred.</t>
  </si>
  <si>
    <t>Danielle Gidilewich</t>
  </si>
  <si>
    <t>RE: Dan Gunderson Service Email Group</t>
  </si>
  <si>
    <t>Hi,
Can you please add Dan Gunderson to the bobcat of Edmonton service group email?
Thanks!
Warm regards,
Danielle Gidilewich
Service Supervisor
EDMONTON â€¢ NISKU â€¢ FORT McMURRAY
[Bobcat of Edmonton White on Orange (2)][The Mulching Specialists]
Weâ€™re Customer Driven
14566 Yellowhead Trail, Edmonton, Alberta, T5L 3C5
T:Â 780-448-4522Â  C: 780-905-0151Â  F: 780-452-1816
Email:danielle.gidilewich@calmont.ca
Visit Our Website at:Â www.calmont.ca
This email and any files transmitted with it are confidential and are intended solely for the use of the individual or entity to which they are
addressed. Any unauthorized use or disclosure is prohibited. Please notify the sender if you have received this email in error. Thank you
for your co-operation.</t>
  </si>
  <si>
    <t>RE: Sandman Hotel EDM - Service Order 47570</t>
  </si>
  <si>
    <t>Good Morning,
Hope all had a good weekend!
Just wanted to follow up with the request I sent on Friday last week. Any ideas to when someone might be able to go to site? 
Thank you, 
Ryan Arnold
Service Coordinator
T:Â Â Â  604.856.9155
TF:Â  877.856.9155
ServiceCoordinator@NATGisIT.ca 
NATGisIT.caÂ  
ITÂ Â  |Â Â  CommunicationsÂ Â  |Â Â  Security CamerasÂ Â  |Â Â  Network Cabling
-----Original Message-----
From: Ryan Arnold 
Sent: Friday, January 08, 2021 9:04 AM
To: Dave Beharrell &lt;Dave.Beharrell@mnp.ca&gt;; Support - MNP IT Managed Services &lt;support@mnptechnology.ca&gt;
Subject: Sandman Hotel EDM - Service Order 47570
Hi Dave,
We have a request for a Technician to go to the Sandman Hotel Edmonton. The Chop Phone system is having issues and it is a Norstar system with no remote access. They have 2 phones that are acting strange. Can you please help us with this request? If so when might someone be available to go to site?
Thank you, 
Ryan Arnold
Service Coordinator
T:Â Â Â  604.856.9155
TF:Â  877.856.9155
ServiceCoordinator@NATGisIT.ca 
NATGisIT.caÂ  
ITÂ Â  |Â Â  CommunicationsÂ Â  |Â Â  Security CamerasÂ Â  |Â Â  Network Cabling</t>
  </si>
  <si>
    <t>Dan Gunderson Service Email Group</t>
  </si>
  <si>
    <t>Warren Stevenson</t>
  </si>
  <si>
    <t>Project Request - MFP - Switch and APs for Warren Stevenson Home</t>
  </si>
  <si>
    <t>### What company is this quote for?_x000D_
MFP Resources_x000D_
  _x000D_
### Who should the quote be addressed to?  _x000D_
 Someone else  _x000D_
  _x000D_
### Who should it be addressed to?_x000D_
Warren@mfpresources.com_x000D_
  _x000D_
### Which location is the product for?_x000D_
Warren Stevenson's Home_x000D_
  _x000D_
### Is there an existing ticket on another Connectwise board? If so what is the ticket number?_x000D_
1345189_x000D_
  _x000D_
### Which ND location is it needed at?  _x000D_
 Next Digital Edmonton  _x000D_
  _x000D_
### When is it needed by OR when is the next site visit for the client's location?  _x000D_
Mon 18 Jan, 2021  _x000D_
  _x000D_
### What do you need quoted?_x000D_
24-port GB switch - unmanaged - brand not important
3 Wireless access points - brand not important
installation</t>
  </si>
  <si>
    <t>Out of Office Message Required for Frank Lonardelli - URGENT</t>
  </si>
  <si>
    <t>Good morning,
Can you please put an out of office reply for Frank as per below as soon as possible.
Thank you for your email. I am currently out of the office with limited access to my email and will be unable to respond to your message till Monday, January 18th. If anything is critical, please contact Carla Oâ€™Neil at Carla.oneil@arlingtonstreet.ca.
I will try to reply as best I can.
Thank you,
CARLA O'NEIL
```
D I R E C T O R  O F  C O R P O R A T E  S E R V I C E S
```
t.Â 403-266-5000 Ext. 213 |Â Â c.Â 403-463-9076
Suite 400, 1550 5 St SWÂ  
Calgary, Alberta T2R 1K3
```
arlingtonstreet.caFacebookÂ Â |Â Â TwitterÂ  |Â Â LinkedInÂ  |Â Â YouTube
```
Important COVID-19 Notice: Please note that we remain OPEN FOR BUSINESS but, as a result of COVID-19, our office is closed to the general public and open to clients by appointment only until further notice. With most of our staff now working remotely, please continue to contact us by email (preferably), or by phone, but note that there may be delays in checking voice messages remotely. We appreciate your continued business and patience during this unprecedented time.
The information in this email and any attachments is sent by ARLINGTON STREET INVESTMENTS and is intended to be confidential and for the use of only the individual or entity named above. The information may be protected by solicitor-client privilege, work product immunity or other legal principles. If the reader of this message is not the intended recipient, you are notified that unauthorized review, retention, dissemination, distribution, copying or other use of or taking any action in reliance upon this information is strictly prohibited. If you received this email in error, please notify us immediately by email reply and delete or destroy this message and any copies</t>
  </si>
  <si>
    <t>Spam</t>
  </si>
  <si>
    <t>Hi there. Not sure why I received this. ??
Thanks,
Kathy
Kathy Saunderson, B.Comm
Professional Development OfficerÂ 
The Alberta Association of Architects
780.432.0224 ext. 218
Please note that AAA staff are working remotely due to the COVID situation. The Duggan House is closed to the public until further notice. We strive to maintain a high level of service and will respond within 3 business days. Please visit www.aaa.ab.ca for further updates and thank you for your patience during extraordinary times.</t>
  </si>
  <si>
    <t>Justin Suttis</t>
  </si>
  <si>
    <t>http to https redirects - excluding subdomains</t>
  </si>
  <si>
    <t>Hello,
We need to set up http redirects on our websites webserver.
The server IP is 50.57.5.75
It is hosted through rackspace. We recently had a security certificate updated on it so I believe it is managed by you. If not, let me know.
We need all pages on the site www.youracsa.ca to redirect automatically to https.
We need to exclude the subdomains for the site as they are legacy pages and break if they try to run with a security certificate.
The specific subdomains to exclude are:
portal.youracsa.ca
eaudit.youracsa.ca
These cannot be included in the http redirect.
Thank you,
JUSTIN SUTTISÂ |Â Application Analyst, Information Systems
Alberta Construction Safety Association</t>
  </si>
  <si>
    <t>Trouble printing in colour</t>
  </si>
  <si>
    <t>Good morning,
Printing colour worked fine until I ticked the â€œPrint in grayscale (black and white) for one document. Now the option is greyed out and unable to be changed now that I need to back to printing in Colour.
Iâ€™d greatly appreciate it if you can please take a look:
[image]
Cheersm
Kevin Fee
Phone:Â  403-275-4444
Fax:Â Â Â Â Â  403-275-3387
Cell:Â Â Â Â Â 403-870-9082
Email:Â kfee@nationalneon.com
[NationalNeon-2012-Letterhead]
4940 â€“ 102nd Avenue SE | Calgary, AB | T2C 2X8
www.nationalneon.com</t>
  </si>
  <si>
    <t>RE: Refurbished Telephone Handset</t>
  </si>
  <si>
    <t>CAUTION: This email originated from outside of the MNP network. Be cautious of any embedded links and/or attachments.
MISE EN GARDE: Ce courriel ne provient pas du rÃ©seau de MNP. MÃ©fiez-vous des liens ou piÃ¨ces jointes quâ€™il pourrait contenir.
Can you get/order 3 refurbished phones?
Thank you and Best Regards,
W. Mark Simpson
Chief Financial &amp; Operating Officer
(CFO &amp; COO)
O 780-417-1955C 587-341-4016
[cid:ii_iq2kwc921_155a254f2c0782f5]
Mark.Simpson@keymay.com
www.keymay.com
53169 Range Road 225
Sherwood Park, AB T8H 4T7
IMPORTANT NOTICE: This message is intended for the individual or entity to which it is addressed and may contain information that is privileged, confidential, and/or exempt from disclosure under applicable law. If you are not the intended recipient, you are hereby notified that copying, forwarding or other dissemination or distribution of this message is prohibited and that taking any action in reliance on the content of this message is to be avoided. Should you receive this e-mail in error, please notify the sender immediately via e-mail or call (780) 417-1955 and delete this message from your system. Thank you.
************************************************************
From: Shawn Parks &lt;Shawn.Parks@mnp.ca&gt;
Sent: January-10-21 1:05 PM
To: Mark Simpson &lt;Mark.Simpson@keymay.com&gt;; Sales - MNP IT Managed Services &lt;sales@mnptechnology.ca&gt;
Cc: ITMS Board Sales &lt;itms.boardsales@mnp.ca&gt;
Subject: RE: Refurbished Telephone Handset
Hello Mark,
We donâ€™t have any refurbished sets on the shelve at the moment, having said that we have some used phones that are in really good shape.
The used phones would be $55.00 each, would you like us to provide you with a quote for these and if so how many would you like us to quote you?
Shawn Parks
Business Development
PH.Â +1 7804246398 Ext 321
14505 114th Avenue NW
Edmonton, AB
T5M2Y8
Shawn.Parks@mnp.ca
mnp.ca
[image]
[image]
From: Mark Simpson &lt;Mark.Simpson@keymay.com&gt;
Sent: January-07-21 3:01 PM
To: Shawn Parks &lt;Shawn.Parks@mnp.ca&gt;; Sales - MNP IT Managed Services &lt;sales@mnptechnology.ca&gt;
Cc: ITMS Board Sales &lt;itms.boardsales@mnp.ca&gt;; Mark Simpson &lt;Mark.Simpson@keymay.com&gt;
Subject: RE: Refurbished Telephone Handset
CAUTION:This email originated from outside of the MNP network. Be cautious of any embedded links and/or attachments.
MISE EN GARDE:Ce courriel ne provient pas du rÃ©seau de MNP. MÃ©fiez-vous des liens ou piÃ¨ces jointes quâ€™il pourrait contenir.
We would be looking for three (3) handsets.
Thank you and Best Regards,
W. Mark Simpson
Chief Financial &amp; Operating Officer
(CFO &amp; COO)
O 780-417-1955C 587-341-4016
[cid:ii_iq2kwc921_155a254f2c0782f5]
Mark.Simpson@keymay.com
www.keymay.com
53169 Range Road 225
Sherwood Park, AB T8H 4T7
IMPORTANT NOTICE: This message is intended for the individual or entity to which it is addressed and may contain information that is privileged, confidential, and/or exempt from disclosure under applicable law. If you are not the intended recipient, you are hereby notified that copying, forwarding or other dissemination or distribution of this message is prohibited and that taking any action in reliance on the content of this message is to be avoided. Should you receive this e-mail in error, please notify the sender immediately via e-mail or call (780) 417-1955 and delete this message from your system. Thank you.
************************************************************
From: Shawn Parks &lt;Shawn.Parks@mnp.ca&gt;
Sent: January-07-21 12:52 PM
To: Sales - MNP IT Managed Services &lt;sales@mnptechnology.ca&gt;; Mark Simpson &lt;Mark.Simpson@keymay.com&gt;
Cc: ITMS Board Sales &lt;itms.boardsales@mnp.ca&gt;
Subject: RE: Refurbished Telephone Handset
Hello Mark,
How many phones are you looking for?
Shawn Parks
Business Development
PH.Â +1 7804246398 Ext 321
14505 114th Avenue NW
Edmonton, AB
T5M2Y8
Shawn.Parks@mnp.ca
mnp.ca
[image]
[image]
From: Sales - MNP IT Managed Services &lt;sales@mnptechnology.ca&gt;
Sent: January-07-21 8:27 AM
To: Shawn Parks &lt;Shawn.Pa...</t>
  </si>
  <si>
    <t>[image]
A high-severity alert has been triggered
âš Microsoft 365 compliance center
Severity:â—High
Time:1/11/2021 10:38:39 AM (UTC)
Activity:Protection
Details: 1 message hit on 06439258-4ad6-4251-cfa3-08d8b61d0720-17219242767705189545-1, sent by RoseGutierrez@gmail.com to frank@igloo.ca at time 1/11/2021 10:38:39 AM.
              View alert details          
Thank you, 
The Office 365 Team
[image]
One Microsoft Way
Redmond, WA
98052-6399 USA
Privacy | Legal</t>
  </si>
  <si>
    <t>ThinPrint Renewal Notice</t>
  </si>
  <si>
    <t>Office Guardians</t>
  </si>
  <si>
    <t>Stephen Ramkissoon</t>
  </si>
  <si>
    <t>Unhealthy identity synchronization notification: January 10, 2021 21:27 UTC</t>
  </si>
  <si>
    <t>Find out how to troubleshoot this issue.Â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[Microsoft Azure]
--- ---
---
Your identity synchronization from on-premises is unhealthy
On January 10, 2021 21:27 UTC, Azure Active Directory did not register a synchronization attempt from the identity synchronization tool in the last 24 hours for AMP Financial Inc. [ampfinancial.onmicrosoft.com].
For information on troubleshooting this issue, please see the directory synchronization troubleshooter resource.
--- ---
--- 
Do not reply to this message. It was sent from an unmonitored email account.
--- ---
---
[Facebook][Twitter][YouTube][LinkedIn]
--- ---
--- 
Privacy Statement
Microsoft Corporation, One Microsoft Way, Redmond, WA 98052
[Microsoft]
--- ---
---
[image]</t>
  </si>
  <si>
    <t>Hello Mark,
We donâ€™t have any refurbished sets on the shelve at the moment, having said that we have some used phones that are in really good shape.
The used phones would be $55.00 each, would you like us to provide you with a quote for these and if so how many would you like us to quote you?
Shawn Parks
Business Development
PH.Â +1 7804246398 Ext 321
14505 114th Avenue NW
Edmonton, AB
T5M2Y8
Shawn.Parks@mnp.ca
mnp.ca[image]
[image]
From: Mark Simpson &lt;Mark.Simpson@keymay.com&gt;
Sent: January-07-21 3:01 PM
To: Shawn Parks &lt;Shawn.Parks@mnp.ca&gt;; Sales - MNP IT Managed Services &lt;sales@mnptechnology.ca&gt;
Cc: ITMS Board Sales &lt;itms.boardsales@mnp.ca&gt;; Mark Simpson &lt;Mark.Simpson@keymay.com&gt;
Subject: RE: Refurbished Telephone Handset
CAUTION:This email originated from outside of the MNP network. Be cautious of any embedded links and/or attachments.
MISE EN GARDE:Ce courriel ne provient pas du rÃ©seau de MNP. MÃ©fiez-vous des liens ou piÃ¨ces jointes quâ€™il pourrait contenir.
We would be looking for three (3) handsets.
Thank you and Best Regards,
W. Mark Simpson
Chief Financial &amp; Operating Officer
(CFO &amp; COO)
O 780-417-1955C 587-341-4016
[cid:ii_iq2kwc921_155a254f2c0782f5]
Mark.Simpson@keymay.com
www.keymay.com
[image]
[image]
From: Sales - MNP IT Managed Services &lt;sales@mnptechnology.ca&gt;
Sent: January-07-21 8:27 AM
To: Shawn Parks &lt;Shawn.Parks@mnp.ca&gt;
Cc: ITMS Board Sales &lt;itms.boardsales@mnp.ca&gt;
Subject: FW: Refurbished Telephone Handset
From: Terry Morin &lt;Terry.Morin@mnp.ca&gt;
Sent: Wednesday, January 6, 2021 5:32 PM
To: Mark Simpson &lt;Mark.Simpson@keymay.com&gt;; Terry Morin &lt;tmorin@nextdigital.ca&gt;
Cc: Barbara Lingelbach &lt;Barb.Lingelbach@keymay.com&gt;; Sales - MNP IT Managed Services &lt;sales@mnptechnology.ca&gt;
Subject: RE: Refurbished Telephone Handset
Hi Mark,
Iâ€™m pretty sure they are still available but I will Cc our sales group for current pricing.
Thanks,
Terry
Terry Morin
Project Specialist
PH.Â +1 7804246398
14505 114th Avenue NW
Edmonton, AB
T5M2Y8
Terry.Morin@mnp.ca
mnp.ca
53169 Range Road 225
Sherwood Park, AB T8H 4T7
IMPORTANT NOTICE: This message is intended for the individual or entity to which it is addressed and may contain information that is privileged, confidential, and/or exempt from disclosure under applicable law. If you are not the intended recipient, you are hereby notified that copying, forwarding or other dissemination or distribution of this message is prohibited and that taking any action in reliance on the content of this message is to be avoided. Should you receive this e-mail in error, please notify the sender immediately via e-mail or call (780) 417-1955 and delete this message from your system. Thank you.
************************************************************</t>
  </si>
  <si>
    <t>Unhealthy identity synchronization notification: January 10, 2021 9:26 UTC</t>
  </si>
  <si>
    <t>Find out how to troubleshoot this issue.Â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[Microsoft Azure]
--- ---
---
Your identity synchronization from on-premises is unhealthy
On January 10, 2021 9:26 UTC, Azure Active Directory did not register a synchronization attempt from the identity synchronization tool in the last 24 hours for AMP Financial Inc. [ampfinancial.onmicrosoft.com].
For information on troubleshooting this issue, please see the directory synchronization troubleshooter resource.
--- ---
--- 
Do not reply to this message. It was sent from an unmonitored email account.
--- ---
---
[Facebook][Twitter][YouTube][LinkedIn]
--- ---
--- 
Privacy Statement
Microsoft Corporation, One Microsoft Way, Redmond, WA 98052
[Microsoft]
--- ---
---
[image]</t>
  </si>
  <si>
    <t>Domain Renewal Notice - Expires 08-FEB-2021</t>
  </si>
  <si>
    <t>Investigate Notifications - Gateway Telus Main Went Down - sophos@lfservices.ca</t>
  </si>
  <si>
    <t>Dear Administrator,
You are receiving this auto-generated message from Sophos Notification System to inform Change in Gateway Status.
Gateway: Telus Main
Gateway IP address: 173.183.218.1
Gateway Interface: Port3
Status: Down
Time: 02:17:06
Model NumberFirmware versionAppliance KeyAppliance IP (LAN)Appliance configured in HA?
--- --- --- --- --- 
XG105wSFOS 17.5.13 MR-13C1403BD2KG3HM9E192.168.200.1No
Please do not reply to this message.
Refer support  if you require more details.</t>
  </si>
  <si>
    <t>Morgan McLean</t>
  </si>
  <si>
    <t xml:space="preserve">Morgan - interent issue </t>
  </si>
  <si>
    <t>Scribe transcribed your voicemail message. On Sat Jan 09 2021 01:12 MST, a caller from +17805709999 said: 
Hi it's Morgan calling from Post Veterinary in Sherwood Park I'm just calling because our Internet is down. We don't know what's going on if you can give us a call back that be great 780-570-9999 thanks bye.
You have a new voicemail message.
New Voice Message
--- 
From:Pulse Vet 
(780) 570-9999
--- 
To:Emergency Support
--- 
Time:Sat Jan 09 2021 01:12 MST
--- 
Duration:00:11
---
VM-ID:20930259:20799451
Month to date usage: 8 messages / 00:05:00 (hh:mm:ss)</t>
  </si>
  <si>
    <t>Dieter Blank</t>
  </si>
  <si>
    <t>Jennifer Ausman</t>
  </si>
  <si>
    <t>Default PDF program keeps reverting to edge</t>
  </si>
  <si>
    <t>### Summary of Issue_x000D_
Maclab Development Group / Jennifer - Default PDF program keeps reverting to edge_x000D_
  _x000D_
### Details of Issue_x000D_
Jennifer reopened an old ticket but reporting a different issue.
She is advising she keeps having to change her default pdf back to nuance, but had to leave when I called her._x000D_
  _x000D_
### Have you opened a ticket about this issue before?  _x000D_
 No  _x000D_
  _x000D_
### How many users are impacted by this issue?  _x000D_
 One  _x000D_
  _x000D_
### How would you classify this issue?  _x000D_
 Minor Inconvenience</t>
  </si>
  <si>
    <t>.NET error</t>
  </si>
  <si>
    <t xml:space="preserve">Hope to have this resolved next week.
I am also getting this error message now too
[image]
Carmen Enman
Warranty Administrator
[New Calmont Logo]
Volvo Truck Centre Calgary
We`re Customer Driven
5475 â€“ 53rd Street SE Calgary, Alberta, CanadaÂ  T2C 4P6
Tel: (403) 236-1993Â  Extension: 8910
Toll Free: 1-800-463-5943
Email: carmen.enman@calmont.ca
Visit Our Website at: www.calmont.ca
[volvo]
This email and any files transmitted with it are confidential and are intended solely for the use of the individual or entity to which they are addressed. Any unauthorized use or disclosure is prohibited. Please notify the sender if you have received this email in error. Thank you for your co-operation.
</t>
  </si>
  <si>
    <t>Moved user from AZRDSTEST to IBSG-WVD-PD-0</t>
  </si>
  <si>
    <t>In the coming day, we are shutting down the AZRDSTEST server and move all on IBSG-WVD-PD-0
Currently, they login through a client Windows Desktop client (https://docs.microsoft.com/en-us/windows-server/remote/remote-desktop-services/clients/windowsdesktop)Â @Fidelis Uduehi will be updating the document.Â If anyone needs to understand, give me a call so I can discussÂ Amin Hirji</t>
  </si>
  <si>
    <t>Quote Request - Align Ortho - Upgrade computer Lenovo M700 Desktop Tiny, serial # MJ059TB7</t>
  </si>
  <si>
    <t>### End User Hardware  _x000D_
  _x000D_
### What company is this quote for?_x000D_
Align Ortho_x000D_
  _x000D_
### Who made this request and why?_x000D_
Melody Baldry - Aging computer_x000D_
  _x000D_
### Give this request a name_x000D_
Upgrade computer Lenovo M700 Desktop Tiny, serial # MJ059TB7_x000D_
  _x000D_
### Who should the quote be addressed to?  _x000D_
 The primary contact in Connectwise  _x000D_
  _x000D_
### Which location is the product for?_x000D_
Head Office_x000D_
  _x000D_
### Is there an existing ticket on another Connectwise board? If so what is the ticket number?_x000D_
1343260_x000D_
  _x000D_
### Which ND location is it needed at?  _x000D_
 Next Digital Edmonton  _x000D_
  _x000D_
### When is it needed by OR when is the next site visit for the client's location?  _x000D_
Fri 15 Jan, 2021  _x000D_
  _x000D_
### Do you need labour quoted?  _x000D_
 Yes  _x000D_
  _x000D_
### What products do you need on this quote?  _x000D_
 Accessories (Mice, keyboards, RAM/SSD upgrades etc)  _x000D_
  _x000D_
### Accessories  _x000D_
  _x000D_
### What do you need?  _x000D_
 RAM Upgrade  _x000D_
 HDD/SSD  _x000D_
  _x000D_
### Ram Upgrade_x000D_
4gb to 8gb_x000D_
  _x000D_
### HDD/SSD  _x000D_
 250GB SSD  _x000D_
  _x000D_
### What form factor is the drive bay this needs to be installed into?  _x000D_
 I don't know  _x000D_
  _x000D_
### What is the serial number, make and model of the device(s) that needs the new drive?_x000D_
Lenovo M700 Desktop Tiny, serial # MJ059TB7_x000D_
  _x000D_
### What products do you need quoted?_x000D_
SSD and RAM upgrade (to 8gb)</t>
  </si>
  <si>
    <t>Mostafa ( Mo) Kamal</t>
  </si>
  <si>
    <t>Hello,Â 
I hope you had a wonderful holiday season!
I am reaching out to determine how everything is going with the cordless phones. We are hoping that everything is functioning correctly and the calls are no longer dropping? Can you please confirm this for us.Â 
Thank you,Â 
Have a wonderful day and a Happy New Year
Kristina DeGagne
Commercial Customer Service Representative
Phone: Â (780) 988-7233 ExtÂ 876
Toll Free:Â 1 (866) 926-7233
Website: Â www.libertysecurity.ca
[image]</t>
  </si>
  <si>
    <t>Michelle Rose - Folders &amp; Files missing from S: All General Corporate Information</t>
  </si>
  <si>
    <t>MNP,
In attempting to save some photos into the S:\All General Corporate Information folder, I noticed there are several folders missing, I would guess about 10. I was in there yesterday and everything was intact. Can you assist with retrieving please. I did try a Search of the S: drive, but nothing was found.
Thanks.
Michelle
Michelle Rose       BA
Manager, Communications &amp; Corporate Relations/Human Resources
EÂ Â Â Â Â  mrose@mhkinsurance.com
DÂ Â Â Â  587.525.6047Â 
CÂ Â Â Â  780.983.2976
12316-107 Avenue, Edmonton, AB  T5M 1Z1
www.mhkinsurance.com
[image]
[image]
We're here to help with your insurance needs. Emails       and phone calls are still encouraged. Appointments are required for       in-office broker meetings. Please wear a mask when       visiting.
MHK welcomes       e-Transfer payments to banking@mhkinsurance.â€‰com.
If you       receive this email in error, please notify us by reply email and destroy       this message. MHK complies with Canada's Anti-Spam and Alberta's PIPA       Legislations. If you no longer wish to receive emails from MHK, please       reply with 'Unsubscribe' in the subject   line.</t>
  </si>
  <si>
    <t>Lorna Baxandall - School 2020-21 Rep Address book access change</t>
  </si>
  <si>
    <t>Good Afternoon,
Could I please have the following changed on the 2020-21 School rep address book list.
Take off â€“ Mona Timko â€“ Mona.Timko@ecsd.net
Add:Â  Bobbi-Jean Robertson â€“ Bobbi-Jean.Robertson@ecsd.net
Thank you!
Lorna
[ECT Local 54 green-blue.jpg]Lorna Baxandall
Administrative Coordinator
Edmonton Catholic Teachers
Local 54 of the Alberta Teachersâ€™ Association
W: (780) 451 1196
lorna.baxandall@ecteachers.ca</t>
  </si>
  <si>
    <t>RE:  Client Portal</t>
  </si>
  <si>
    <t>Hi there,
Please add the MNP IT Managed Client Portal to Pierre Plamondonâ€™s desk top as soon as possible.
Thank you,
Cheryl Waldo
Senior Executive Assistant
Pilgrims Hospice Society
9808 â€“ 148 Street
Edmonton ABÂ  T5N 3E8
T. 780.413.9801 ext. 240 / T. 587.414.5043 (direct)
*Home of the new Roozen Family Hospice Centre
[image]</t>
  </si>
  <si>
    <t>Printing Problem</t>
  </si>
  <si>
    <t>Good afternoon,
Could I have someone call me on my cell as I am working from home today.Â  7802218320.Â  Daniel Shaw fixed my printing problem on Wednesday, I go in again today into my laptop to print and I cannot print.Â  It is checked off (Brother printer), but does not respond to the print.Â  Test page does not print either.Â  I have done a complete shut down of the laptop and printer.Â  I have tried printing in the cloud and outside the cloud, does not work.
Thanks!
Lorna
[ECT Local 54 green-blue.jpg]Lorna Baxandall
Administrative Coordinator
Edmonton Catholic Teachers
Local 54 of the Alberta Teachersâ€™ Association
W: (780) 451 1196
lorna.baxandall@ecteachers.ca</t>
  </si>
  <si>
    <t>Calmont Juliah Bilinske</t>
  </si>
  <si>
    <t>Good morning,Â  Juliah has no internet service for her computer or phonesÂ  Can you please call her cell phone at 780-995-2302 to see if you can get her fixed up
Thanks, Sandra
Sandra Bianchini
Accounts Payable Manager
[cid:image003.jpg@01D5B195.DC690050]
11403 â€“ 174 Street, Edmonton, Alberta, T5S 2P4
Branch: 780-451-2680Â Â Â Â  Toll Free: 1-800-252-7902Â Â Â Â  Extension 1275
Email:sandra.bianchini@calmont.ca orpayables@calmont.ca
Website:www.calmont.ca
This email, and any files transmitted with it, are confidential and are intended solely for the use of the individual or entity to which they are addressed. Any unauthorized use or disclosure is prohibited. Please notify the sender if you have received this email in error. Thank you for your co-operation.</t>
  </si>
  <si>
    <t>Employee Email</t>
  </si>
  <si>
    <t>Are you please able to have an email created for Joel Cabillo.
You can mirror the account for detailing@lexusofedmonton.ca.
Thank you and happy Friday!
Best Regards,
[image]
Tina Fagan | Assistant to Executives | Lexus of Edmonton 
Tel: 780-466-8300 | tfagan@lexusofedmonton.caÂ  |www.lexusofedmonton.ca
[image]
Lexus of Edmonton family member since 2014</t>
  </si>
  <si>
    <t>New Distribution List</t>
  </si>
  <si>
    <t>Happy Friday MNP!
Please re-establish our Crisis Management Team (CMT) distribution list and include:
Monique Auffrey
Rachel Anand
Carolyn Frew
Linda Tickner
Lisa Stebbins
Susan Herman
Kim Savard
Leanna Craig
Much thanks,
Leanna
[image]
Leanna Craig, MA, CCC, CPHR
HR Manager
T: 403.205.5243 |E: LeannaC@caryacalgary.ca| C: 403.830.3569
180, 839 5 Ave SW | Calgary, AB | T2P 3C8
[image]Â [image][instagram-1675670]Â [image]
carya (formerly Calgary Family Services)
Stay up to date with the latest carya news, programs, and events by signing up for ourmonthly newsletter.
In the spirit of our efforts to promote reconciliation, we acknowledge the traditional territories and oral practices of the Blackfoot, the Tsuut'ina, the Stoney Nakoda First Nations, the MÃ©tis Nation Region 3, and all people who make their homes in the Treaty 7 region of Southern Alberta. We also respectfully acknowledge that the province of Alberta is comprised of Treaty 6, Treaty 7, and Treaty 8 territory, the traditional lands of First Nations and MÃ©tis peoples.
No form of electronic communication is secure and may be intercepted by others. Carya cannot guarantee the receipt of electronic communication nor a timely response. Where communication is confidential or time sensitive we recommend you call 403-269-9888 during business hours (Monday-Friday, 8:30am-4:30pm). For immediate crisis response please contact the Distress Centre Crisis Line at 403-266-HELP (4537) and in case of an emergency dial 911.
This e-mail is intended solely for the person or entity to which it is addressed and may contain confidential and/or privileged information. Any review, dissemination, copying, printing, forwarding or other use of this e-mail by persons or entities other than the addressee is prohibited. If you have received this e-mail in error, please contact the sender immediately and delete the material from your computer.</t>
  </si>
  <si>
    <t>Adobe</t>
  </si>
  <si>
    <t>Hi,
I am having this message pop up when trying to convert PDF to word.
[image]
Thanks,
Carie Campbell
Office Manager
T:
F:
780.459.5263
780.459.1220
carie@landrex.com
220Â SummitÂ PlazaÂ 190Â BoudreauÂ RoadÂ St.Â AlbertÂ ABÂ T8NÂ 6B9Â //Â landrex.com
[image]
PrivateÂ andÂ confidentialÂ â€‘Â TheÂ informationÂ transmittedÂ isÂ intendedÂ onlyÂ forÂ theÂ personÂ orÂ entityÂ toÂ whichÂ itÂ isÂ addressedÂ andÂ mayÂ containÂ proprietary,Â businessâ€‘confidentialÂ and/orÂ 
privilegedÂ material.Â IfÂ youÂ areÂ notÂ theÂ intendedÂ recipientÂ ofÂ thisÂ messageÂ youÂ areÂ herebyÂ notifiedÂ thatÂ anyÂ use,Â review,Â retransmission,Â dissemination,Â distribution,Â reproductionÂ orÂ anyÂ 
actionÂ takenÂ inÂ relianceÂ uponÂ thisÂ messageÂ isÂ prohibited.Â IfÂ youÂ receivedÂ thisÂ inÂ error,Â pleaseÂ contactÂ theÂ senderÂ andÂ deleteÂ theÂ messageÂ andÂ anyÂ relatedÂ attachmentsÂ orÂ copies.</t>
  </si>
  <si>
    <t>ADP login on Mozilla Firefox</t>
  </si>
  <si>
    <t>Good morning,
Just wanted to reach out as weâ€™ve had several requests this week for the ADP login page. Currently, when you open Firefox, ourcarya webpage automatically appears on the first tab. I was wondering if we could add a second tab on Firefox that automatically directs to the ADP login page for easy access â€“ please advise if this is possible to set-up in Firefox.
ADP Login page is: https://workforcenow.adp.com
Thank you,
Angeli
[image]
Angeli AlipioBBA
HR Generalist
T: 403.205.5233 |E: AngeliA@caryacalgary.ca| F: 403.205.5281
180, 839 5 Ave SW | Calgary, AB | T2P 3C8
[image]Â [image]Â [image]
carya (formerly Calgary Family Services)
We are working remotely to help Calgarians through the COVID-19 pandemic. Please reach out to us if you need support.carya is here for you.
In the spirit of our efforts to promote reconciliation, we acknowledge the traditional territories and oral practices of the Blackfoot, the Tsuut'ina, the Stoney Nakoda First Nations, the MÃ©tis Nation Region 3, and all people who make their homes in the Treaty 7 region of Southern Alberta. We also respectfully acknowledge that the province of Alberta is comprised of Treaty 6, Treaty 7, and Treaty 8 territory, the traditional lands of First Nations and MÃ©tis peoples.
No form of electronic communication is secure and may be intercepted by others. Carya cannot guarantee the receipt of electronic communication nor a timely response. Where communication is confidential or time sensitive we recommend you call 403-269-9888 during business hours (Monday-Friday, 8:30am-4:30pm). For immediate crisis response please contact the Distress Centre Crisis Line at 403-266-HELP (4537) and in case of an emergency dial 911.
This e-mail is intended solely for the person or entity to which it is addressed and may contain confidential and/or privileged information. Any review, dissemination, copying, printing, forwarding or other use of this e-mail by persons or entities other than the addressee is prohibited. If you have received this e-mail in error, please contact the sender immediately and delete the material from your computer.</t>
  </si>
  <si>
    <t>Edward Da Silva</t>
  </si>
  <si>
    <t>Edward Da Silva - Office Photocopiers</t>
  </si>
  <si>
    <t>Hello
My office copier is not able to scan to email as it says it needs a user and password? Also the copier in the main office is also saying that there is a network error when trying t scan to email.
Thank you!
ED DASILVAÂ |Â Facilities Coordinator
AlbertaConstruction Safety Association
[image]
225 Parsons Road SW |Â Edmonton ABÂ |Â T6X 0W6
DirectÂ 780.732.7757 |Â Toll FreeÂ 1.800.661.ACSA (2272) Ext 7757
www.youracsa.ca
[image][image][image][image]</t>
  </si>
  <si>
    <t>QuoteValet: ND - OrderForm - Field Kit Resupply Poundmaker's Lodge</t>
  </si>
  <si>
    <t>CAUTION: This email originated from outside of the MNP network. Be cautious of any embedded links and/or attachments.
MISE EN GARDE: Ce courriel ne provient pas du rÃ©seau de MNP. MÃ©fiez-vous des liens ou piÃ¨ces jointes quâ€™il pourrait contenir.
[image]
780-424-6398
14505 114th Avenue NW, Edmonton, AB, T5M 2Y8
Dear Curt Giacomoni,
This is an automated notification from the QuoteValet system.
Your customer Poundmaker's Lodge placed OrderForm Order # QVAO1279. ND Employee: Darryl Burkhardt
Ticket: 1328461
Order Details:
ND - OrderForm - Field Kit Resupply - Poundmaker's Lodge 
From IP Address: 50.65.166.192
To view or review the OrderForm order on QuoteValet at any time Click here.
This email was created using QuoteValet - The online quote delivery and acceptance vehicle forQuoteWerks.</t>
  </si>
  <si>
    <t>[image]
A high-severity alert has been triggered
âš Microsoft 365 compliance center
Severity:â—High
Time:1/8/2021 4:20:14 PM (UTC)
Activity:Protection
Details: 1 message hit on 40bd7e6c-a645-49d3-fab4-08d8b3f1458f-4657608654964226871-1, sent by rbc@support.net to bob.kelm@igloo.ca at time 1/8/2021 4:20:14 PM.
              View alert details          
Thank you, 
The Office 365 Team
[image]
One Microsoft Way
Redmond, WA
98052-6399 USA
Privacy | Legal</t>
  </si>
  <si>
    <t>Les Bryan - Deactivate Mike Demonnin email account</t>
  </si>
  <si>
    <t>### Summary of Issue_x000D_
Deactivate Mike Demonnin email account_x000D_
  _x000D_
### Details of Issue_x000D_
Mike Demonnin's email account can be deactivated._x000D_
  _x000D_
### Have you opened a ticket about this issue before?  _x000D_
 Yes  _x000D_
  _x000D_
### How many users are impacted by this issue?  _x000D_
 One  _x000D_
  _x000D_
### How would you classify this issue?  _x000D_
 Minor Inconvenience</t>
  </si>
  <si>
    <t>Remove email accounts from my outlook</t>
  </si>
  <si>
    <t>Hello,
Can you remove the following from my outlook.
 Chiko Ngandu â€“ no longer working here and no more emails should be coming through to him.
 Calgary office Shared Calendar â€“ and remove anything else that might be residual.
[image]
MATTHEW NASBY, CRSP, CSP, P. GSCÂ |Â COR Manager
Alberta Construction Safety Association
225 Parsons Road SW |Â Edmonton ABÂ |Â T6X 0W6
TÂ 780.453.3311 ext. 1855 |Â FÂ 780.455.1120 |Â TFÂ 1.800.661.ACSA (2272)
www.youracsa.ca
[cid:image001.png@01D3E2E9.BD9014B0][cid:image002.png@01D3E2E9.BD9014B0][cid:image004.png@01D3E2E9.BD9014B0][cid:image005.png@01D3E2E9.BD9014B0]</t>
  </si>
  <si>
    <t>Chris Esau's forwarded emails /// auto-reply</t>
  </si>
  <si>
    <t>Hello,
Can you please stop the forwarded emailing coming to me from Chris Esauâ€™s email address? 99% of it is junk/spam mail anyways. If anything have a autoreply message stating that this email is no longer valid please contact COR@yourACSA.ca . or something to that effect.
Kind regards,
MATTHEW NASBY, CRSP, CSP, P. GSCÂ |Â COR Manager
Alberta Construction Safety Association
225 Parsons Road SW |Â Edmonton ABÂ |Â T6X 0W6
TÂ 780.453.3311 ext. 1855 |Â FÂ 780.455.1120 |Â TFÂ 1.800.661.ACSA (2272)
www.youracsa.ca
[cid:image001.png@01D3E2E9.BD9014B0][cid:image002.png@01D3E2E9.BD9014B0][cid:image004.png@01D3E2E9.BD9014B0][cid:image005.png@01D3E2E9.BD9014B0]</t>
  </si>
  <si>
    <t>Hi
Please set up an email, user name and password for Dan Gunderson.Â He will be working out of Calmont Equipment, Edmonton.Â  Please set him up the same as Danielle Gidilewich
His start date is January 8, 2021.
With Thanks,
Cheryl Trenchard, PCP
Human Resources &amp; Payroll Supervisor
[cid:image001.jpg@01D407CC.BE04B790]
14610 Yellowhead Trail NW Edmonton, AB, T5L 3C5
Branch: 780-482-0281Â Â Â  Cell: 587-930-2091Â Â  Fax: 780-482-0278
Email:cheryl.trenchard@calmont.ca
Website:www.calmont.ca
This email, and any files transmitted with it, are confidential and are intended solely for the use of the individual or entity to which they are addressed. Any unauthorized use or disclosure is prohibited. Please notify the sender if you have received this email in error. Thank you for your co-operation.</t>
  </si>
  <si>
    <t>Rachelle Fagnan</t>
  </si>
  <si>
    <t>Rachelle - Fagnan - Unable to Locate Printer</t>
  </si>
  <si>
    <t>Printer E77830 Color has not been installed. I have no printer set up or it's under a different name.</t>
  </si>
  <si>
    <t>Cree-Con Construction</t>
  </si>
  <si>
    <t>Karma Hunter</t>
  </si>
  <si>
    <t>Taylor Rutberg</t>
  </si>
  <si>
    <t>RSVP Ministries</t>
  </si>
  <si>
    <t>Paul Design</t>
  </si>
  <si>
    <t>SENAF</t>
  </si>
  <si>
    <t>Kouame Adie</t>
  </si>
  <si>
    <t>Belinda Lang</t>
  </si>
  <si>
    <t>Search function on RDS don't work anymore</t>
  </si>
  <si>
    <t>You canâ€™t press start and start typing anymore like you used to and canâ€™t add things to the taskbar, can we change this
[image]Â Riccardo Francese
Business Process Manager
T:       +1 (780) 400-7487
C:       +1 (587) 990-0176
F:       +1 (780) 417-6496
E:       RFrancese@siterg.com
W:       WWW.SITERG.COM
#170, 120 Pembina Rd., Sherwood Park, AB, T8H 0M2
The information contained in this e-mail may       contain confidential or privileged material and is intended only for the       stated addressee(s). If you are not the valid addressee, the use,       disclosure, copying or distribution of this information is prohibited and       may be unlawful. If you have received this email message in error, please       notify the sender immediately and delete all copies of the message from       your computer. All information within or opinions expressed in this       message and/or any attachments are those of the author and are not       necessarily those of the Centurion Group.</t>
  </si>
  <si>
    <t>Becky Hume - Saving to a flash drive from a remote session</t>
  </si>
  <si>
    <t>### Summary of Issue_x000D_
Saving to a flash drive from a remote session_x000D_
  _x000D_
### Details of Issue_x000D_
Hi There, I am trying to save a file to my flash drive on a remote session. When i plug in the flash drive it only shows up on my laptop that i am using to remote in on. I tried copying the file and pasting it into the drive.  It said it was copying but an half hour later nothing had changed.  Is there a way to do this?_x000D_
  _x000D_
### Have you opened a ticket about this issue before?  _x000D_
 No  _x000D_
  _x000D_
### How many users are impacted by this issue?  _x000D_
 One  _x000D_
  _x000D_
### How would you classify this issue?  _x000D_
 Minor Inconvenience  _x000D_
  _x000D_
### If your callback number is different than what's on record, please provide it below._x000D_
780-235-2515</t>
  </si>
  <si>
    <t>Talita Cordeiro</t>
  </si>
  <si>
    <t>Talita Cordeiro - Issue to open Outllook</t>
  </si>
  <si>
    <t>### Summary of Issue_x000D_
Issue to open Outllook_x000D_
  _x000D_
### Details of Issue_x000D_
Hi There, for whatever reason i can't open my outllok, it was working properly and no issue until few min ago. It says, "the set of folders cannot be open". If you could please take a look._x000D_
  _x000D_
### Have you opened a ticket about this issue before?  _x000D_
 No  _x000D_
  _x000D_
### How many users are impacted by this issue?  _x000D_
 One  _x000D_
  _x000D_
### How would you classify this issue?  _x000D_
 Work Impacting</t>
  </si>
  <si>
    <t>Mariela Araya</t>
  </si>
  <si>
    <t>Mariela Araya - FW: Messages quarantined since Jan 06, 2021 03:00 PM for marielaa@caryacalgary.ca</t>
  </si>
  <si>
    <t>Hi there, can someone call me regarding the email below? I am trying to apply for Police Check and I am not sure what to do to allow this email and be able to confirm my application.
Thanks
Mariela
From: do-not-reply@cloud.sophos.com &lt;do-not-reply@cloud.sophos.com&gt;
Sent: Thursday, January 7, 2021 3:00 PM
To: Mariela Araya &lt;MarielaA@caryacalgary.ca&gt;
Subject: Messages quarantined since Jan 06, 2021 03:00 PM for marielaa@caryacalgary.ca
Quarantine Summary
[Sophos]
2Â messagesÂ quarantined sinceJan 06, 2021 03:00 PM for marielaa@caryacalgary.ca.Manage quarantined messages
Displaying 2 out of 2 messages.
SUBJECT
FROM
RECEIVED
ACTIONS
Confirm your Police Information Check account profile on ePIC Online System
&lt;noreply@calgarypolice.esolutionsgroup.ca&gt;
Jan 07, 2021 11:39 AM
ReleaseÂ Â |Â Delete
Confirm your Police Information Check account profile on ePIC Online System
&lt;noreply@calgarypolice.esolutionsgroup.ca&gt;
Jan 07, 2021 09:52 AM
ReleaseÂ Â |Â Delete
Â© 2013 - 2019 Sophos Limited. All rights reserved.
Sophos.com
No form of electronic communication is secure and may be intercepted by others. Carya cannot guarantee the receipt of electronic communication nor a timely response. Where communication is confidential or time sensitive we recommend you call 403-269-9888 during business hours (Monday-Friday, 8:30am-4:30pm). For immediate crisis response please contact the Distress Centre Crisis Line at 403-266-HELP (4537) and in case of an emergency dial 911.
This e-mail is intended solely for the person or entity to which it is addressed and may contain confidential and/or privileged information. Any review, dissemination, copying, printing, forwarding or other use of this e-mail by persons or entities other than the addressee is prohibited. If you have received this e-mail in error, please contact the sender immediately and delete the material from your computer.</t>
  </si>
  <si>
    <t>Jaryd Long</t>
  </si>
  <si>
    <t>Jaryd Long - Paging System</t>
  </si>
  <si>
    <t>Hi guys,
Weâ€™re having issues with the paging system to the pre-owned building, itâ€™s routinely not working. Can we get this addressed permanently as this is something that seems to up every other month.
All the best,
[Pic]
Jaryd Long | Sales Consultant | Lexus of Edmonton 
Cell: 780-707-6324|Tel: 780-466-8300 |jlong@lexusofedmonton.caÂ |www.lexusofedmonton.ca
[image]
Lexus of Edmonton family member since 2016</t>
  </si>
  <si>
    <t>Terminate user</t>
  </si>
  <si>
    <t>Please terminate Raff langit from Email and computer access.Â  Please forward all his emails to Robert Watson.
Thank you,
Best Regards,
[image]
Kyle Richard | Vice President | Lexus of Edmonton 
Tel: 780-466-8300 | krichard@lexusofedmonton.ca Â |www.lexusofedmonton.ca
[image]
Lexus of Edmonton family member since 2009</t>
  </si>
  <si>
    <t>Hello Dave,
Attached is the new work order for the Cascades Edmonton project that Kevin emailed you about. Once I hear more on the equipment status I or Kelli, from Warehouse, will reach out with shipping information. 
Thank you, 
Ryan Arnold
Service Coordinator
T:Â Â Â  604.856.9155
TF:Â  877.856.9155
ServiceCoordinator@NATGisIT.ca 
NATGisIT.caÂ  
ITÂ Â  |Â Â  CommunicationsÂ Â  |Â Â  Security CamerasÂ Â  |Â Â  Network Cabling</t>
  </si>
  <si>
    <t>Francisco Echegaray</t>
  </si>
  <si>
    <t>Suspicious email</t>
  </si>
  <si>
    <t>Hello:
I received this email that seems suspicious.
Thank you
Francisco Echegaray, M.Sc., P.Ag.
Approval Officer
Natural Resources Conservation Board
303- Provincial Building 4920 - 51 Street
Red Deer, AB T4N 6K8
T: (403)340-5027
www.nrcb.ca
PPlease do not print this email unless absolutely necessary. The trees will thank you!
This communication is intended for the use of the recipient to which it is addressed, and may contain confidential, personal and/or priviledged information.Â  Please contact us immediately if you are not the intended recipients of this communication, and do not copy, distribute, or take action relying on it.Â  Any communication received in error, or subsequent reply, should be deleted or destroyed.</t>
  </si>
  <si>
    <t>Bankert, Tyson - Termination, December 31, 2020</t>
  </si>
  <si>
    <t>Good afternoon,
Please be advised that Tyson Bankertâ€™s last official day withcarya was on December 31, 2020 â€“ please see attached form for details to terminate his access ASAP, and let me know if you have any questions.
Thanks,
Angeli
[image]
Angeli AlipioBBA
HR Generalist
T: 403.205.5233 |E: AngeliA@caryacalgary.ca| F: 403.205.5281
180, 839 5 Ave SW | Calgary, AB | T2P 3C8
[image]Â [image]Â [image]
carya (formerly Calgary Family Services)
We are working remotely to help Calgarians through the COVID-19 pandemic. Please reach out to us if you need support.carya is here for you.
In the spirit of our efforts to promote reconciliation, we acknowledge the traditional territories and oral practices of the Blackfoot, the Tsuut'ina, the Stoney Nakoda First Nations, the MÃ©tis Nation Region 3, and all people who make their homes in the Treaty 7 region of Southern Alberta. We also respectfully acknowledge that the province of Alberta is comprised of Treaty 6, Treaty 7, and Treaty 8 territory, the traditional lands of First Nations and MÃ©tis peoples.
No form of electronic communication is secure and may be intercepted by others. Carya cannot guarantee the receipt of electronic communication nor a timely response. Where communication is confidential or time sensitive we recommend you call 403-269-9888 during business hours (Monday-Friday, 8:30am-4:30pm). For immediate crisis response please contact the Distress Centre Crisis Line at 403-266-HELP (4537) and in case of an emergency dial 911.
This e-mail is intended solely for the person or entity to which it is addressed and may contain confidential and/or privileged information. Any review, dissemination, copying, printing, forwarding or other use of this e-mail by persons or entities other than the addressee is prohibited. If you have received this e-mail in error, please contact the sender immediately and delete the material from your computer.</t>
  </si>
  <si>
    <t>CAUTION: This email originated from outside of the MNP network. Be cautious of any embedded links and/or attachments.
MISE EN GARDE: Ce courriel ne provient pas du rÃ©seau de MNP. MÃ©fiez-vous des liens ou piÃ¨ces jointes quâ€™il pourrait contenir.
We would be looking for three (3) handsets.
Thank you and Best Regards,
W. Mark Simpson
Chief Financial &amp; Operating Officer
(CFO &amp; COO)
O 780-417-1955C 587-341-4016
[cid:ii_iq2kwc921_155a254f2c0782f5]
Mark.Simpson@keymay.com
www.keymay.com
53169 Range Road 225
Sherwood Park, AB T8H 4T7
IMPORTANT NOTICE: This message is intended for the individual or entity to which it is addressed and may contain information that is privileged, confidential, and/or exempt from disclosure under applicable law. If you are not the intended recipient, you are hereby notified that copying, forwarding or other dissemination or distribution of this message is prohibited and that taking any action in reliance on the content of this message is to be avoided. Should you receive this e-mail in error, please notify the sender immediately via e-mail or call (780) 417-1955 and delete this message from your system. Thank you.
************************************************************
From: Shawn Parks &lt;Shawn.Parks@mnp.ca&gt;
Sent: January-07-21 12:52 PM
To: Sales - MNP IT Managed Services &lt;sales@mnptechnology.ca&gt;; Mark Simpson &lt;Mark.Simpson@keymay.com&gt;
Cc: ITMS Board Sales &lt;itms.boardsales@mnp.ca&gt;
Subject: RE: Refurbished Telephone Handset
Hello Mark,
How many phones are you looking for?
Shawn Parks
Business Development
PH.Â +1 7804246398 Ext 321
14505 114th Avenue NW
Edmonton, AB
T5M2Y8
Shawn.Parks@mnp.ca
mnp.ca
[image]
[image]
From: Sales - MNP IT Managed Services &lt;sales@mnptechnology.ca&gt;
Sent: January-07-21 8:27 AM
To: Shawn Parks &lt;Shawn.Parks@mnp.ca&gt;
Cc: ITMS Board Sales &lt;itms.boardsales@mnp.ca&gt;
Subject: FW: Refurbished Telephone Handset
From: Terry Morin &lt;Terry.Morin@mnp.ca&gt;
Sent: Wednesday, January 6, 2021 5:32 PM
To: Mark Simpson &lt;Mark.Simpson@keymay.com&gt;; Terry Morin &lt;tmorin@nextdigital.ca&gt;
Cc: Barbara Lingelbach &lt;Barb.Lingelbach@keymay.com&gt;; Sales - MNP IT Managed Services &lt;sales@mnptechnology.ca&gt;
Subject: RE: Refurbished Telephone Handset
Hi Mark,
Iâ€™m pretty sure they are still available but I will Cc our sales group for current pricing.
Thanks,
Terry
Terry Morin
Project Specialist
PH.Â +1 7804246398
14505 114th Avenue NW
Edmonton, AB
T5M2Y8
Terry.Morin@mnp.ca
mnp.ca
[image]
[image]
From: Mark Simpson &lt;Mark.Simpson@keymay.com&gt;
Sent: Wednesday, January 6, 2021 5:07 PM
To: Terry Morin &lt;tmorin@nextdigital.ca&gt;
Cc: Mark Simpson &lt;Mark.Simpson@keymay.com&gt;; Barbara Lingelbach &lt;Barb.Lingelbach@keymay.com&gt;
Subject: Refurbished Telephone Handset
CAUTION:This email originated from outside of the MNP network. Be cautious of any embedded links and/or attachments.
MISE EN GARDE:Ce courriel ne provient pas du rÃ©seau de MNP. MÃ©fiez-vous des liens ou piÃ¨ces jointes quâ€™il pourrait contenir.
Hi Terry,
You folks had previously supplied a refurbished Nortel phone as per below.Â  Can you check and see if we could purchase a few more?
Nortel Avaya T7316e
[image]
Thank you and Best Regards,
W. Mark Simpson
Chief Financial &amp; Operating Officer
(CFO &amp; COO)
O 780-417-1955C 587-341-4016
[cid:ii_iq2kwc921_155a254f2c0782f5]
Mark.Simpson@keymay.com
www.keymay.com
53169 Range Road 225
Sherwood Park, AB T8H 4T7
IMPORTANT NOTICE: This message is intended for the individual or entity to which it is addressed and may contain information that is privileged, confidential, and/or exempt from disclosure under applicable law. If you are not the intended recipient, you are hereby notified that copying, forwarding or other dissemination or distribution of this message is prohibited and that taking any action in reliance on the content of this message is to be avoided. Should you receive this e-mail in error, please notify the sender immediately via e-mail or call (780) 417-1955 and delete this message from your system. Thank you.
****...</t>
  </si>
  <si>
    <t>RE: New Request Computers</t>
  </si>
  <si>
    <t>emails setup on domain host, unsure of what setup next digital has at this point.
https://webmail.emailsrvr.com
-----Original Message-----
From: "Corey Hobbs" &lt;corey.hobbs@mcmurraymetis.org&gt;
Sent: Thursday, January 7, 2021 12:41pm
To: "Next Digital Support" &lt;help@nextdigital.ca&gt;
Cc: "Shawn Myers" &lt;shawn.myers@infinitymetiscorp.com&gt;, "myles@cacorp.ca" &lt;myles@cacorp.ca&gt;
Subject: New Request Computers
Hello,
We have two new computer from Next Digital that we need set up.
They are plugged in an turn on and the Next Digital sticker numbers are:
-10201
-10202
They are for Infinity Metis Corp. our business arm.
The emails are  firstname.lastname@infinitymetisorp.com
Itâ€™s a google account and the login in is:
Shawn.myers@infinitymetiscorp.com
Metis1935!
MS Login:
Infinity@infinitymetis.onmicrosoft.com
Metis1935!
The two new employees are:
Heidi Taves
user : heidi.taves@infinitymetiscorp.com
pass: F5Y7xDPWH7CqdyK
Shannon Earle
user: shannon.earle@infinitymetiscorp.com
pass: F5Y7xDPWH7CqdyK
Please let me know if any questions,
Thanks Corey
[MM-logo-3 - Copy]
Corey Hobbs
Director, Communications and Government Relations
McMurray MÃ©tis (MNA Local 1935)
441 Sakitawaw Trail
Fort McMurray, Alberta
T9H 4P3
Phone:Â Â Â Â Â  780.743.2659
Email:Â Â Â Â Â Â  corey.hobbs@mcmurraymetis.org
Facebook: www.facebook.com/McMurrayMetis
Twitter:Â Â Â Â  www.twitter.com/McMurrayMetis
Website:Â Â  www.McMurrayMetis.org
P Please consider the environment before printing this email.
This message contains confidential information and is intended only for the named addressees.
If you believe that you received this email in error please notify the original sender and delete all copies.</t>
  </si>
  <si>
    <t>Quote Request - Calmont - Windows 10 Pro license key for windows 10 Pro Virtual Machine</t>
  </si>
  <si>
    <t>### End User Hardware  _x000D_
  _x000D_
### What company is this quote for?_x000D_
Calmont_x000D_
  _x000D_
### Who made this request and why?_x000D_
Mike Farhat on behalf of Laury Schmidt_x000D_
  _x000D_
### Give this request a name_x000D_
Windows 10 Pro license key for windows 10 Pro Virtual Machine_x000D_
  _x000D_
### Who should the quote be addressed to?  _x000D_
 The primary contact in Connectwise  _x000D_
  _x000D_
### Which location is the product for?_x000D_
Calgary-Truck Center_x000D_
  _x000D_
### Is there an existing ticket on another Connectwise board? If so what is the ticket number?_x000D_
1334850_x000D_
  _x000D_
### Which ND location is it needed at?  _x000D_
 Next Digital Calgary  _x000D_
  _x000D_
### When is it needed by OR when is the next site visit for the client's location?  _x000D_
Thu 14 Jan, 2021  _x000D_
  _x000D_
### Do you need labour quoted?  _x000D_
 Yes  _x000D_
  _x000D_
### What products do you need on this quote?  _x000D_
 Accessories (Mice, keyboards, RAM/SSD upgrades etc)  _x000D_
  _x000D_
### Accessories  _x000D_
  _x000D_
### What do you need?  _x000D_
 Other  _x000D_
  _x000D_
### What do you need?_x000D_
-Windows 10 Pro license Key 
-Will transfer "Door Security System" from Laury's machine to dedicate windows 10 Pro virtual machine 
-Laury is aware but Courtney is not_x000D_
  _x000D_
### What products do you need quoted?_x000D_
Windows 10 Pro License key for Windows 10 Pro Virtual Machine</t>
  </si>
  <si>
    <t>Email Group</t>
  </si>
  <si>
    <t>Hello!
Can you please create a new OHS Committee Email Group with the following users:
Robert Watson
Kelli Pratt
Donovan Tordoff
Tina Fagan
Neil McDonald
Chris Pituskin
Ryan Eagle
Thank you!
Best Regards,
[image]
Tina Fagan | Assistant to Executives | Lexus of Edmonton 
Tel: 780-466-8300 | tfagan@lexusofedmonton.caÂ  |www.lexusofedmonton.ca
[image]
Lexus of Edmonton family member since 2014</t>
  </si>
  <si>
    <t>Request to connect home printer for work use</t>
  </si>
  <si>
    <t>Hi there,
Wondering if I could obtain assistance in adding my home printer as an option to my list of printers.Â  Tomorrow morning is more flexible for assistance as I have several meetings this afternoon.
Thank you.
Susan
[image]
Susan Herman
Pronouns: (she/her)
Director, Strong Families in Community
T: 403.205.5248 |E: susanh@caryacalgary.ca| F: 403.205.5281
180, 839 5 Ave SW | Calgary, AB | T2P 3C8
[image]Â [image][instagram-1675670]Â [image]
carya (formerly Calgary Family Services)
Stay up to date with the latest carya news, programs, and events by signing up for ourmonthly newsletter.
In the spirit of our efforts to promote reconciliation, we acknowledge the traditional territories and oral practices of the Blackfoot, the Tsuut'ina, the Stoney Nakoda First Nations, the MÃ©tis Nation Region 3, and all people who make their homes in the Treaty 7 region of Southern Alberta. We also respectfully acknowledge that the province of Alberta is comprised of Treaty 6, Treaty 7, and Treaty 8 territory, the traditional lands of First Nations and MÃ©tis peoples.
No form of electronic communication is secure and may be intercepted by others. Carya cannot guarantee the receipt of electronic communication nor a timely response. Where communication is confidential or time sensitive we recommend you call 403-269-9888 during business hours (Monday-Friday, 8:30am-4:30pm). For immediate crisis response please contact the Distress Centre Crisis Line at 403-266-HELP (4537) and in case of an emergency dial 911.
This e-mail is intended solely for the person or entity to which it is addressed and may contain confidential and/or privileged information. Any review, dissemination, copying, printing, forwarding or other use of this e-mail by persons or entities other than the addressee is prohibited. If you have received this e-mail in error, please contact the sender immediately and delete the material from your computer.</t>
  </si>
  <si>
    <t xml:space="preserve">Chemo office cabling </t>
  </si>
  <si>
    <t>### What company is this quote for?_x000D_
Pulse Veterinary_x000D_
  _x000D_
### Who should the quote be addressed to?  _x000D_
 Someone else  _x000D_
  _x000D_
### Who should it be addressed to?_x000D_
Dr Lukas Kawalilak lukas@pulseveterinary.ca_x000D_
  _x000D_
### Which location is the product for?_x000D_
main office_x000D_
  _x000D_
### Which ND location is it needed at?  _x000D_
 Next Digital Edmonton  _x000D_
  _x000D_
### When is it needed by OR when is the next site visit for the client's location?  _x000D_
Tue 19 Jan, 2021  _x000D_
  _x000D_
### What do you need quoted?_x000D_
materials
 - CAT6 Ft6 cable = 120m
- Cat6 Jacks x 8
- 2' Cat6 patch cords white = 2
- 2' Cat6 patch cords blue = 2
I will need to do a site survey to determine if we have ports available on the switches and in the patch panels</t>
  </si>
  <si>
    <t>Meleena Doroshenko - Email Access for Elizabeth Frolek</t>
  </si>
  <si>
    <t>Good Morning,
Please setup access for Elizabeth Frolek to the following email boxes, group and calendars.
Email account access:
 Accounting (accounting@youracsa.ca)
 Executive Assistant (executiveassistant@youracsa.ca)
Calendar access:
 Accounting
 Executive Assistant
 Dan MacLennan
 Staff Calendar
Please add her to the following email groups:
 All ACSA Staff
Thank you,
MELEENA DOROSHENKO,CPA, CGA | Manager Finance &amp; Accounting
Alberta Construction Safety Association
225 Parsons Road SW |Â Edmonton ABÂ |Â T6X 0W6
TÂ 780.453.3311 ext. 7702 |Â FÂ 780.455.1120 |Â TFÂ 1.800.661.ACSA (2272)
mdoroshenko@youracsa.ca
www.youracsa.ca
CONFIDENTIAL â€“ This e-mail transmission and any documents attached to it may contain information that is confidential or legally privileged. If you are not the intended recipient, or a person responsible for delivering this information to the intended recipient, you are hereby notified that any discourse, copying, distribution or use of this transmission is strictly prohibited.Â  If you have received this transmission in error, please immediately notify the sender and destroy the original transmission, attachments and destroy any hard copies.
Please consider the environment before printing this e-mailâ˜º</t>
  </si>
  <si>
    <t>Kathy Saunderson - spam email</t>
  </si>
  <si>
    <t>Hello. Not sure how the attached made its way through the spam filter. Please block.
Thanks,
Kathy
Kathy Saunderson, B.Comm
Professional Development OfficerÂ 
The Alberta Association of Architects
780.432.0224 ext. 218
Please note that AAA staff are working remotely due to the COVID situation. The Duggan House is closed to the public until further notice. We strive to maintain a high level of service and will respond within 3 business days. Please visit www.aaa.ab.ca for further updates and thank you for your patience during extraordinary times.</t>
  </si>
  <si>
    <t>Shawn Smith - Unable to Access Screen connect or teams on NDDC-RDS07</t>
  </si>
  <si>
    <t>### Summary of Issue_x000D_
Unable to Access Screen connect or teams on NDDC-RDS07_x000D_
  _x000D_
### Details of Issue_x000D_
Screen Connect will not download or open . Teams is not available.
In Chrome the download for screen connect must be allowed and when you go to run it you need Admin privlages_x000D_
  _x000D_
### Have you opened a ticket about this issue before?  _x000D_
 No  _x000D_
  _x000D_
### How many users are impacted by this issue?  _x000D_
 Some  _x000D_
  _x000D_
### How would you classify this issue?  _x000D_
 Work Impacting</t>
  </si>
  <si>
    <t>RE: Change to DataMaster Folder on the SDrive</t>
  </si>
  <si>
    <t>I approve this request thanks
From: Ciara Williams &lt;cwilliams@schizophrenia.ab.ca&gt; 
Sent: Thursday, January 7, 2021 9:25 AM
To: 'Support - MNP IT Managed Services' &lt;support@mnptechnology.ca&gt;
Cc: Rubyann Rice &lt;rrice@schizophrenia.ab.ca&gt;; Wendy Bonertz &lt;wbonertz@schizophrenia.ab.ca&gt;
Subject: Change to DataMaster Folder on the SDrive
Good morning,
Can you please change who can access the DataMaster folder on the SDrive?
We would like to remove everyone who currently has access, excluding cloud users: Ciara Williams, Melissa Welcher, Lily Tomanek and Rubyann Rice.
I have included Rubyann Rice, Provincial Executive Director to provide her approval on this request.
Thanks,
Ciara Williams
Schizophrenia Society of Alberta
Administrative/Fund Development Assistant
4809 48 Avenue
Red Deer, AB, T4N 3T2
phone: (403) 986-9440
cell: (403) 896-7556
fax: (403) 986-9442
www.schizophrenia.ab.ca
[New Year Ebanner Web]</t>
  </si>
  <si>
    <t>[image]
A high-severity alert has been triggered
âš Microsoft 365 compliance center
Severity:â—High
Time:1/7/2021 4:37:29 PM (UTC)
Activity:Protection
Details: 1 message hit on 620e5583-785c-418e-978c-08d8b32a3ef8-9715971439551766111-1, sent by law@allwomencount.net to carrie.lavoie@igloo.ca at time 1/7/2021 4:37:29 PM.
              View alert details          
Thank you, 
The Office 365 Team
[image]
One Microsoft Way
Redmond, WA
98052-6399 USA
Privacy | Legal</t>
  </si>
  <si>
    <t>[image]
A high-severity alert has been triggered
âš Microsoft 365 compliance center
Severity:â—High
Time:1/7/2021 4:36:35 PM (UTC)
Activity:Protection
Details: 1 message hit on 05f9767b-73f9-4b96-269c-08d8b32a303c-9836119359770115627-1, sent by law@allwomencount.net to chad.lefrancois@igloo.ca at time 1/7/2021 4:36:53 PM.
              View alert details          
Thank you, 
The Office 365 Team
[image]
One Microsoft Way
Redmond, WA
98052-6399 USA
Privacy | Legal</t>
  </si>
  <si>
    <t>April Hiebert</t>
  </si>
  <si>
    <t>Printing issues</t>
  </si>
  <si>
    <t xml:space="preserve">Hi,
I was wondering now that I have some time to make my computer free if we could re-open this ticket and get my printing working from my computer.
Thanks,
April Hiebert, Architect
ARCHITECT SAA
Group2
Architecture Interior Design
630c 10th Street E Saskatoon SK S7H 0G9
D +1 306 341 3645
T +1Â 306 979 2935
group2.ca
</t>
  </si>
  <si>
    <t>[image]
A high-severity alert has been triggered
âš Microsoft 365 compliance center
Severity:â—High
Time:1/7/2021 4:32:08 PM (UTC)
Activity:Protection
Details: 1 message hit on 03fc7f1e-1144-4f69-b998-08d8b3298837-3530123752803243170-1, sent by law@allwomencount.net to dale.weller@igloo.ca at time 1/7/2021 4:32:56 PM.
              View alert details          
Thank you, 
The Office 365 Team
[image]
One Microsoft Way
Redmond, WA
98052-6399 USA
Privacy | Legal</t>
  </si>
  <si>
    <t>Change to DataMaster Folder on the SDrive</t>
  </si>
  <si>
    <t>Good morning,
Can you please change who can access the DataMaster folder on the SDrive?
We would like to remove everyone who currently has access, excluding cloud users: Ciara Williams, Melissa Welcher, Lily Tomanek and Rubyann Rice.
I have included Rubyann Rice, Provincial Executive Director to provide her approval on this request.
Thanks,
Ciara Williams
Schizophrenia Society of Alberta
Administrative/Fund Development Assistant
4809 48 Avenue
Red Deer, AB, T4N 3T2
phone: (403) 986-9440
cell: (403) 896-7556
fax: (403) 986-9442
www.schizophrenia.ab.ca
[New Year Ebanner Web]</t>
  </si>
  <si>
    <t>Nicole  McWha - Remove Email Forwarding</t>
  </si>
  <si>
    <t>Good Morning,
On September 30, 2020, I had Jafaru forward all my emails toEH-Asst@cbhfamilylaw.ca to Mikolai while I was away.
I am back at work. Could you please UNforward the emails to him ASAP so that he isnâ€™t getting inundated with duplicate emails?
Thank you!
Yours truly,
Nicole C. McWha
__________________________
Legal Assistant to Erika Hagen
Tel: 780-760-1388 ext. 232
Fax: 780-760-1389
eh-asst@cbhfamilylaw.ca
www.cbhfamilylaw.ca
Given the recent developments with COVID-19 we are respectfully requesting that our clients and colleagues please consider meeting with us via telephone or video conference, whenever possible.Â  If you have recently travelled outside of the province or country, we would ask that you first self-isolate for a period of 14 days prior to any in-person meeting with us.Â  If you are experiencing cold or flu like symptoms, or are otherwise feeling unwell, please reschedule your meetings for 14 days from the date you last experienced symptoms.
We also encourage you to wear a mask when attending at the office (we have masks available, if necessary) and to provide us with your documents electronically or by fax whenever possible before meeting with us.
Thank you for helping us to do our part in keeping our community healthy.
[image]
This email and any attachments are confidential and intended solely for the person or entity to whom it was addressed. If you have received this email in error please let me know right away, delete it and do not disseminate, distribute or copy it. If you are not the intended recipient of this email you are hereby notified that disclosing, copying, distributing or taking any action in reliance on the contents of this information is strictly prohibited.
From: EH Assistant
Sent: Monday, October 5, 2020 2:57 PM
To: Erika Hagen &lt;EHagen@cbhfamilylaw.ca&gt;; Mikolai Anselmi &lt;MAnselmi@cbhfamilylaw.ca&gt;
Subject: FW: Ticket #1284835/Nicole - Needs emails forwarded to Mikolai Waiting on Client
Yes this matter has been resolved, thank you. Please close the ticket. Thank you.
From: Support - MNP IT Managed Services &lt;support@mnptechnology.ca&gt;
Sent: October 4, 2020 10:16 AM
To: EH Assistant &lt;EH-Asst@cbhfamilylaw.ca&gt;
Subject: Ticket #1284835/Nicole - Needs emails forwarded to Mikolai Waiting on Client
[Image removed by sender. MNP]
Hello Nicole,
You have a ticket that has been in the Waiting on Client status for 4 days. Please review the ticket details below and reply to this email at your earliest convenience.
If you require immediate assistance please call us using the numbers at the bottom of this message.
Ticket Details
Ticket Number:
Incident Summary:
1284835
Nicole - Needs emails forwarded to Mikolai
For new service requests, send a new email to support@mnptechnology.ca, or call us at:
Calgary
403-686-4357
Edmonton
780-424-6398
Red Deer
587-273-5062
Toll Free
1-888-224-5770
Full ticket details
Ticket #1284835
Ticket:
Nicole - Needs emails forwarded to Mikolai
Status:
Waiting on Client
Company:
Crerar Badejo Hagen Family Law Group
Contact:
Nicole McWha
Phone:
780-760-1388
Address:
7341 Roper Rd NW
Edmonton, AB T6E 0W4
Discussion:
Wed 9/30/2020/9:55 AM MDT/ Jafaru Akemokwe
Hi Nicole,
I hope this email finds you well.
We hereby wish to notify you that we have enabled mail forwarding from your mailbox toMikolai Anselmi as requested.
While we await confirmation of Changes, please feel free to revert for any clarifications and /or updates
Regards
Jafaru Akemokwe
Support Specialist
PH.Â +1 7804246398
14505 114th Avenue NW
Edmonton, AB
T5M2Y8
Jafaru.Akemokwe@mnp.ca
mnp.ca[image]
[image]
[image]
Wed 9/30/2020/9:13 AM MDT/ Jafaru Akemokwe (time)-
Received a call from Nicole CBH
Nicole (Erikaâ€™s assistant) is going on a temp leave
Nicole would like to inquire about the options of providing mailbox access to Erikaâ€™s Student Lawyer (Mikolai Anselmi)
Explained Options of Mail forwarding and Mailbox Delegation
Nicole Opted to forward the mailbox to Mikolai Anselmi
Logged into...</t>
  </si>
  <si>
    <t>Ben Hsu - Spam email</t>
  </si>
  <si>
    <t>### Summary of Issue_x000D_
Spam email_x000D_
  _x000D_
### Details of Issue_x000D_
I got the spam email. Screenshot attached._x000D_
  _x000D_
### Have you opened a ticket about this issue before?  _x000D_
 No  _x000D_
  _x000D_
### How many users are impacted by this issue?  _x000D_
 One  _x000D_
  _x000D_
### How would you classify this issue?  _x000D_
 Minor Inconvenience</t>
  </si>
  <si>
    <t>FW: Refurbished Telephone Handset</t>
  </si>
  <si>
    <t>From: Terry Morin &lt;Terry.Morin@mnp.ca&gt; 
Sent: Wednesday, January 6, 2021 5:32 PM
To: Mark Simpson &lt;Mark.Simpson@keymay.com&gt;; Terry Morin &lt;tmorin@nextdigital.ca&gt;
Cc: Barbara Lingelbach &lt;Barb.Lingelbach@keymay.com&gt;; Sales - MNP IT Managed Services &lt;sales@mnptechnology.ca&gt;
Subject: RE: Refurbished Telephone Handset
Hi Mark,
Iâ€™m pretty sure they are still available but I will Cc our sales group for current pricing.
Thanks,
Terry
Terry Morin
Project Specialist
PH.Â +1 7804246398
14505 114th Avenue NW
Edmonton, AB
T5M2Y8
Terry.Morin@mnp.ca
mnp.ca
[image]
[image]
From: Mark Simpson &lt;Mark.Simpson@keymay.com&gt; 
Sent: Wednesday, January 6, 2021 5:07 PM
To: Terry Morin &lt;tmorin@nextdigital.ca&gt;
Cc: Mark Simpson &lt;Mark.Simpson@keymay.com&gt;; Barbara Lingelbach &lt;Barb.Lingelbach@keymay.com&gt;
Subject: Refurbished Telephone Handset
CAUTION:This email originated from outside of the MNP network. Be cautious of any embedded links and/or attachments.
MISE EN GARDE:Ce courriel ne provient pas du rÃ©seau de MNP. MÃ©fiez-vous des liens ou piÃ¨ces jointes quâ€™il pourrait contenir.
Hi Terry,
You folks had previously supplied a refurbished Nortel phone as per below.Â  Can you check and see if we could purchase a few more?
Nortel Avaya T7316e
[image]
Thank you and Best Regards,
W. Mark Simpson
Chief Financial &amp; Operating Officer
(CFO &amp; COO)
O 780-417-1955C 587-341-4016
[cid:ii_iq2kwc921_155a254f2c0782f5]
Mark.Simpson@keymay.com
www.keymay.com
53169 Range Road 225
Sherwood Park, AB T8H 4T7
IMPORTANT NOTICE: This message is intended for the individual or entity to which it is addressed and may contain information that is privileged, confidential, and/or exempt from disclosure under applicable law. If you are not the intended recipient, you are hereby notified that copying, forwarding or other dissemination or distribution of this message is prohibited and that taking any action in reliance on the content of this message is to be avoided. Should you receive this e-mail in error, please notify the sender immediately via e-mail or call (780) 417-1955 and delete this message from your system. Thank you.
************************************************************</t>
  </si>
  <si>
    <t>Scott Cunningham</t>
  </si>
  <si>
    <t>Suspect email - low priority</t>
  </si>
  <si>
    <t>Hello,
Please consider blocking this email sender.
This is not impacting my work.
If you have any questions, please contact me.
Scott Cunningham, P.Eng., P.Ag.
NRCB Environmental Specialist
C 403-396-0296
scott.cunningham@nrcb.ca</t>
  </si>
  <si>
    <t>Chris Stollery</t>
  </si>
  <si>
    <t xml:space="preserve">Mailbox/Outlook changes </t>
  </si>
  <si>
    <t>Morning everyone.
Am emailing you with a few requests.
1.Â Â Â Â Â Â Can we remove Kim Williams from the cloud?Â  She resigned from full time work at the beginning of December but was still working part time from home. We will be phasing her out over next few weeks so she no longer needs cloud access.
2.Â Â Â Â Â Â Can we have Kim Williams emails â€œtransferredâ€ to my inbox so I can check and make sure all the appropriate people know she is no longer working there.
3.Â Â Â Â Â Â Can we â€œdeleteâ€ Yvonne Desjardins email from my inbox. This was same scenario as she quit and I had her emails come to me so I could monitor was not missing anything. Itâ€™s been over a year now and nothing comes to her anymore so would like to get rid of that.
Probably not using the right terminology but hope you understanding my requests!
You can call me on my cell at 780-906-6761 if any questions as I am working from home.
Chris Stollery
Orthopaedic Associates
11202-76 Avenue
Edmonton, Alberta
Phone: 780-439-4945</t>
  </si>
  <si>
    <t>SPAM?</t>
  </si>
  <si>
    <t>Jeff Froese
Approval Officer
Natural Resources Conservation Board
#303, 4920 â€“ 51st Street
Red Deer, AB T4N 6K8
Tel: 403-340-5795
Email:jeff.froese@nrcb.ca
Website:www.nrcb.ca
This communication is intended for the use of the recipient to which it is addressed, and may contain confidential, personal and or privileged information. Please contact us immediately if you are not the intended recipients of this communication, and do not copy, distribute, or take action relying on it. Any communication received in error, or subsequent reply, should be deleted.</t>
  </si>
  <si>
    <t>Kerri De Luca</t>
  </si>
  <si>
    <t>Kerri De Luca - Email access on my phone</t>
  </si>
  <si>
    <t>### Summary of Issue_x000D_
Email access on my phone_x000D_
  _x000D_
### Details of Issue_x000D_
Good Morning: For some reason, I do not have access to my work email on my phone anymore, can I request some help getting this access back on my phone.  Thanks_x000D_
  _x000D_
### Have you opened a ticket about this issue before?  _x000D_
 No  _x000D_
  _x000D_
### How many users are impacted by this issue?  _x000D_
 One  _x000D_
  _x000D_
### How would you classify this issue?  _x000D_
 Work Impacting  _x000D_
  _x000D_
### If your callback number is different than what's on record, please provide it below._x000D_
780-686-8839</t>
  </si>
  <si>
    <t>Fiona Vance</t>
  </si>
  <si>
    <t>FW: Account Receivable Needed</t>
  </si>
  <si>
    <t>Spam?
Fiona N. Vance
Chief Legal Officer - Operations, NRCB
Fiona.Vance@nrcb.ca
(780) 422-1952
This communication, including any attachments, is intended for the use of the recipient to which it is addressed, and may contain confidential, personal and/or privileged information. Please contact me immediately if you are not the intended recipient of this communication, and do not copy, distribute, or take action relying on it. Any communication received in error, or subsequent reply, should be double-deleted.
-----Original Message-----
From: cecilia.hernandez@ine.mx mailto:cecilia.hernandez@ine.mx 
Sent: Thursday, January 7, 2021 1:59 AM
To: cecilia.hernandez@ine.mx
Subject: Account Receivable Needed
For Further Information email nfaust@vlamedtechbv.com</t>
  </si>
  <si>
    <t>Good morning,
Please disable Priscilla Dahdonaâ€™s Windows log in and password information.
Please disable emails and no forwarding is necessary
She has left Calmont.
With Thanks,
Cheryl Trenchard, PCP
Human Resources &amp; Payroll Manager
[cid:image001.jpg@01D407CC.BE04B790]
14610 Yellowhead Trail NW Edmonton, AB, T5L 3C5
Branch: 780-482-0281Â Â Â  Cell: 587-930-2091Â Â  Fax: 780-482-0278
Email:cheryl.trenchard@calmont.ca
Website:www.calmont.ca
This email, and any files transmitted with it, are confidential and are intended solely for the use of the individual or entity to which they are addressed. Any unauthorized use or disclosure is prohibited. Please notify the sender if you have received this email in error. Thank you for your co-operation.</t>
  </si>
  <si>
    <t>Your trial will expire on January 14, 2021Â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[Microsoft]
--- ---
---
Your trial is endingâ€”buy a subscription to keep using your product
You have 1 trial that will expire on January 14, 2021. To continue using your product, buy a paid subscription in the Microsoft 365 admin center.
--- ---
--- 
Buy now &gt;
--- ---
--- 
If you donâ€™t purchase a new subscription by January 14, 2021, your trial data will be available to all people in your organization for about 30 days. At that time, the subscription status changes to Disabled, and only admins will have access to trial data for about another 90 days. After that, your trial is permanently deleted.
--- ---
--- 
More information
 How to extend a trial.
 How to cancel a trial.
--- ---
--- 
Your trial that will expire:
ProductTotal licensesStart date
--- --- --- 
MICROSOFT DEFENDER FOR OFFICE 365 (PLAN 2)25December 14, 2020
--- ---
---
Account information
Organization name: Group2 Architecture
Domain: group2.ca
--- ---
---
This is a mandatory service communication. To set your contact preferences or to unsubscribe from other communications , visit the Promotional Communications Manager. Privacy Statement. 
Il sâ€™agit de communications obligatoires. Pour configurer vos prÃ©fÃ©rences de contact pour dâ€™autres communications, accÃ©dez au gestionnaire de communications promotionnelles. DÃ©claration de confidentialitÃ©..
Microsoft Corporation,One Microsoft Way, Redmond, WA 98052
[Microsoft]
--- ---
---
[image]</t>
  </si>
  <si>
    <t>One or more of your domains will auto-renew soon.</t>
  </si>
  <si>
    <t>[image]
Wais, open this email to see which domains need to be renewed and when. Â â€ŒÂ â€ŒÂ â€ŒÂ â€ŒÂ â€ŒÂ â€Œ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 â€ŒÂ â€ŒÂ â€ŒÂ â€ŒÂ â€ŒÂ â€ŒÂ â€ŒÂ â€ŒÂ â€ŒÂ â€ŒÂ â€ŒÂ â€ŒÂ â€ŒÂ â€ŒÂ â€ŒÂ â€ŒÂ â€ŒÂ â€ŒÂ â€ŒÂ â€ŒÂ â€ŒÂ â€ŒÂ â€ŒÂ â€ŒÂ â€ŒÂ â€ŒÂ â€ŒÂ â€ŒÂ â€ŒÂ â€ŒÂ â€ŒÂ â€ŒÂ â€ŒÂ â€ŒÂ â€ŒÂ â€ŒÂ â€ŒÂ â€Œ
[image]
Need help?Contact us.
Wais Essar
One or more of your domains will auto-renew soon.
The good news is you don't need to take any action. We just wanted to let you know what's coming up for automatic renewal since you're the registrant contact for this account. Take a look:
machine-o-matic.com 
Renews:2/6/2021
If you do not renew your domain(s) during the 12-day Renewal Grace Period, you will incur a fee of $80.00 in addition to the domain renewal fee. During this time, the domain name(s) will be moved to parked nameservers and any website or email services associated with the domain name(s) will stop working.Be aware that most domains, including .com, .biz and .net, can only be recovered within a maximum of 30 days after your cancel date. For further information about Domain Renewals or Canceled Domains, review the Domain Registration Agreement.
Please do not reply to this email. Emails sent to this address will not be answered. 
Copyright Â© 2021 MNP Technology Solutions. All rights reserved.</t>
  </si>
  <si>
    <t>Zazula Process Equipment Ltd</t>
  </si>
  <si>
    <t>Joanne Hunt</t>
  </si>
  <si>
    <t>Fortinet Renewal Notice - Support Expires 06-FEB-2021</t>
  </si>
  <si>
    <t>Richard Nault</t>
  </si>
  <si>
    <t>Anastasiya Horan - Setting up new computer</t>
  </si>
  <si>
    <t>Hello,
I bought new computer for my home office and was hoping you can assist me with remote access.
One more question, I donâ€™t have antivirus software installed on it and was wondering if I can be covered by the firmâ€™s firewall.
Please reach me on my cell at (780) 716 7197.
Thank you.
Anastasiya Horan
Office Administrator
Durocher Simpson Koehli &amp; Erler LLP
Old Strathcona Law Offices
7904 Gateway Boulevard
Edmonton, AB T6E 6C3
780-420-6850 (ph)
780-425-9185 (fax)
reception@dursim.com</t>
  </si>
  <si>
    <t>Bruce Hogg</t>
  </si>
  <si>
    <t>Support Required</t>
  </si>
  <si>
    <t>I am currently on site here at Kearl Lake and Iâ€™m trying to access the incident report form-equipment damage and it will not open for me.
Please advise
[image]Â Bruce Hogg
Safety Advisor
E:       BHogg@siterg.com
W:       WWW.SITERG.COM
, , ,
The information contained in this e-mail may       contain confidential or privileged material and is intended only for the       stated addressee(s). If you are not the valid addressee, the use,       disclosure, copying or distribution of this information is prohibited and       may be unlawful. If you have received this email message in error, please       notify the sender immediately and delete all copies of the message from       your computer. All information within or opinions expressed in this       message and/or any attachments are those of the author and are not       necessarily those of the Centurion Group.</t>
  </si>
  <si>
    <t>Lisa Walsh</t>
  </si>
  <si>
    <t>iTrak portal and main</t>
  </si>
  <si>
    <t>Hi,
There seems to be an issue with the itrak portal. Bruce Hogg has been trying to complete an Incident Investigation form but the portal cannot complete the request. You
I have tried using my portal account and it will not allow me to do it either. I can, however, complete using the itrak main.
Can you please look into the portal, and in the meantime, give main access to Bruce? I will add it to his account now in itrak administration.
Thanks!
[image]Â Lisa Walsh
Administrations Manager
T:       +1 (780) 400-7489
C:       +1 (780) 619-6657
F:       +1 (780) 417-6496
E:       LWalsh@siterg.com
W:       WWW.SITERG.COM
#170, 120 Pembina Road, Sherwood Park, AB, T8H 0M2
The information contained in this e-mail may       contain confidential or privileged material and is intended only for the       stated addressee(s). If you are not the valid addressee, the use,       disclosure, copying or distribution of this information is prohibited and       may be unlawful. If you have received this email message in error, please       notify the sender immediately and delete all copies of the message from       your computer. All information within or opinions expressed in this       message and/or any attachments are those of the author and are not       necessarily those of the Centurion Group.</t>
  </si>
  <si>
    <t>Adobe VIP # E1A30C9D82ABE5AFDF2A - Alberta Association Recreation Facility Personnel - Order Process</t>
  </si>
  <si>
    <t>Hi Team,
Can you please process the attached PO: L01062021AARFP.
Also attached is valid Ingram quote for this purchase.
VIP # E1A30C9D82ABE5AFDF2A
registrations@aarfp.com
Unit B, 312 - 3rd Street W
Cochrane, T4C 1A4
Alberta, Canada
Thanks,
Cori
Cori Davidge
Consultant, Technology Solutions
PH.Â +1 4036864357
310 - 4000 4 St SE
Calgary, AB
T2G2W3
Cori.Davidge@mnp.ca
mnp.ca[image]
[image]</t>
  </si>
  <si>
    <t>Lisa Walsh - Add Phone Number for Bruce</t>
  </si>
  <si>
    <t>Hi,
Can you Â please add this phone number to Bruceâ€™s outlook profile. (780) 385-5257
Thanks!
(
[image]Â Lisa Walsh
Administrations Manager
T:       +1 (780) 400-7489
C:       +1 (780) 619-6657
F:       +1 (780) 417-6496
E:       LWalsh@siterg.com
W:       WWW.SITERG.COM
#170, 120 Pembina Road, Sherwood Park, AB, T8H 0M2
The information contained in this e-mail may       contain confidential or privileged material and is intended only for the       stated addressee(s). If you are not the valid addressee, the use,       disclosure, copying or distribution of this information is prohibited and       may be unlawful. If you have received this email message in error, please       notify the sender immediately and delete all copies of the message from       your computer. All information within or opinions expressed in this       message and/or any attachments are those of the author and are not       necessarily those of the Centurion Group.</t>
  </si>
  <si>
    <t>Payne, Zoe - Student, January 13, 2021</t>
  </si>
  <si>
    <t>Good afternoon,
Please be advised that we have a student, Zoe Payne who will be starting her practicum with us on Wednesday, January 13, 2021.
Please review the attached form to set-up her access rights. Once her credentials for Penelope Live and Sandbox, and Carya Email/Cloud are ready, please let me know (please useC@rya2021!# as a temporary password).
Once set-up, please let me know and close the ticket. We will follow-up should there be any changes.
Thanks,
Angeli
[image]
Angeli AlipioBBA
HR Generalist
T: 403.205.5233 | E: AngeliA@caryacalgary.ca| F: 403.205.5281
180, 839 5 Ave SW | Calgary, AB | T2P 3C8
[image]Â [image]Â [image]
carya (formerly Calgary Family Services)
We are working remotely to help Calgarians through the COVID-19 pandemic. Please reach out to us if you need support.carya is here for you.
In the spirit of our efforts to promote reconciliation, we acknowledge the traditional territories and oral practices of the Blackfoot, the Tsuut'ina, the Stoney Nakoda First Nations, the MÃ©tis Nation Region 3, and all people who make their homes in the Treaty 7 region of Southern Alberta. We also respectfully acknowledge that the province of Alberta is comprised of Treaty 6, Treaty 7, and Treaty 8 territory, the traditional lands of First Nations and MÃ©tis peoples.
No form of electronic communication is secure and may be intercepted by others. Carya cannot guarantee the receipt of electronic communication nor a timely response. Where communication is confidential or time sensitive we recommend you call 403-269-9888 during business hours (Monday-Friday, 8:30am-4:30pm). For immediate crisis response please contact the Distress Centre Crisis Line at 403-266-HELP (4537) and in case of an emergency dial 911.
This e-mail is intended solely for the person or entity to which it is addressed and may contain confidential and/or privileged information. Any review, dissemination, copying, printing, forwarding or other use of this e-mail by persons or entities other than the addressee is prohibited. If you have received this e-mail in error, please contact the sender immediately and delete the material from your computer.</t>
  </si>
  <si>
    <t>SAGE error message</t>
  </si>
  <si>
    <t>Good Afternoon,
I just received the below error when logging into SAGE. It seems we are all getting the same error.
[image]
MELEENA DOROSHENKO,CPA, CGA | Manager Finance &amp; Accounting
Alberta Construction Safety Association
225 Parsons Road SW |Â Edmonton ABÂ |Â T6X 0W6
TÂ 780.453.3311 ext. 7702 |Â FÂ 780.455.1120 |Â TFÂ 1.800.661.ACSA (2272)
mdoroshenko@youracsa.ca
www.youracsa.ca
[HelpPreventTheSpread]
CONFIDENTIAL â€“ This e-mail transmission and any documents attached to it may contain information that is confidential or legally privileged. If you are not the intended recipient, or a person responsible for delivering this information to the intended recipient, you are hereby notified that any discourse, copying, distribution or use of this transmission is strictly prohibited.Â  If you have received this transmission in error, please immediately notify the sender and destroy the original transmission, attachments and destroy any hard copies.
Please consider the environment before printing this e-mailâ˜º</t>
  </si>
  <si>
    <t>ATTN: Terry/Dave - Field Law New Hire - Service Ticket #INC0024706 - USER ONBOARDING - Ese Umoh - Ja</t>
  </si>
  <si>
    <t>Hello,
Please see attached form:
1.Â Â Â Â Â Â Â Â Â Full name of staff member, as well as the AD name:Ese Umoh // eumoh
2.Â Â Â Â Â Â Â Â Â Location of staff member (Edm/ Cal/ Ykn):CAL
3.Â Â Â Â Â Â Â Â Â User Group: (Lawyer / Manager / Staff):Staff
4.Â Â Â Â Â Â Â Â Â Do they need to be part of any hunt group: (Reception or Central Services etc):No
5.Â Â Â Â Â Â Â Â Â Do they need mobility? What is the userâ€™s mobile number?No
6.Â Â Â Â Â Â Â Â Â Do they need a DID? (Yes / No)Yes (this will be yes 99/100 times)
7.Â Â Â Â Â Â Â Â Â If they are taking over an DID, what is the DID. N/A (usually a special request)
8.Â Â Â Â Â Â Â Â Â MAC address of the phone that the user needs to be assigned to.N/A (not required)
9.Â Â Â Â Â Â Â Â Â Is Scribe feature required? (Yes/No)No (Yes only for management/lawyers)
10.Â Â Â Â Â Date Due By: Jan 7th, 2021</t>
  </si>
  <si>
    <t>SHPK Consult03 - RDS use all monitors</t>
  </si>
  <si>
    <t>Hi Lance,
When you are in SHPK for the monitor replacement today, could you please check the RDS in Consult 03
The replacement pc in SHPK Consult03 is from the signon workstation. Adebola mentioned that the harddrive has now been replaced in the dead original Consult03 workstation. Weâ€™re excited to have that PC back, as the DYMO and Scanner have not worked on that temp workstation.
The current workstation does not have the RDS icons configured to use all monitors. I have assisted several TCâ€™s to edit the settings, and save, however it is not actually saving the â€œuse all monitorsâ€ setting.
Could you please update this, if the Consult03 workstation is not replaced yet?
Thanks,
Mel
Melody Baldry
Manager &amp; Privacy Officer
Align Orthodontics
Edmonton, Alberta, Canada
Direct: 780.395.2999
Edmonton Main: 780.463.5141
Sherwood Park Main: 780.449.6597
www.alignortho.com
[Email Logo Template]
Confidentiality Notice: This message and any attachments are solely for the intended recipient and may contain confidential or privileged information. If you are not the intended recipient, any disclosure, copying, use, or distribution of the information included in this message and any attachment is prohibited. If you have received this communication in error, please notify myself, by reply email and immediately and permanently delete this message and any attachments.</t>
  </si>
  <si>
    <t>Dunlop, Shelagh - Termination, December 31, 2020</t>
  </si>
  <si>
    <t>Good afternoon,
Please be advised that Shelagh Dunlopâ€™s official last day with carya was on December 31, 2020 â€“ please see attached form for details to terminate her access asap and let me know if you have any questions.
Thanks,
Angeli
No form of electronic communication is secure and may be intercepted by others. Carya cannot guarantee the receipt of electronic communication nor a timely response. Where communication is confidential or time sensitive we recommend you call 403-269-9888 during business hours (Monday-Friday, 8:30am-4:30pm). For immediate crisis response please contact the Distress Centre Crisis Line at 403-266-HELP (4537) and in case of an emergency dial 911.
This e-mail is intended solely for the person or entity to which it is addressed and may contain confidential and/or privileged information. Any review, dissemination, copying, printing, forwarding or other use of this e-mail by persons or entities other than the addressee is prohibited. If you have received this e-mail in error, please contact the sender immediately and delete the material from your computer.</t>
  </si>
  <si>
    <t>Carya Calgary - RDS Issues for Multiple Users</t>
  </si>
  <si>
    <t>### Summary of Issue_x000D_
Carya Calgary / RDS Issues_x000D_
  _x000D_
### Details of Issue_x000D_
Working with Joanne on a different issue and she advised she and other staff are having issues with the RDS. 
It appears RDS has been slow to log in since teams was set up and for herself, she's had it take up to 2 minutes to get past the login screen, and also sometimes gets prompted to log in again on outlook and teams after she logs in, with outlook appearing like it's reloading her emails from scratch.
My suspision is she may be ocassionally getting a temp profile when she logs in but we do need to check on the slow login issue and if we need to prevent Teams from loading on login._x000D_
  _x000D_
### Have you opened a ticket about this issue before?  _x000D_
 No  _x000D_
  _x000D_
### How many users are impacted by this issue?  _x000D_
 Some  _x000D_
  _x000D_
### How would you classify this issue?  _x000D_
 Work Impacting</t>
  </si>
  <si>
    <t>FW: Price and ETA on Cables</t>
  </si>
  <si>
    <t>Curt Giacomoni
Project Estimator
PH.Â +1 7804246398
14505 114th Avenue NW
Edmonton, AB
T5M2Y8
Curt.Giacomoni@mnp.ca
mnp.ca[image]
[image]
From: Gerald Grant &lt;ggrant@northlands.com&gt; 
Sent: Wednesday, January 6, 2021 12:11 PM
To: Curt Giacomoni &lt;Curt.Giacomoni@mnp.ca&gt;
Cc: Flavio Soares &lt;Flavio.Soares@mnp.ca&gt;
Subject: Price and ETA on Cables
CAUTION:This email originated from outside of the MNP network. Be cautious of any embedded links and/or attachments.
MISE EN GARDE:Ce courriel ne provient pas du rÃ©seau de MNP. MÃ©fiez-vous des liens ou piÃ¨ces jointes quâ€™il pourrait contenir.
Hey.
Do you happen to have on short notice 4 x 50 Cat6 Patch Cables? Or can you get them by Friday Morning?
Gerald Grant
Manager Business Technology
Business Technology
northlands.com
Direct: 780-378-6866 ext.6866
Mobile:Â  (780) 932-7124
[image]
IMPORTANT NOTICE OF ADDRESS CHANGE
Please note that our office has moved and we are now located at 2693 Broadmoor Boulevard, Suite 132, Sherwood Park, Alberta, CA, T8H 0G1
Confidentiality: The information transmitted is intended only for the addressee and may contain confidential, proprietary and/or privileged material. Confidentiality, privilege, and/or its proprietary nature are not lost by this information having been sent to the wrong person. Any unauthorized review, copying, distribution or other use of or the taking of any action in reliance upon this information is prohibited. If you receive this in error, please contact the sender immediately and delete or destroy this message and any copies.</t>
  </si>
  <si>
    <t>Samara Kambeitz</t>
  </si>
  <si>
    <t>Samara Kambeitz - cloud issues</t>
  </si>
  <si>
    <t>Good Afternoon,
Yesterday and today I have been having great frustration with the Cloud.Â  It is very slow and is taking a long time to open documents, pdfâ€™s or other files.Â  The Teams app on the cloud continues to crash also.Â  I have heard from a few others that they are experiencing this too so I donâ€™t think it is just my internet connection
If you could look into this for me that would be great!
Warmly,
Samara
[image]
Samara Kambeitz, BHSc
Pronouns: She/Her
Supervisor-Youth Engagement Programs
D: 403-205-5256 |C: 587-891-9638| F: 403-205-5281
samarak@caryacalgary.ca
180, 839 5 Ave SW | Calgary, AB | T2P 3C8
[image]Â [image][instagram-1675670]Â [image]
carya (formerly Calgary Family Services)
Stay up to date with the latest carya news, programs, and events by signing up for ourmonthly newsletter.
In the spirit of our efforts to promote reconciliation, we acknowledge the traditional territories and oral practices of the Blackfoot, the Tsuut'ina, the Stoney Nakoda First Nations, the MÃ©tis Nation Region 3, and all people who make their homes in the Treaty 7 region of Southern Alberta. We also respectfully acknowledge that the province of Alberta is comprised of Treaty 6, Treaty 7, and Treaty 8 territory, the traditional lands of First Nations and MÃ©tis peoples.
No form of electronic communication is secure and may be intercepted by others. Carya cannot guarantee the receipt of electronic communication nor a timely response. Where communication is confidential or time sensitive we recommend you call 403-269-9888 during business hours (Monday-Friday, 8:30am-4:30pm). For immediate crisis response please contact the Distress Centre Crisis Line at 403-266-HELP (4537) and in case of an emergency dial 911.
This e-mail is intended solely for the person or entity to which it is addressed and may contain confidential and/or privileged information. Any review, dissemination, copying, printing, forwarding or other use of this e-mail by persons or entities other than the addressee is prohibited. If you have received this e-mail in error, please contact the sender immediately and delete the material from your computer.</t>
  </si>
  <si>
    <t>Lukas Kawalilak (Inactive)</t>
  </si>
  <si>
    <t>Pulse Veterinary - 4 Additional Workstations</t>
  </si>
  <si>
    <t>From: Lukas Kawalilak &lt;Lukas@pulseveterinary.ca&gt; 
Sent: Wednesday, January 6, 2021 11:21 AM
To: Sales - MNP IT Managed Services &lt;sales@mnptechnology.ca&gt;
Subject: Equipment order
CAUTION:This email originated from outside of the MNP network. Be cautious of any embedded links and/or attachments.
MISE EN GARDE:Ce courriel ne provient pas du rÃ©seau de MNP. MÃ©fiez-vous des liens ou piÃ¨ces jointes quâ€™il pourrait contenir.
Hello,
I would like to order 4 additional workstations similar to those already installed throughout our hospital.Â  We DO NOT require power bars for these workstations, we have plenty of spares that can be used.
I would also like to schedule the install of these workstations for the week of Feb. 1st.
Thanks,
LK
[Image removed by sender.]
Dr. Lukas Kawalilak
DVM, Diplomate ACVR
Specialist in Veterinary Diagnostic Imaging
E:lukas@pulseveterinary.ca
P: 780.570.9999
A: 450 Ordze Road, Unit #320.Â  Sherwood Park, AB T8B 0C5
www.pulseveterinary.ca</t>
  </si>
  <si>
    <t>ATTN: Terry/Dave - Field Law New Hire - Service Ticket #INC0024930 - USER ONBOARDING - Kimberly Wrig</t>
  </si>
  <si>
    <t>Hello,
Please see attached form:
1.Â Â Â Â Â Â Â Â Â Full name of staff member, as well as the AD name:Kimberly Wright // kwright
2.Â Â Â Â Â Â Â Â Â Location of staff member (Edm/ Cal/ Ykn):CAL
3.Â Â Â Â Â Â Â Â Â User Group: (Lawyer / Manager / Staff):Staff
4.Â Â Â Â Â Â Â Â Â Do they need to be part of any hunt group: (Reception or Central Services etc):No
5.Â Â Â Â Â Â Â Â Â Do they need mobility? What is the userâ€™s mobile number?No
6.Â Â Â Â Â Â Â Â Â Do they need a DID? (Yes / No)Yes (this will be yes 99/100 times)
7.Â Â Â Â Â Â Â Â Â If they are taking over an DID, what is the DID. N/A (usually a special request)
8.Â Â Â Â Â Â Â Â Â MAC address of the phone that the user needs to be assigned to.N/A (not required)
9.Â Â Â Â Â Â Â Â Â Is Scribe feature required? (Yes/No)No (Yes only for management/lawyers)
10.Â Â Â Â Â Date Due By: Jan 7th, 2021</t>
  </si>
  <si>
    <t>2 new employees</t>
  </si>
  <si>
    <t>Good Morning!
We have 2 new employees starting.
1. Quentin Watkins
2. Katrina Whiteman
They will of course need email addresses as well Quentin will need the same access as Kyle Watkins and Katrina will need the same accesses as MacKenzie did.
Thanks,
Carie Campbell
Office Manager
T:
F:
780.459.5263
780.459.1220
carie@landrex.com
220Â SummitÂ PlazaÂ 190Â BoudreauÂ RoadÂ St.Â AlbertÂ ABÂ T8NÂ 6B9Â //Â landrex.com
[image]
PrivateÂ andÂ confidentialÂ â€‘Â TheÂ informationÂ transmittedÂ isÂ intendedÂ onlyÂ forÂ theÂ personÂ orÂ entityÂ toÂ whichÂ itÂ isÂ addressedÂ andÂ mayÂ containÂ proprietary,Â businessâ€‘confidentialÂ and/orÂ 
privilegedÂ material.Â IfÂ youÂ areÂ notÂ theÂ intendedÂ recipientÂ ofÂ thisÂ messageÂ youÂ areÂ herebyÂ notifiedÂ thatÂ anyÂ use,Â review,Â retransmission,Â dissemination,Â distribution,Â reproductionÂ orÂ anyÂ 
actionÂ takenÂ inÂ relianceÂ uponÂ thisÂ messageÂ isÂ prohibited.Â IfÂ youÂ receivedÂ thisÂ inÂ error,Â pleaseÂ contactÂ theÂ senderÂ andÂ deleteÂ theÂ messageÂ andÂ anyÂ relatedÂ attachmentsÂ orÂ copies.</t>
  </si>
  <si>
    <t>[image]
A high-severity alert has been triggered
âš Microsoft 365 compliance center
Severity:â—High
Time:1/6/2021 5:57:55 PM (UTC)
Activity:Protection
Details: 1 message hit on 3250000f-e64e-4a2e-a721-08d8b26c96dc-13832430629495220855-1, sent by rbc@support.net to barry.j.stewart@igloo.ca at time 1/6/2021 5:57:55 PM.
              View alert details          
Thank you, 
The Office 365 Team
[image]
One Microsoft Way
Redmond, WA
98052-6399 USA
Privacy | Legal</t>
  </si>
  <si>
    <t>RE: Files</t>
  </si>
  <si>
    <t>Hi Amin,
Please provide access as directed below to both Monique and Rachel Anand to the Finance and HR drives. I would usually  make this request directly to the MNP support desk, but Amin, seeing as you are cc'd, please confirm you are able to do this.
Leanna
-----Original Message-----
From: Monique Auffrey &lt;MoniqueA@caryacalgary.ca&gt;
Sent: Wednesday, January 6, 2021 10:51 AM
To: Leanna Craig &lt;leannac@caryacalgary.ca&gt;
Cc: Rachel Anand &lt;RachelA@caryacalgary.ca&gt;; Amin Esmaeili &lt;Amin.Esmaeili@mnp.ca&gt;
Subject: Files
Dear Leanna,
As per my earlier request that Rachel have access to any and all files and drives that I am entitled to as CEO- pls ensure that permissions are granted.
Amin from MNP is copied in order to facilitate this request if that is who needs to make the technical change happen.
Thank you,
M
Sent from my iPhone
No form of electronic communication is secure and may be intercepted by others. Carya cannot guarantee the receipt of electronic communication nor a timely response. Where communication is confidential or time sensitive we recommend you call 403-269-9888 during business hours (Monday-Friday, 8:30am-4:30pm). For immediate crisis response please contact the Distress Centre Crisis Line at 403-266-HELP (4537) and in case of an emergency dial 911.
This e-mail is intended solely for the person or entity to which it is addressed and may contain confidential and/or privileged information. Any review, dissemination, copying, printing, forwarding or other use of this e-mail by persons or entities other than the addressee is prohibited. If you have received this e-mail in error, please contact the sender immediately and delete the material from your computer.</t>
  </si>
  <si>
    <t>Friday Site Visit Jan 8 Hewes OHI - Dolphin Imaging and Aquarium install</t>
  </si>
  <si>
    <t>Hello MNP IT,
On Friday January 8, Lance will be installing new monitors at Hewes. One of the monitors will be installed at OHI.
Please install Dolphin Imaging and Dolphin Aquarium on this local workstation at the same time.
Thanks,
Mel
Melody Baldry
Manager &amp; Privacy Officer
Align Orthodontics
Edmonton, Alberta, Canada
Direct: 780.395.2999
Edmonton Main: 780.463.5141
Sherwood Park Main: 780.449.6597
www.alignortho.com
[Email Logo Template]
Confidentiality Notice: This message and any attachments are solely for the intended recipient and may contain confidential or privileged information. If you are not the intended recipient, any disclosure, copying, use, or distribution of the information included in this message and any attachment is prohibited. If you have received this communication in error, please notify myself, by reply email and immediately and permanently delete this message and any attachments.</t>
  </si>
  <si>
    <t>[image]
A high-severity alert has been triggered
âš Microsoft 365 compliance center
Severity:â—High
Time:1/6/2021 5:45:44 PM (UTC)
Activity:Protection
Details: 1 message hit on a83cbfa2-d03e-497e-d891-08d8b26ae352-12579094426028815642-1, sent by rbc@support.net to barbradoiron@igloo.ca at time 1/6/2021 5:45:44 PM.
              View alert details          
Thank you, 
The Office 365 Team
[image]
One Microsoft Way
Redmond, WA
98052-6399 USA
Privacy | Legal</t>
  </si>
  <si>
    <t>MNP Ticket submissions app - Hewes Manager Workstation</t>
  </si>
  <si>
    <t>Hello MNP IT,
The MNP ticket submission icon is no longer in my tray on my Manager workstation.
Could you please review with me.
Thanks,
Melody
Melody Baldry
Manager &amp; Privacy Officer
Align Orthodontics
Edmonton, Alberta, Canada
Direct: 780.395.2999
Edmonton Main: 780.463.5141
Sherwood Park Main: 780.449.6597
www.alignortho.com
[Email Logo Template]
Confidentiality Notice: This message and any attachments are solely for the intended recipient and may contain confidential or privileged information. If you are not the intended recipient, any disclosure, copying, use, or distribution of the information included in this message and any attachment is prohibited. If you have received this communication in error, please notify myself, by reply email and immediately and permanently delete this message and any attachments.</t>
  </si>
  <si>
    <t>Stevens, Stephanie - Termination, December 31, 2020</t>
  </si>
  <si>
    <t>Good morning,
Please be advised that Stephanie Stevens has completed her practicum on December 31, 2020 â€“ please see attached form for details to terminate her access asap, and let me know if you have any questions.
Thanks,
Angeli
No form of electronic communication is secure and may be intercepted by others. Carya cannot guarantee the receipt of electronic communication nor a timely response. Where communication is confidential or time sensitive we recommend you call 403-269-9888 during business hours (Monday-Friday, 8:30am-4:30pm). For immediate crisis response please contact the Distress Centre Crisis Line at 403-266-HELP (4537) and in case of an emergency dial 911.
This e-mail is intended solely for the person or entity to which it is addressed and may contain confidential and/or privileged information. Any review, dissemination, copying, printing, forwarding or other use of this e-mail by persons or entities other than the addressee is prohibited. If you have received this e-mail in error, please contact the sender immediately and delete the material from your computer.</t>
  </si>
  <si>
    <t>Kolyn Anderson</t>
  </si>
  <si>
    <t>Kolyn Anderson - Unable to access OneNote</t>
  </si>
  <si>
    <t>### Summary of Issue_x000D_
Unable to access OneNote_x000D_
  _x000D_
### Details of Issue_x000D_
Unable to access onenote through edge/firefox/chrome, or sync to the one note app. Have tried logging out of onenote app, clearing cache on all browsers. Tried on the RDS as well._x000D_
  _x000D_
### Have you opened a ticket about this issue before?  _x000D_
 No  _x000D_
  _x000D_
### How many users are impacted by this issue?  _x000D_
 One  _x000D_
  _x000D_
### How would you classify this issue?  _x000D_
 Work Impacting</t>
  </si>
  <si>
    <t>Kim H - Software install on two workstations</t>
  </si>
  <si>
    <t>From: Kim Hawkes &lt;kimh@pulseveterinary.ca&gt;
Sent: Wednesday, January 6, 2021 9:26 AM
To: Vito Filippi &lt;Vito.Filippi@mnp.ca&gt;; Bryce Johnston &lt;Bryce@pulseveterinary.ca&gt;
Cc: ITMS Quotes &lt;itms.quotes@mnp.ca&gt;; Lyndon Will &lt;Lyndon.Will@mnp.ca&gt;
Subject: RE: Automate updating Cornerstone
CAUTION:This email originated from outside of the MNP network. Be cautious of any embedded links and/or attachments.
MISE EN GARDE:Ce courriel ne provient pas du rÃ©seau de MNP. MÃ©fiez-vous des liens ou piÃ¨ces jointes quâ€™il pourrait contenir.
Good morning Vito,
I have a SW piece I need to put onto 2 workstations (7053 and 7086) so that we can program some new patient monitoring devices, and this SW is also required so that we can transfer data for analysis.Â  Should I contact the help desk?Â  We have patients today that require Holter monitors placed, so I am wondering if we can by chance get this done this morning.Â  I tried to load the program but I donâ€™t have admin privileges.Â  I attached the instructions I was given.Â  I have these saved on the share drive.
Thanks a million,
Kim
Shawn Kubiski
Partner
PH. +1 7804246398
14505 114th Avenue NW
Edmonton, AB
T5M2Y8
Shawn.Kubiski@mnp.ca
mnp.ca[image]
[image]</t>
  </si>
  <si>
    <t>FW: Action required: Verify your contact info.</t>
  </si>
  <si>
    <t>I have no idea what our username/customer# and password for this is. Â Can someone please help. Â Canâ€™t imagine that anything has changed for updating our detailsâ€¦
Belinda
[image]
LinkedIn | Facebook
From: MNP Technology Solutions &lt;accountupdate@secureserver.net&gt; 
Sent: Wednesday, January 6, 2021 8:57 AM
To: Belinda Lang &lt;Belinda@machine-o-matic.com&gt;
Subject:Action required: Verify your contact info.
[image]
If your domain contact information is up to date, you're good to go. But if it isn't, then you must correct it. Open this email to get started. Â â€ŒÂ â€ŒÂ â€ŒÂ â€ŒÂ â€ŒÂ â€Œ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 â€ŒÂ â€ŒÂ â€ŒÂ â€ŒÂ â€ŒÂ â€ŒÂ â€ŒÂ â€ŒÂ â€ŒÂ â€ŒÂ â€ŒÂ â€ŒÂ â€ŒÂ â€ŒÂ â€ŒÂ â€ŒÂ â€ŒÂ â€ŒÂ â€ŒÂ â€ŒÂ â€ŒÂ â€ŒÂ â€ŒÂ â€ŒÂ â€ŒÂ â€ŒÂ â€ŒÂ â€ŒÂ â€ŒÂ â€ŒÂ â€ŒÂ â€ŒÂ â€ŒÂ â€ŒÂ â€ŒÂ â€ŒÂ â€ŒÂ â€Œ
[image]
Need help?  Contact us.
Belinda Lang
Double-check your domain contact info.
ICANN, the Internet Corporation for Assigned Names and Numbers, requires us to ask you to review and  update your details for the following domain(s):
machine-o-matic.com
Verify Your Info Now
You must sign in to view and update the domain details. Here's your Domain Key in case you're prompted to enter it after signing in: F0168165-1DB8-4C9E-839C-D02A1D106791.
[image]
Here's why it matters:
Inaccurate contact details can result in website downtime or domain cancellation. If your domain contact info is up to date, you're good to go. If not, then you need to correct it.
You can review the ICANN policy  here. Questions? Call 24/7 Support at +1 (480) 624-2500.
[image]
Note: If you are the domain administrator of more than one MNP Technology Solutions domain account, you may receive this notice multiple times.
Please do not reply to this email. Emails sent to this address will not be answered.
F0168165-1DB8-4C9E-839C-D02A1D106791belinda@machine-o-matic.com317501146771953Belinda Lang
Copyright Â© 2021 MNP Technology Solutions. All rights reserved.
4394044061</t>
  </si>
  <si>
    <t>FW: Onboarding Pending Items</t>
  </si>
  <si>
    <t>Shawn Kubiski
Partner
PH. +1 7804246398
14505 114th Avenue NW
Edmonton, AB
T5M2Y8
Shawn.Kubiski@mnp.ca
mnp.ca[image]
[image]
From: John McLaughlin &lt;John.McLaughlin@mnp.ca&gt; 
Sent: Wednesday, January 6, 2021 9:57 AM
To: skubiski@nextdigital.ca
Subject: FW: Onboarding Pending Items
See below.Â  Let me know when you have time to discuss.
John McLaughlin
Partner
DIRECT. +1 7807849202
PH. +1 7804246398 Ext 303
CELL. (780)905-7573
14505 114th Avenue NW
Edmonton, AB
T5M2Y8
John.McLaughlin@mnp.ca
mnp.ca
[image]
[image]
From: Alex Gervais &lt;alex@CarePros.ca&gt; 
Sent: January 6, 2021 9:44 AM
To: Richard Ignacz &lt;Richard.Ignacz@mnp.ca&gt;
Cc: Kolyn Anderson &lt;Kolyn.Anderson@mnp.ca&gt;; Lyndon Will &lt;Lyndon.Will@mnp.ca&gt;; John McLaughlin &lt;John.McLaughlin@mnp.ca&gt;
Subject: Re: Onboarding Pending Items
CAUTION:This email originated from outside of the MNP network. Be cautious of any embedded links and/or attachments.
MISE EN GARDE:Ce courriel ne provient pas du rÃ©seau de MNP. MÃ©fiez-vous des liens ou piÃ¨ces jointes quâ€™il pourrait contenir.
Hey Richard, I also wanted to bring up the conversation of hardware procurement for group homes.
We are rolling out a new property currently.
We need the following:
1. Wifi Router/ WAP.
The goal moving forward is to have your team facilitate the WAPs/ setup of wifi of these homes and remotely manage the units.
What are the next steps to get that moving / is there a unit we should be purchasing to make the transition easy for this new home?
As well, we need to decide on standard hardware for our group homes
Weâ€™re thinking as we move more to apple doing a mac mini &amp; external display would be a good fit for the programs. Then probably a 27â€ display or something along those lines.
[Text, letter Description automatically generated]
[A picture containing person, person, suit, posing Description automatically generated]
[Logo Description automatically generated]
[Icon Description automatically generated][Icon Description automatically generated]
Alex Gervais, BCom(Pronouns: He/Him)
Manager, Marketing, Technology &amp; Asset Management
[signature_1373507153]
[A picture containing text, sign Description automatically generated]
Direct: (780) 667-7778
[signature_686709046]
Office:(587) 800-3727
[Icon Description automatically generated]
alex@carepros.ca
[Icon Description automatically generated]
[Icon Description automatically generated]
carepros.ca
From:Alex Gervais &lt;alex@CarePros.ca&gt;
Date: Wednesday, January 6, 2021 at 9:31 AM
To: Richard Ignacz &lt;Richard.Ignacz@mnp.ca&gt;
Cc: Kolyn Anderson &lt;Kolyn.Anderson@mnp.ca&gt;, Lyndon Will &lt;Lyndon.Will@mnp.ca&gt;, John McLaughlin &lt;John.McLaughlin@mnp.ca&gt;
Subject: Re: Onboarding Pending Items
For group homes please reach out to Vlad to organize, he can set you up with the phone numbers or go to the houses to activate these for you.
Vlad â€“ vlad@carepros.ca â€“ 7809944402
Here are the 4 homes with desktops:
2043 48 Street:
millwoods1main@carepros.ca
8112 24 Avenue:
millwoods2main@carepros.ca
millwoods2basement@carepros.ca
6333 13 Avenue:
millwoods3main@carepros.ca
[A picture containing person, person, suit, posing Description automatically generated]
[Logo Description automatically generated]
[Icon Description automatically generated][Icon Description automatically generated]
Alex Gervais, BCom(Pronouns: He/Him)
Manager, Marketing, Technology &amp; Asset Management
[signature_1589280249]
[A picture containing text, sign Description automatically generated]
Direct: (780) 667-7778
[signature_477814777]
Office:(587) 800-3727
[Icon Description automatically generated]
alex@carepros.ca
[Icon Description automatically generated]
[Icon Description automatically generated]
carepros.ca
From:Richard Ignacz &lt;Richard.Ignacz@mnp.ca&gt;
Date: Wednesday, January 6, 2021 at 8:31 AM
To: Alex Gervais &lt;alex@CarePros.ca&gt;, John McLaughlin &lt;John.McLaughlin@mnp.ca&gt;
Cc: Kolyn Anderson &lt;Kolyn.Anderson@mnp.ca&gt;, Lyndon Will &lt;Lyndon.Will@mnp.ca&gt;
Subject: RE: Onboarding Pending Items
Hello Alex,
I was able to get ...</t>
  </si>
  <si>
    <t>Tech Data</t>
  </si>
  <si>
    <t>Lisa Worrell</t>
  </si>
  <si>
    <t>FW: Quote FTQ-638432 - Tallcree First Nation - APPROVED</t>
  </si>
  <si>
    <t>CAUTION: This email originated from outside of the MNP network. Be cautious of any embedded links and/or attachments.
MISE EN GARDE: Ce courriel ne provient pas du rÃ©seau de MNP. MÃ©fiez-vous des liens ou piÃ¨ces jointes quâ€™il pourrait contenir.
Good Morning Curt,
This PO has been processed on SO#9485434 and 0585434
Thanks,
[http://info.techdata.com/rs/063-HRH-168/images/E-signature-Selected-Brand-Line.png]
Charlene Lewis
Inside Account Manager
6911 Creditview Road
Mississauga, ON L5N 8G1
905-286-6800 ext.5540566
Email:var4@techdata.ca
[http://info.techdata.com/rs/063-HRH-168/images/sig3_Tech-Data.png]
[fb][twitter][instagram_2016_icon]
IMPORTANT:Â  Due to the large volume of businesses closing their offices, please do your best to confirm whether there will be anyone at your ship to location to receive shipments.Â  Please provide Contact Name and Phone Number on site to ensure deliveries are made.
Please note that Tech Data logistics centers have had to set up separate shifts so orders may be delayed by one business day.
From: Curt Giacomoni &lt;Curt.Giacomoni@mnp.ca&gt; 
Sent: Tuesday, January 5, 2021 8:12 PM
To: TD Canada Sales NTWK &lt;VAR4@techdata.ca&gt;
Cc: ITMS Quotes &lt;itms.quotes@mnp.ca&gt;
Subject: RE: Quote FTQ-638432 - Tallcree First Nation - APPROVED
This email originated outside of Tech Data.Â  Please help keep our organization and partners safe. It's up to us; think before you click.
Hi team,
Please process the attached PO# E010521Tallcree2
Per the below Fortinet FTQ
If you have any questions please let me know.
Thanks
Curt
Curt Giacomoni
Project Estimator
PH.Â +1 7804246398
14505 114th Avenue NW
Edmonton, AB
T5M2Y8
Curt.Giacomoni@mnp.ca
mnp.ca
[image]
[image]
From: TD Canada Sales NTWK &lt;VAR4@techdata.ca&gt; 
Sent: Monday, December 21, 2020 8:10 AM
To: Curt Giacomoni &lt;Curt.Giacomoni@mnp.ca&gt;
Cc: TD Canada Sales NTWK &lt;VAR4@techdata.ca&gt;
Subject: RE: Quote FTQ-638432 - Tallcree First Nation - APPROVED
CAUTION:This email originated from outside of the MNP network. Be cautious of any embedded links and/or attachments.
MISE EN GARDE:Ce courriel ne provient pas du rÃ©seau de MNP. MÃ©fiez-vous des liens ou piÃ¨ces jointes quâ€™il pourrait contenir.
Good Morning Curt,
Happy Monday ðŸ˜Š
Please find your requested quote attached
Bid#FTQ-638432
[image]
TD Price Quotation
Date:
12/21/2020
Approved SPR Number:
FTQ-638432
Approved date:
12/18/2020
SPR Expiration Date:
03/18/2021
Reseller:
MNP Technology Solutions
End User:
Tallcree First Nation
FX Rate:
1.3
Fortinet Part Number
Product Cat
Description
QTY
LIST PRICE (CAD$)
Extended List Price (CAD$)
Reseller Pricing Per Unit (CAD$)
Extended Reseller Buy (CAD$)
FG-100F-BDL-950-60
A
FortiGate-100F Hardware plus 5 Year 24x7 FortiCare and FortiGuard Unified Threat Protection (UTP)
1
$15,470.00
$Â Â Â Â Â Â Â Â Â Â Â  15,470.00
$8,485.69
$Â Â Â Â Â Â Â Â Â Â Â Â Â  8,485.69
FAP-221E-A
A
Indoor Wireless AP - Dual radio (802.11 b/g/n and 802.11 a/n/ac Wave 2, 2x2 MU-MIMO), internal antennas, 1 x 10/100/1000 RJ45 port, BT / BLE. Ceiling/wall mount kit included.For power order: 802.3af PoE injector GPI-115 or AC adapter SP-FAP200-PA. Region Code A
20
$585.00
$Â Â Â Â Â Â Â Â Â Â Â  11,700.00
$320.89
$Â Â Â Â Â Â Â Â Â Â Â Â Â  6,417.80
FC-10-PE221-247-02-60
C
FortiAP-221E 5 Year 24x7 FortiCare Contract
20
$292.50
$Â Â Â Â Â Â Â Â Â Â Â Â Â  5,850.00
$188.10
$Â Â Â Â Â Â Â Â Â Â Â Â Â  3,762.00
FS-248E-FPOE
A
Layer 2/3 FortiGate switch controller compatible PoE+ switch with 48 x GE RJ45 ports, 4 x GE SFP, with automatic Max 740W POE output limit
2
$3,250.00
$Â Â Â Â Â Â Â Â Â Â Â Â Â  6,500.00
$1,782.71
$Â Â Â Â Â Â Â Â Â Â Â Â Â  3,565.42
FC-10-W248E-247-02-60
C
FortiSwitch-248E-FPOE 5 Year 24x7 FortiCare Contract
2
$1,625.00
$Â Â Â Â Â Â Â Â Â Â Â Â Â  3,250.00
$1,045.02
$Â Â Â Â Â Â  Â Â Â Â Â Â Â 2,090.04
FS-248D
A
Layer 2/3 FortiGate switch controller compatible switch with 48 x GE RJ45 ports, 4 x GE SFP
4
$1,625.00
$Â Â Â Â Â Â Â Â Â Â Â Â Â  6,500.00
$891.36
$Â Â Â Â Â Â Â Â Â Â Â Â Â  3,565.44
FC-10-W248D-247-02-60
C
FortiSwitch-248D 5 Year 24x7 FortiCare Contract
4
$812.50
$Â Â Â Â Â Â Â Â Â Â Â Â Â  3,250.00
$522.50
$Â Â Â Â Â Â Â Â Â Â Â Â Â  2,090.00
F...</t>
  </si>
  <si>
    <t>NC-CARYA-BE02  - Please expand E: by 50 GB</t>
  </si>
  <si>
    <t>### Summary of Issue_x000D_
ND-CARYA-BE02  - Please expand E: by 50 GB_x000D_
  _x000D_
### Details of Issue_x000D_
Please expand E: by 50 GB for ND-CARYA-BE02.
The Carya Company shares exist on this server and itt is currently at 25 GB free, so showing up red.. I have gotten some questions about it.
Thank you,
David_x000D_
  _x000D_
### Have you opened a ticket about this issue before?  _x000D_
 No  _x000D_
  _x000D_
### How many users are impacted by this issue?  _x000D_
 Everyone  _x000D_
  _x000D_
### How would you classify this issue?  _x000D_
 Minor Inconvenience</t>
  </si>
  <si>
    <t>Automate updating Cornerstone</t>
  </si>
  <si>
    <t>Good morning Kim,
Attached below is the quote to assist your team in deploying the Cornerstone updates to your workstations.Â  This quote also includes the option for the Admin license to enable your staff to deploy the software updates internally. We included it as an optionbut also to note the cost should you decide as a business, to goÂ  this route. 
As always, once we receive your confirmation we will move forward with the scheduling and coordination of resources to assist your team. 
Thank you for your continued support and for the opportunity to meet your IT business needs.
Best regards,
Vito
Quote Number: AAAQ19880-01
https://www.quotevalet.com/concierge.aspx?DocumentId=c9aef1f9-19ee-48e1-9b3e-f2c8ec4dae85&amp;TenantId=cea2edee-e401-4b8b-9e82-d745c217b9a3
Vito Filippi
Strategic Advisor
DIRECT +1 7804246398
14505 114th Avenue NW
Edmonton, AB
T5M2Y8
Vito.Filippi@mnp.ca
mnp.ca</t>
  </si>
  <si>
    <t>Bi-Weekly report of on-site</t>
  </si>
  <si>
    <t>I need every bi-weekly report/status of hour spend onsite/remote
Amin Hirji</t>
  </si>
  <si>
    <t>Tiffany Polei - EMail Backup and Cancellation</t>
  </si>
  <si>
    <t>Good Morning,
Please cancel the e mail cfr@advancecoating.comand eliminate all access. This e mail can be backed up into our P:Drive and then deleted.
Tiffany Polei
Operations Coordinator
**Effective December 13, 2020 I will be working remotely. I can be reached via cell, or e mail**
[image]
OfficeÂ Â  780.449.1700
CellÂ Â Â Â Â Â  780.996.5312
14505-114 Avenue NW
Edmonton, ABÂ Â  T5M 2Y8
Tiffany@advancecoating.com</t>
  </si>
  <si>
    <t>Kevin  Gordon</t>
  </si>
  <si>
    <t>Issue With One Drive Syncing</t>
  </si>
  <si>
    <t>Hello,
My OneDrive has had issues uploading/sync files to our companyâ€™s Sharepoint drive. Can someone come take a look at what the problem may be? Yesterday was the first time I noticed the problem.
Kevin
Kevin Gordon | Director, Leasing, Asset Management &amp; Acquisitions
Maclab Development Group | 1005, 10104 103 Avenue, Edmonton, AB T5J 0H8
tel: 780 420 4027 | cell: 780 668 6284
email:kgordon@maclabdevelopment.com</t>
  </si>
  <si>
    <t>Problems with printer at Sage</t>
  </si>
  <si>
    <t>[image]
Anastasiya Horan
Office Administrator
Durocher Simpson Koehli &amp; Erler LLP
Old Strathcona Law Offices
7904 Gateway Boulevard
Edmonton, AB T6E 6C3
780-420-6850 (ph)
780-425-9185 (fax)
reception@dursim.com</t>
  </si>
  <si>
    <t>Finance Drive (X) missing</t>
  </si>
  <si>
    <t>On my laptop, 7221, I found that I cannot access the X drive (Finance) this morning. How do I fix this?
JACQUI SANDHUÂ |Â Financial Analyst
Alberta Construction Safety Association
225 Parsons Road SW |Â Edmonton ABÂ |Â T6X 0W6
TÂ 780.453.3311 ext. 4925 |Â FÂ 780.455.1120 |Â TFÂ 1.800.661.ACSA (2272)
www.youracsa.ca
[ACSA social media icon]Â [cid:image001.png@01D2DDEF.047E8B50][cid:image002.png@01D2DDEF.047E8B50][cid:image003.png@01D2DDEF.047E8B50][cid:image004.png@01D2DDEF.047E8B50]</t>
  </si>
  <si>
    <t>[image]
A high-severity alert has been triggered
âš Microsoft 365 compliance center
Severity:â—High
Time:1/6/2021 2:57:55 PM (UTC)
Activity:Protection
Details: 1 message hit on 68f5f81f-688d-4301-6284-08d8b2536f21-16179502561342317129-1, sent by rbc@support.net to alex.voo@igloo.ca at time 1/6/2021 2:57:55 PM.
              View alert details          
Thank you, 
The Office 365 Team
[image]
One Microsoft Way
Redmond, WA
98052-6399 USA
Privacy | Legal</t>
  </si>
  <si>
    <t>[image]
A high-severity alert has been triggered
âš Microsoft 365 compliance center
Severity:â—High
Time:1/6/2021 2:19:13 PM (UTC)
Activity:Protection
Details: 1 message hit on 15d6d946-4943-47fc-a4bb-08d8b24e0979-3399492652445191155-1, sent by mailBPl@mail.bancobpi.pt to barbra@igloo.ca at time 1/6/2021 2:19:13 PM.
              View alert details          
Thank you, 
The Office 365 Team
[image]
One Microsoft Way
Redmond, WA
98052-6399 USA
Privacy | Legal</t>
  </si>
  <si>
    <t>[image]
A high-severity alert has been triggered
âš Microsoft 365 compliance center
Severity:â—High
Time:1/6/2021 7:33:10 AM (UTC)
Activity:Protection
Details: 1 message hit on 43dfcfd5-e6a0-42e3-06fb-08d8b2154d96-17219242767705189545-1, sent by trang.dangthuy@pharmacity.vn to frank@igloo.ca at time 1/6/2021 7:33:10 AM.
              View alert details          
Thank you, 
The Office 365 Team
[image]
One Microsoft Way
Redmond, WA
98052-6399 USA
Privacy | Legal</t>
  </si>
  <si>
    <t>Georges Bahaya (Inactive)</t>
  </si>
  <si>
    <t>SSL Certificate Renewal Notice - Expires 06-APR-2021</t>
  </si>
  <si>
    <t>LifeGuide Financial Inc.</t>
  </si>
  <si>
    <t>Scott Richardson</t>
  </si>
  <si>
    <t>[image]
A high-severity alert has been triggered
âš Microsoft 365 compliance center
Severity:â—High
Time:1/6/2021 6:46:35 AM (UTC)
Activity:Protection
Details: 1 message hit on 365661a6-0499-4cf4-b9cb-08d8b20ecd8e-17219242767705189545-1, sent by jay.lee@mantramedicals.xyz to frank@igloo.ca at time 1/6/2021 6:46:35 AM.
              View alert details          
Thank you, 
The Office 365 Team
[image]
One Microsoft Way
Redmond, WA
98052-6399 USA
Privacy | Legal</t>
  </si>
  <si>
    <t>WK Trucking - Replacement  Desktop System  Quote</t>
  </si>
  <si>
    <t>### End User Hardware  _x000D_
  _x000D_
### What company is this quote for?_x000D_
WK Trucking_x000D_
  _x000D_
### Who made this request and why?_x000D_
Thomas, replacement system quote_x000D_
  _x000D_
### Give this request a name_x000D_
Replacement system quote_x000D_
  _x000D_
### Who should the quote be addressed to?  _x000D_
 The primary contact in Connectwise  _x000D_
  _x000D_
### Which location is the product for?_x000D_
Mundare_x000D_
  _x000D_
### Is there an existing ticket on another Connectwise board? If so what is the ticket number?_x000D_
1337530_x000D_
  _x000D_
### Which ND location is it needed at?  _x000D_
 Next Digital Edmonton  _x000D_
  _x000D_
### When is it needed by OR when is the next site visit for the client's location?  _x000D_
Wed 6 Jan, 2021  _x000D_
  _x000D_
### Do you need labour quoted?  _x000D_
 Yes  _x000D_
  _x000D_
### What products do you need on this quote?  _x000D_
 Desktop Computer  _x000D_
  _x000D_
### Desktop Computer  _x000D_
  _x000D_
### Which tier of computer do you want quoted?  _x000D_
 Recommended Tier - i5, 8GB RAM, 256 GB SSD, 3 year warranty  _x000D_
  _x000D_
### Quantity required?_x000D_
1_x000D_
  _x000D_
### Comments_x000D_
Current system is 8 years old with bad USB ports_x000D_
  _x000D_
### Video Adapter(s)  _x000D_
  _x000D_
### Do you need video adapter(s)?  _x000D_
 Yes  _x000D_
  _x000D_
### Video port(s) on computer  _x000D_
 DVI  _x000D_
  _x000D_
### Video port(s) on monitor(s)  _x000D_
 DVI  _x000D_
  _x000D_
### Number of monitors to connect (per computer)_x000D_
1_x000D_
  _x000D_
### Comment_x000D_
Current system is 8 years old with bad/failing USB ports_x000D_
  _x000D_
### What products do you need quoted?_x000D_
replacemnt desktop system</t>
  </si>
  <si>
    <t>Sandi Roberts</t>
  </si>
  <si>
    <t>Sandi Roberts - Docking station</t>
  </si>
  <si>
    <t xml:space="preserve">Extended Summary_x000D_
Before Christmas I disconnected my laptop from my docking station.  Now it is reconnected, but my computer is not communicating with my printer/scanner or my monitor.  Also, I would like to set up my cell phone to receive NRCB email._x000D_
_x000D_
Description_x000D_
See summary above please.  I am not available Weds Jan 6 until after 10:30 am or Thurs Jan 7 until after 1:00 pm._x000D_
</t>
  </si>
  <si>
    <t>spam</t>
  </si>
  <si>
    <t>Bev Milne</t>
  </si>
  <si>
    <t>FW: software</t>
  </si>
  <si>
    <t>Please see below
Today: Be the reason someone smilesðŸ˜Š
[image]
Bev Milne
Office Manager
McMurray Metis (MNA Local 1935)
441 Sakitawaw Trail
Fort McMurray, AB T9H 4P3
Office: 780-743-2659
Email:bev.milne@mcmurraymetis.org
Facebook:www.facebook.com/McMurrayMetis
Twitter:www.twitter.com/McMurrayMetis
Website:www.McMurrayMetis.org
Please consider the environment before printing this email.
This message contains confidential information and is intended only for named addresses.
If you believe that you received this email in error please notify the original sender and delete all copies.
From: Bev Milne
Sent: January 5, 2021 2:31 PM
To: Shawn Smith &lt;ssmith@nextdigital.ca&gt;
Subject: software
Good afternoon
Happy New Year
I am reaching out for some information.
We have been in receipt of donated laptops for our members.Â  Would your team be able and willing to install software for our members and elders to utilize these laptops?Â  If so what would the cost be?
We would be looking at 23 laptops.Â  We would like to have them set up in a fashion that user can access email and google to participate in meetings and culture activities.
Thank you for your time and assistance.
Sincerely
Today: Be the reason someone smilesðŸ˜Š
[image]
Bev Milne
Office Manager
McMurray Metis (MNA Local 1935)
441 Sakitawaw Trail
Fort McMurray, AB T9H 4P3
Office: 780-743-2659
Email:bev.milne@mcmurraymetis.org
Facebook:www.facebook.com/McMurrayMetis
Twitter:www.twitter.com/McMurrayMetis
Website:www.McMurrayMetis.org
Please consider the environment before printing this email.
This message contains confidential information and is intended only for named addresses.
If you believe that you received this email in error please notify the original sender and delete all copies.</t>
  </si>
  <si>
    <t>TErminate - Michelle Slevinsky</t>
  </si>
  <si>
    <t>Minn Va Wong</t>
  </si>
  <si>
    <t>Adding New drive access</t>
  </si>
  <si>
    <t xml:space="preserve">Hello
We used to be able to save to our L Drive when in our iMIS remote desktop. Since we added a new N drive, we canâ€™t save to it when in the remote desktop. It doesnâ€™t seem to be listed now. Is this something MNP can coordinate with ETech to fix?
Thanks,
Minn Va Wong
Accounting Assistant
The Alberta Association of Architects
Please note that all AAA staff are working remotely and the office at Duggan House is closed to the public until further notice. We strive to maintain a high level of service and will respond to your email within 3 business days. Please visit www.aaa.ab.ca for further updates. Thank you for your patience during this time.
Duggan House | 10515 Saskatchewan Dr., NW 
Edmonton, AB | T6E 4S1
ph: 780.432.0224 ext. 222 | fax: 780.439.1431
website | eBulletin | LinkedIn | Facebook | Twitter
Confidentiality Note: This email may contain confidential and/or private information. 
If you received this email in error please delete and notify sender.
</t>
  </si>
  <si>
    <t>file access</t>
  </si>
  <si>
    <t>Can you please provide Kaylee Hynes with access to L: 1. We talk folder.
Shelley Rines, CPA, CA
Controller
2808 58th Ave SE
Calgary, AB T2C 0B3
C:Â  403.874.1159
D:Â  403.984.0840
M: 403.243.7567
www.total-r.com
[Total-R_Silvercote Logo 2021_COLOR_RGB]</t>
  </si>
  <si>
    <t>FW: Steve Homynyk now full time with MHK, BCom in hand!</t>
  </si>
  <si>
    <t>Good afternoon MNP.
Can you please add BCom after Steve (Stephen) Homynykâ€™s email signature and also add his cell phone number (780.999.1904) after his direct line. As well, are we able to change his name from Stephen to Steve in all areas.
Thank you.
Michelle
Michelle Rose       BA
Manager, Communications &amp; Corporate Relations/Human Resources
EÂ Â Â Â Â  mrose@mhkinsurance.com
DÂ Â Â Â  587.525.6047Â 
CÂ Â Â Â  780.983.2976
12316-107 Avenue, Edmonton, AB  T5M 1Z1
www.mhkinsurance.com
[image]
[image]
We're here to help with your insurance needs. Emails       and phone calls are still encouraged. Appointments are required for       in-office broker meetings. Please wear a mask when       visiting.
MHK welcomes       e-Transfer payments to banking@mhkinsurance.com.
If you       receive this email in error, please notify us by reply email and destroy       this message. MHK complies with Canada's Anti-Spam and Alberta's PIPA       Legislations. If you no longer wish to receive emails from MHK, please       reply with 'Unsubscribe' in the subject   line.
From: Michelle Rose &lt;mrose@mhkinsurance.com&gt; 
Sent: Tuesday, January 5, 2021 12:45 PM
To: All MHK Employees &lt;allmhkemployees@mhkinsurance.com&gt;
Subject: Steve Homynyk now full time with MHK, BCom in hand!
Everyone,
We are happy to share that Steve recently completed his studies at MacEwan University and earned his Bachelor of Commerce (BCom) degree. Congratulations Steve! Youâ€™ve worked so hard for this.
With this accomplishment, Steve is now ready to assume hisCommercial Marketing &amp; Sales Development position full time with MHK. Please join us in wishing Steve great success moving forward.
Wishing you all a good afternoon.
Michelle
Michelle Rose BA
Manager, Communications &amp; Corporate Relations/Human Resources
EÂ Â Â Â Â mrose@mhkinsurance.com
DÂ Â Â Â  587.525.6047Â 
CÂ Â Â Â  780.983.2976
12316-107 Avenue, Edmonton, AB T5M 1Z1
www.mhkinsurance.com
[image]
[image]
We're here to help with your insurance needs. Emails and phone calls are still encouraged. Appointments are required for in-office broker meetings. Please wear a mask when visiting.
MHK welcomes e-Transfer payments to banking@mhkinsurance.com.
If you receive this email in error, please notify us by reply email and destroy this message. MHK complies with Canada's Anti-Spam and Alberta's PIPA Legislations. If you no longer wish to receive emails from MHK, please reply with 'Unsubscribe' in the subject line.</t>
  </si>
  <si>
    <t>Taylor Reid</t>
  </si>
  <si>
    <t>Protected Document</t>
  </si>
  <si>
    <t>Hi There,
I have a document that I purchased from the CSA (Canadian Standards Association) â€“ attached - that I purchased a few months back.
I bought it as a single user license and when one of my colleagues could not get into the file, she went to Next Digital for help, but now I cannot get into the document either.
Can you advise how this can be resolved?
Thanks,
Taylor Reid EIT, Project Manager / Estimator
C 780-720-0786O 780-417-1955
[image]
taylor.reid@keymay.com
www.keymay.com
53169 Range Road 225
Sherwood Park, AB T8A 4T7</t>
  </si>
  <si>
    <t>FW: Update Quote Please</t>
  </si>
  <si>
    <t>Curt Giacomoni
Project Estimator
PH.Â +1 7804246398
14505 114th Avenue NW
Edmonton, AB
T5M2Y8
Curt.Giacomoni@mnp.ca
mnp.ca[image]
[image]
From: Cheryl Thomas &lt;Cheryl@frogbelly.ca&gt; 
Sent: Tuesday, January 5, 2021 12:40 PM
To: Curt Giacomoni &lt;Curt.Giacomoni@mnp.ca&gt;
Subject: Update Quote Please
CAUTION:This email originated from outside of the MNP network. Be cautious of any embedded links and/or attachments.
MISE EN GARDE:Ce courriel ne provient pas du rÃ©seau de MNP. MÃ©fiez-vous des liens ou piÃ¨ces jointes quâ€™il pourrait contenir.
Hi Curt
Can you please give me an updated quote for AAAQ18254-01 â€“ with current required specs.
1 Machine Please
Thank you
Cheryl
Cheryl Thomas
Sec/Treas
Frogbelly Printing &amp; Promotions
Box 6928, 5215 Industrial Road
Drayton Valley, AB
T7A 1S3
Ph:Â  780 542 4646
Fx:Â  780-542-4656
Cheryl@frogbelly.ca
[image]</t>
  </si>
  <si>
    <t>Mint Health &amp; Drugs</t>
  </si>
  <si>
    <t>Kit  Poon</t>
  </si>
  <si>
    <t>### End User Hardware  _x000D_
  _x000D_
### What company is this quote for?_x000D_
Mint Drugs Head Office_x000D_
  _x000D_
### Who made this request and why?_x000D_
Pat_x000D_
  _x000D_
### Give this request a name_x000D_
Wireless Phone for Head Office_x000D_
  _x000D_
### Who should the quote be addressed to?  _x000D_
 Someone else  _x000D_
  _x000D_
### Who should it be addressed to?_x000D_
Peter Poon_x000D_
  _x000D_
### Which location is the product for?_x000D_
Head Office_x000D_
  _x000D_
### Is there an existing ticket on another Connectwise board? If so what is the ticket number?_x000D_
0_x000D_
  _x000D_
### Which ND location is it needed at?  _x000D_
 Next Digital Edmonton  _x000D_
  _x000D_
### When is it needed by OR when is the next site visit for the client's location?  _x000D_
Wed 6 Jan, 2021  _x000D_
  _x000D_
### Do you need labour quoted?  _x000D_
 Yes  _x000D_
  _x000D_
### What products do you need on this quote?  _x000D_
 Voice Equipment  _x000D_
  _x000D_
### What products do you need quoted?_x000D_
1 Panasonic Wireless Phone Modle KXTCA185</t>
  </si>
  <si>
    <t>Amin Esmaeili - Permission to modify activities of others</t>
  </si>
  <si>
    <t>### Summary of Issue_x000D_
Permission to modify activities of others_x000D_
  _x000D_
### Details of Issue_x000D_
As part of TopLeft testing and clean-up, I'll be needing to clean up some outdated activities for the SAs for it to show up properly on our kanban board.
Unfortunately there are many activities to clean up and I'm unable to make changes unless I take ownership of each activity, individually.
If possible, I'd like to request permissions to modify/delete CW activities for SAs in order to clean and prepare our TopLeft board.
Thanks,_x000D_
  _x000D_
### Have you opened a ticket about this issue before?  _x000D_
 No  _x000D_
  _x000D_
### How many users are impacted by this issue?  _x000D_
 Some  _x000D_
  _x000D_
### How would you classify this issue?  _x000D_
 Unable to Work</t>
  </si>
  <si>
    <t>Extend MAC warranty</t>
  </si>
  <si>
    <t>### What company is this quote for?_x000D_
Calgary Arts Development_x000D_
  _x000D_
### Who should the quote be addressed to?  _x000D_
 The primary contact in Connectwise  _x000D_
  _x000D_
### Which location is the product for?_x000D_
Calgary_x000D_
  _x000D_
### Which ND location is it needed at?  _x000D_
 Next Digital Calgary  _x000D_
  _x000D_
### When is it needed by OR when is the next site visit for the client's location?  _x000D_
Fri 22 Jan, 2021  _x000D_
  _x000D_
### What do you need quoted?_x000D_
CADA has 5 MacBook Air's and 1 Lenovo with expired warranty.
They would like to know the cost of extending warranty rather than procuring new units.
Serials are as follows:
MJ060VPM (Lenovo)
FVHXQHAUJ1WK
FVHXQHDAJ1WK
FVHXQQ3MJ1WK
FVHXQQ1BJ1WK
FVFZV0PBLYWP</t>
  </si>
  <si>
    <t>Amin Esmaeili - Calgary Arts Development - Missing Machines</t>
  </si>
  <si>
    <t>### Summary of Issue_x000D_
Calgary Arts Development - Missing Machines_x000D_
  _x000D_
### Details of Issue_x000D_
In the hardware asset list that was generated (WarrantyMaster/ScalePad) for the CADA IT Assessment has 3 machines/users missing.
The asset list is generated from Automate, CW and ITGlue. It may be that their machines do not have NV agents.
Missing users are: Stephanie, Sable and Greg
Please ensure these users and their systems are tracked in NV, CW and ITGlue._x000D_
  _x000D_
### Have you opened a ticket about this issue before?  _x000D_
 No  _x000D_
  _x000D_
### How many users are impacted by this issue?  _x000D_
 One  _x000D_
  _x000D_
### How would you classify this issue?  _x000D_
 Minor Inconvenience</t>
  </si>
  <si>
    <t>Amin Esmaeili - CADA - Dell Server Firmware Upgrade</t>
  </si>
  <si>
    <t>### Summary of Issue_x000D_
CADA - Dell Server Firmware Upgrade_x000D_
  _x000D_
### Details of Issue_x000D_
Calgary Arts Development - as identified by OPAL on the 2021 IT Assessment, the Dell server requires a firmware upgrade._x000D_
  _x000D_
### Have you opened a ticket about this issue before?  _x000D_
 No  _x000D_
  _x000D_
### How many users are impacted by this issue?  _x000D_
 One  _x000D_
  _x000D_
### How would you classify this issue?  _x000D_
 Minor Inconvenience</t>
  </si>
  <si>
    <t>Amin Esmaeili - CADA - Decomission ACCOUNTING-PC (Win7)</t>
  </si>
  <si>
    <t>### Summary of Issue_x000D_
CADA - Decomission ACCOUNTING-PC (Win7)_x000D_
  _x000D_
### Details of Issue_x000D_
The client team has virtualized the Windows 7 ACCOUNTING-PC and there have been no issues with it. The VM is CADA-ACCT.
Please decomission and store the ACCOUNTING-PC at CADA and ensure it's removed from NV, CW &amp; ITGlue._x000D_
  _x000D_
### Have you opened a ticket about this issue before?  _x000D_
 No  _x000D_
  _x000D_
### How many users are impacted by this issue?  _x000D_
 One  _x000D_
  _x000D_
### How would you classify this issue?  _x000D_
 Minor Inconvenience</t>
  </si>
  <si>
    <t>FW: Microsoft Letter Request</t>
  </si>
  <si>
    <t>Hello Team,
Can you please route this ticket over to me?
Thank you,
David
David Stevens
Team Lead, Field Services Technician
PH.Â +1 4036864357
310 - 4000 4 St SE
Calgary,       AB
T2G2W3
David.Stevens@mnp.ca
mnp.ca [image]
[image]
From: Carla O'Neil &lt;Carla.ONeil@arlingtonstreet.ca&gt; 
Sent: Monday, December 14, 2020 2:12 PM
To: Amin Esmaeili &lt;Amin.Esmaeili@mnp.ca&gt;; David Stevens &lt;David.Stevens@mnp.ca&gt;
Subject: Microsoft Letter Request
CAUTION:This email originated from outside of the MNP network. Be cautious of any embedded links and/or attachments.
MISE EN GARDE:Ce courriel ne provient pas du rÃ©seau de MNP. MÃ©fiez-vous des liens ou piÃ¨ces jointes quâ€™il pourrait contenir.
Hi Amin, David,
We received the attached and would like to confirm if this is something we should respond to.
Let me know.
Thank you!
CARLA O'NEIL
```
D I R E C T O RÂ  O FÂ  C O R P O R A T EÂ  S E R V I C E S
```
t.Â 403-266-5000 Ext. 213 |Â Â c.Â 403-463-9076
Suite 400, 1550 5 St SW
Calgary, Alberta T2R 1K3
arlingtonstreet.caÂ Â |Â Â TwitterÂ  |Â Â YouTube
```
```
From: Scans &lt;scans@arlingtonstreet.ca&gt; 
Sent: Monday, December 14, 2020 2:41 PM
To: Sagar Kohli &lt;Sagar.Kohli@arlingtonstreet.ca&gt;; Carla O'Neil &lt;Carla.ONeil@arlingtonstreet.ca&gt;
Subject: Message from KM_C458
Important COVID-19 Notice: Please note that we remain OPEN FOR BUSINESS but, as a result of COVID-19, our office is closed to the general public and open to clients by appointment only until further notice. With most of our staff now working remotely, please continue to contact us by email (preferably), or by phone, but note that there may be delays in checking voice messages remotely. We appreciate your continued business and patience during this unprecedented time.
The information in this email and any attachments is sent by ARLINGTON STREET INVESTMENTS and is intended to be confidential and for the use of only the individual or entity named above. The information may be protected by solicitor-client privilege, work product immunity or other legal principles. If the reader of this message is not the intended recipient, you are notified that unauthorized review, retention, dissemination, distribution, copying or other use of or taking any action in reliance upon this information is strictly prohibited. If you received this email in error, please notify us immediately by email reply and delete or destroy this message and any copies</t>
  </si>
  <si>
    <t>Joanne Chaloner - Angela Blakely-Elliot Teams Access Change</t>
  </si>
  <si>
    <t>### Summary of Issue_x000D_
Angela Blakely-Elliot Teams Access Change_x000D_
  _x000D_
### Details of Issue_x000D_
Angela Blakely-Elliot requires the ability to create her own teams in MS Teams.  Please revise her permissions to allow this.  Please advise Angela via email when this has been done.
Thanks,
Joey_x000D_
  _x000D_
### Have you opened a ticket about this issue before?  _x000D_
 No  _x000D_
  _x000D_
### How many users are impacted by this issue?  _x000D_
 One  _x000D_
  _x000D_
### How would you classify this issue?  _x000D_
 Work Impacting</t>
  </si>
  <si>
    <t>Follow up #1334335</t>
  </si>
  <si>
    <t>Good Morning,
Please provide an update on Elizabethâ€™s setup for her computer and laptop. We would like to have the computer and laptop setup completed for Thursday so we can confirm she has everything she needs for her pickup on Friday. The laptop assigned to her L-10172. Is there also a computer available in the office we can assign to her?
Please let me know if she has a network log in and phone extension.
Please let me know.
Thank you,
MELEENA DOROSHENKO,CPA, CGA | Manager Finance &amp; Accounting
Alberta Construction Safety Association
225 Parsons Road SW |Â Edmonton ABÂ |Â T6X 0W6
TÂ 780.453.3311 ext. 7702 |Â FÂ 780.455.1120 |Â TFÂ 1.800.661.ACSA (2272)
mdoroshenko@youracsa.ca
www.youracsa.ca
[HelpPreventTheSpread]
CONFIDENTIAL â€“ This e-mail transmission and any documents attached to it may contain information that is confidential or legally privileged. If you are not the intended recipient, or a person responsible for delivering this information to the intended recipient, you are hereby notified that any discourse, copying, distribution or use of this transmission is strictly prohibited.Â  If you have received this transmission in error, please immediately notify the sender and destroy the original transmission, attachments and destroy any hard copies.
Please consider the environment before printing this e-mailâ˜º</t>
  </si>
  <si>
    <t>Chris Goodwin</t>
  </si>
  <si>
    <t>Dealership Phone Numbers:</t>
  </si>
  <si>
    <t>To Whom It May Concern:
I'm looking to get a list of all our phone numbers (more specifically in the Service Department) that are active.Â  This will include direct lines and 1-800/1-888 numbers also.
Can you help with this?
ChristopherÂ Goodwin
Service Director
CrosstownÂ ChryslerÂ JeepÂ Dodge
T:Â 780â€‘488â€‘4881
E:Â cgoodwin@crosstownchrysler.com
[Facebook]
[Twitter]
[Instagram]
[YouTube]
[Crosstown Chrysler][image]
To unsubscribe from receiving electronic communications from myself please clickÂ unsubscribe
 Kindly consider the environment before printing this email.
 This message and any attachments are solely for the intended recipient and may contain confidential or privileged information. If you are not the intended recipient, any disclosure, copying, use, or distribution of the information included in this message and any attachments is prohibited. If you have received this communication in error, please notify us by reply e-mail and immediately and permanently delete this message and any attachments. Thank you.
 Ce courrier et toute piÃ¨ce jointe qu'il contient sont rÃ©servÃ©s au seul destinataire indiquÃ© et peuvent renfermer des renseignements confidentiels et privilÃ©giÃ©s. Si vous n'Ãªtes pas le destinataire prÃ©vu, toute divulgation, duplication, utilisation ou distribution du courrier ou de toute piÃ¨ce jointe est interdite. Si vous avez reÃ§u cette communication par erreur, veuillez nous en aviser par courrier et dÃ©truire immÃ©diatement le courrier et les piÃ¨ces jointes. Merci.</t>
  </si>
  <si>
    <t>The Good Samaritan Society</t>
  </si>
  <si>
    <t>Arthur Sproul</t>
  </si>
  <si>
    <t>Good Samaritan - Revisit Kelowna Configuration/ Settings</t>
  </si>
  <si>
    <t xml:space="preserve">Good afternoon Dave,
Weâ€™ll need to book some more of your time to go through the next phase of the Kelowna configuration.
How is you time looking for the next little while?
Kindest regards, 
Arthur Sproul
Desktop Support Analyst
----------------------------------
Good Samaritan Head Office
8861 75 Street NW, Edmonton, AB  T6C 4G8
Direct: 780.431.3912     
Email: asproul@gss.org
</t>
  </si>
  <si>
    <t>Melisa Marinkovich</t>
  </si>
  <si>
    <t>Spam Email</t>
  </si>
  <si>
    <t>Align Orthodontics
Encrypted Message Notification
Melisa Marinkovich (melisa.marinkovich@alignortho.com) has sent you an encrypted message.
View Message Â»
at                                app.protectedtrust.com
ThisÂ messageÂ isÂ securedÂ by[Protected Trust]
You are receiving this email because someone has sent you a secure message using the Protected Trust secure messaging network.    
If you are having trouble clicking the View Message button above, copy the following URL into your web browser: https://app.protectedtrust.com/Pickup/8KKIgqe3F1sc
For more information about Protected Trust, please visit https://envoy.protectedtrust.com</t>
  </si>
  <si>
    <t>Demo - Wireless hardware</t>
  </si>
  <si>
    <t>Please quote on the below
3 x Ubiquiti access points
3 x power injectors
3 hours of labor
Shawn Kubiski
Partner
PH. +1 7804246398
14505 114th Avenue NW
Edmonton, AB
T5M2Y8
Shawn.Kubiski@mnp.ca
mnp.ca[image]
[image]</t>
  </si>
  <si>
    <t>Demo - Hardware quote</t>
  </si>
  <si>
    <t>Please quote on the below
3 x Lenovo tiny desktops
6 x 24 inch displays
6 x 6â€™ display port cables
3 hours of labor
Shawn Kubiski
Partner
PH. +1 7804246398
14505 114th Avenue NW
Edmonton, AB
T5M2Y8
Shawn.Kubiski@mnp.ca
mnp.ca[image]
[image]</t>
  </si>
  <si>
    <t>FW: O365 Sharepoint Backups Failing - ACSA</t>
  </si>
  <si>
    <t>Jerry Wilkinson
Senior Project Specialist
PH.Â +1 7804246398       Ext 309
14505 114th Avenue NW
Edmonton,       AB
T5M2Y8
Jerry.Wilkinson@mnp.ca
mnp.ca [image]
[image]
From: Rory Maguire &lt;Rory.Maguire@hostedbizz.com&gt; 
Sent: Tuesday, January 5, 2021 9:38 AM
To: Jerry Wilkinson &lt;Jerry.Wilkinson@mnp.ca&gt;
Cc: Michael Anderson &lt;michael.anderson@hostedbizz.com&gt;
Subject: RE: O365 Sharepoint Backups Failing - ACSA
CAUTION:This email originated from outside of the MNP network. Be cautious of any embedded links and/or attachments.
MISE EN GARDE:Ce courriel ne provient pas du rÃ©seau de MNP. MÃ©fiez-vous des liens ou piÃ¨ces jointes quâ€™il pourrait contenir.
Small correction Jerry,
I should have written we will exclude the three sites that are consistently failing every day, not the entire job. Misspoke.
Talk soon,
Rory Maguire
HostedBizz Inc.
www.hostedbizz.com
[/Users/paulbutcher/Library/Containers/com.microsoft.Outlook/Data/Library/Caches/Signatures/signature_610490521][/Users/paulbutcher/Library/Containers/com.microsoft.Outlook/Data/Library/Caches/Signatures/signature_166302351]
From: Rory Maguire
Sent: January 5, 2021 11:30 AM
To: Jerry Wilkinson &lt;Jerry.Wilkinson@mnp.ca&gt;
Cc: Michael Anderson &lt;michael.anderson@hostedbizz.com&gt;
Subject: O365 Sharepoint Backups Failing - ACSA
Good Morning Jerry,
I hope you were able to have a relaxing holiday. Iâ€™ve reached out and followed up with Raimund Schwind a couple of times now with no response. We would very much like to get this issue resolved as soon as possible. I am going to disable the jobs on our side, as they are causing an error message every day.
Please let me know if there is someone else I should contact Jerry.
Thank you very much,
Rory Maguire
HostedBizz Inc.
www.hostedbizz.com
[/Users/paulbutcher/Library/Containers/com.microsoft.Outlook/Data/Library/Caches/Signatures/signature_610490521][/Users/paulbutcher/Library/Containers/com.microsoft.Outlook/Data/Library/Caches/Signatures/signature_166302351]</t>
  </si>
  <si>
    <t>Michael Kowalski</t>
  </si>
  <si>
    <t>Database profiles</t>
  </si>
  <si>
    <t>Good morning,
when we are opening up a file using Mitek, it is routed to a file folder based on the year.Â  Most of us have not updated it since 2018 as shown below.Â 
[image]
Therefore, to get to more current projects, we have to move up one tier on the T drive and select the correct year.Â  This resets every morning because of how the file path is set up
I remember how to update the file path, (and was able to change to 2020 for now, until a large number of 2021 projects are done) but as soon as I click on Apply, this warning appears.Â Â 
[image]
After doing a screen share earlier this morning with Aaron at Mitek, he believes that it has to do with this Database Server Profile "sqlProfile1".Â  He was wondering if this is the older hard drive, and if so, if a new profile database needs to be created or linked now that we are on Azure
[image]
If there are any other questions, please let me know
Thank you in advance,
[image]
Mike Kowalski
Truss and Floor Design
Phone/Fax: 780.665.3220Â |
21421 111 Avenue NWÂ |Â Edmonton, ABÂ |Â T5S 1Y1
[image][image][image]Â  Â Â [image]</t>
  </si>
  <si>
    <t>Notice of New Hire - Marc Mikawoz</t>
  </si>
  <si>
    <t>Hello,
This email is to notify you of an upcoming employee hire:
Employee Name:Marc Mikawoz Â 
Department: Transitional Housing Program
Job Title: Program Manager Â 
Supervisor: Marisa Redmond
Effective Date: January 11, 2021
Distribution List &amp; Action Required
IT
RDS: Request for RDS/Network Access
E-mail: Request for Outlook Account.
E-mail Signature Set-up:
-Â Â Â Â Â Â Â Name: Marc Mikawoz
-Â Â Â Â Â Â Â Position: Program Manager
-Â Â Â Â Â Â Â Program: Transitional Housing Program
Mirror:Please mirror disabled user Sarah Perrett.
Folder Access:
-Â Â Â Â Â Â Â Please mirror disabled user Sarah Perrett.
E-mail Distribution List:Agency Leaders, All Staff
Apple ID Creation: Request for Apple ID.
Shore-tel Phone Access:Request for access.
Please send account details to: Marisa Redmond (mredmond@e4calberta.org)
Payroll/Finance
Requires a Debit/Credit Card with a limit of $5000.00
Payroll details will be provided once processed.
Reception
Please update existing employee list.
Communications
For information only.
Program Manager
For information only.
Facilities Manager
Request for Alex Taylor School Building Keys (3rd Floor Inner Ways â€“ Transitional Housing Offices) and Site Keys for Inner Ways Sites.
If you have any questions or concerns please let me know.
Thank you!
AmandaTam, B. Com (she/her) e4c
Human Resources Generalist
Human Resources
ATam@e4calberta.org
T780.424.7543 ext 164
C780.721.2331
9321 Jasper Avenue, Edmonton AB T5H 3T7
e4calberta.org
[image]
This message is intended for the use of the individual or entity to which it is addressed and may contain information that is privileged and confidential. If you are not the intended recipient or the employee responsible for delivery of the message to the intended recipient, please be advised that any dissemination, distribution or copying of this message is strictly prohibited. If you have received this message in error, please notify us immediately by telephone and return the original email to us or destroy this message.
[image]e4c supports environmental conservation - please print wisely.</t>
  </si>
  <si>
    <t>Server</t>
  </si>
  <si>
    <t>Hi,
Can you tell me what server the Bobcat Edmonton sales drive sits on?
Courtney Holick, CPA, CMA
Chief Financial Officer
[cid:image001.jpg@01D69AED.73FB1610]
14610 Yellowhead Trail NW Edmonton, AB, T5L 3C5
Branch: 780-454-0491Â Â Â Â  Toll Free: 1-800-363-7819Â Â Â Â  Direct: 780-409-3359Â Â Â Â  Cell: 780-916-7296
Email:courtney.holick@calmont.ca
Website:www.calmont.ca
This email, and any files transmitted with it, are confidential and are intended solely for the use of the individual or entity to which they are addressed. Any unauthorized use or disclosure is prohibited. Please notify the sender if you have received this email in error. Thank you for your co-operation.</t>
  </si>
  <si>
    <t>FW: Agency Leaders - Abdul add</t>
  </si>
  <si>
    <t>Hi there,
Please add Abdul Bari into the agency leaders email distribution list.
Thanks
M.LuizaCoelho e4c
Senior Manager
mlcoelho@e4calberta.org
T780.424.7543 ext 132
9321 Jasper Avenue, Edmonton AB T5H 3T7
e4calberta.org
[image]
This message is intended for the use of the individual or entity to which it is addressed and may contain information that is privileged and confidential. If you are not the intended recipient or the employee responsible for delivery of the message to the intended recipient, please be advised that any dissemination, distribution or copying of this message is strictly prohibited. If you have received this message in error, please notify us immediately by telephone and return the original email to us or destroy this message.
[image]e4c supports environmental conservation - please print wisely.
From: Mwayi Kanjadza 
Sent: Tuesday, January 05, 2021 6:35 AM
To: M.Luiza Coelho &lt;mlcoelho@e4calberta.org&gt;
Subject: Agency Leaders - Abdul add
Good morning Luiza,
Wondering if we add Abdul to Agency Leaders mailing list, please?
Thank you.
MwayiKanjadza, CPAe4c
Finance Director 
Finance
MKanjadza@e4calberta.org
T
780.424.7543 ext. 131
9321 Jasper Avenue, Edmonton AB T5H 3T7
e4calberta.org
[image]
This message is intended for the use of the individual or entity to which it is addressed and may contain information that is privileged and confidential. If you are not the intended recipient or the employee responsible for delivery of the message to the intended recipient, please be advised that any dissemination, distribution or copying of this message is strictly prohibited. If you have received this message in error, please notify us immediately by telephone and return the original email to us or destroy this message.
[image]e4c supports environmental conservation - please print wisely.</t>
  </si>
  <si>
    <t>Sharon Thorn</t>
  </si>
  <si>
    <t>Sage 50 update</t>
  </si>
  <si>
    <t>Please install the Sage update for both Edmonton Public and Edmonton Catholic.
Thanks!
Sharon Thorn
Edmonton Public Teachers</t>
  </si>
  <si>
    <t>Jorge Bustamante - Phone queues did not auto-switch to On-Hours</t>
  </si>
  <si>
    <t>### Summary of Issue_x000D_
Phone queues did not auto-switch to On-Hours_x000D_
  _x000D_
### Details of Issue_x000D_
Had to manually flip the switch on the phone queues today. I tested a call at 7:06 and it was still going to the after-hours queue._x000D_
  _x000D_
### Have you opened a ticket about this issue before?  _x000D_
 No  _x000D_
  _x000D_
### How many users are impacted by this issue?  _x000D_
 Some  _x000D_
  _x000D_
### How would you classify this issue?  _x000D_
 Work Impacting</t>
  </si>
  <si>
    <t>Chuck Corvec - RDS03 slow</t>
  </si>
  <si>
    <t>### Summary of Issue_x000D_
RDS03 slow_x000D_
  _x000D_
### Details of Issue_x000D_
RDS03 is betond slow. Took 15 min to log on and another 10 to load a couple of apps_x000D_
  _x000D_
### Have you opened a ticket about this issue before?  _x000D_
 Yes  _x000D_
  _x000D_
### How many users are impacted by this issue?  _x000D_
 Some  _x000D_
  _x000D_
### How would you classify this issue?  _x000D_
 Work Impacting</t>
  </si>
  <si>
    <t>Tina Kobi</t>
  </si>
  <si>
    <t>Fortinet Renewal Notice - Support Expires 04-FEB-2021</t>
  </si>
  <si>
    <t>[image]
A high-severity alert has been triggered
âš Microsoft 365 compliance center
Severity:â—High
Time:1/5/2021 12:09:20 AM (UTC)
Activity:Protection
Details: 1 message hit on feb186ce-95c4-404a-7274-08d8b10df889-15649463558448333261-1, sent by fax951318444@lcrfax-ip6.net to douglas.budd@igloo.ca at time 1/5/2021 12:09:20 AM.
              View alert details          
Thank you, 
The Office 365 Team
[image]
One Microsoft Way
Redmond, WA
98052-6399 USA
Privacy | Legal</t>
  </si>
  <si>
    <t>Mandy Wang</t>
  </si>
  <si>
    <t>Update Taxprep forms</t>
  </si>
  <si>
    <t>Please assist
AJ Whitford
Field Services Technician
PH.Â +1 7804246398
14505 114th Avenue NW
Edmonton,       AB
T5M2Y8
AJ.Whitford@mnp.ca
mnp.ca [image]
[image]
From: Mandy Wang &lt;MWang@maclabdevelopment.com&gt;
Sent: January 4, 2021 3:01 PM
To: AJ Whitford &lt;AJ.Whitford@mnp.ca&gt;
Subject: tax prep forms 
Importance: High
CAUTION:This email originated from outside of the MNP network. Be cautious of any embedded links and/or attachments.
MISE EN GARDE:Ce courriel ne provient pas du rÃ©seau de MNP. MÃ©fiez-vous des liens ou piÃ¨ces jointes quâ€™il pourrait contenir.
Hi AJ,
Can you schedule to update taxprep forms 2020 v1.0 to my laptop asap? This new version is released on Dec 17, 2020. I need to prepare some forms this week, please update mine first, then to Mike, Gurmeet, Kathryn and Teresa.
Thanks,
[image][image][image]
We have moved. Please note our new address.</t>
  </si>
  <si>
    <t>Amin Hirji - Restart All RDS Servers</t>
  </si>
  <si>
    <t>Urgent
Hi Brian, can you work with your internal team on the below email for tonight
Amin Hirji
From: Peter Turtiak &lt;Peter.Turtiak@igloo.ca&gt; 
Sent: Monday, January 4, 2021 4:16 PM
To: Amin Hirji &lt;Amin.Hirji@igloo.ca&gt;
Subject: Restart Servers
Hi Amin,
Can you please arrange to have all the servers restarted (the RDS servers that the users log onto).
We seem to be having problems with Perform and I want to rule out a server side problem.
I will restart Â Â Â FS02Â Â Â Â Â  tonight when I see no one is on the server.
Thank you,
Peter</t>
  </si>
  <si>
    <t>Nicole Malenczak - Quickbooks needs updating</t>
  </si>
  <si>
    <t>### Summary of Issue_x000D_
Quickbooks needs updating_x000D_
  _x000D_
### Details of Issue_x000D_
Quickbooks needs updating_x000D_
  _x000D_
### Have you opened a ticket about this issue before?  _x000D_
 No  _x000D_
  _x000D_
### How many users are impacted by this issue?  _x000D_
 One  _x000D_
  _x000D_
### How would you classify this issue?  _x000D_
 Minor Inconvenience</t>
  </si>
  <si>
    <t>Quickbooks Update</t>
  </si>
  <si>
    <t>Good day,
We have been notified that we have a Quickbooks update that is required that we have done before we can do payroll.
Could I have someone reach out to us to get this done as soon as possible.
Thank you very much,
Have a great day!
Danielle Villeneuve
[image]
Phone 1-866-967-4760
Fax 1-866-967-2781</t>
  </si>
  <si>
    <t>Peter Turtiak</t>
  </si>
  <si>
    <t>Peter Turtiak - U: Drive in RDS-YK04</t>
  </si>
  <si>
    <t>### Summary of Issue_x000D_
RDS-YK_x000D_
  _x000D_
### Details of Issue_x000D_
As I log onto RDS-YK, my U:\ Drive is not being set up.  Please review how I log onto the server and correct the error._x000D_
  _x000D_
### Have you opened a ticket about this issue before?  _x000D_
 No  _x000D_
  _x000D_
### How many users are impacted by this issue?  _x000D_
 One  _x000D_
  _x000D_
### How would you classify this issue?  _x000D_
 Work Impacting  _x000D_
  _x000D_
### If your callback number is different than what's on record, please provide it below._x000D_
780-665-3207</t>
  </si>
  <si>
    <t>Clinic Expansion Quote</t>
  </si>
  <si>
    <t>Good afternoon Kim,
Attached is the quote for your planned clinic expansion that you requested. Please take a moment to review and confirm the items included in this estimate. 
This quote includes all new infrastructure, software, auxiliary power backups and  telephone equipment for your new location. In addition, it covers cabling, installing the necessary server racks and mounting of server equipment and wiring. Configuringand deploying all workstations as well as your wireless access points is also included. Testing and post implementation support of the infrastructure is also part of this quote.
There is a lot of information included in this attachment so if you would like to meet to discuss in more detail, please let me know. Please keep in mind that this quote is an estimate only and that the final invoice amount may vary. 
Thank you for your continued support Kim and for the opportunity to meet your IT business needs.
Best regards and Happy New Year to you and your team! 
Vito
Quote Number: AAAQ19572-01
https://www.quotevalet.com/concierge.aspx?DocumentId=e8fc9a75-0ba5-4b38-8a5d-bd6885bb7ca7&amp;TenantId=cea2edee-e401-4b8b-9e82-d745c217b9a3
Vito Filippi
Strategic Advisor
DIRECT +1 7804246398
14505 114th Avenue NW
Edmonton, AB
T5M2Y8
Vito.Filippi@mnp.ca
mnp.ca</t>
  </si>
  <si>
    <t>BCI - Poor Call Quality With Bria Conference Calls over RDS</t>
  </si>
  <si>
    <t>Hi team, please review Dirks note below, as well as the e-mail chain between BCI and Croo.io (BCIâ€™s soft-phone vendor).
Bria (Croo.ioâ€™s soft-phone application) is installed on BCIs RDS where users are using the soft-phone.
It seems that during conference calls, the connection is throttled. Can we please have a review of the BCI traffic to identify where the bottleneck may be?
Please connect with Croo.io support directly if needed for testing/information gathering.
Keep in mind BCI has an Edmonton office and their VoIP traffic will need to be checked as well.
Once the issue has been identified, please provide Dirk with a status update.
Thank you,
Amin Esmaeili
Client Experience Manager
PH.Â +1 4036864357       Ext 415
310 - 4000 4 St SE
Calgary,       AB
T2G2W3
Amin.Esmaeili@mnp.ca
mnp.ca [image]
[image]
From: Dirk Bruggencate &lt;Dirk@gobluecircle.com&gt;
Sent: January 4, 2021 10:23 AM
To: Amin Esmaeili &lt;Amin.Esmaeili@mnp.ca&gt;
Subject: FW: [Croo] Follow-up : MES: Blue Circle
CAUTION:This email originated from outside of the MNP network. Be cautious of any embedded links and/or attachments.
MISE EN GARDE:Ce courriel ne provient pas du rÃ©seau de MNP. MÃ©fiez-vous des liens ou piÃ¨ces jointes quâ€™il pourrait contenir.
Hi Amin,
Happy New Year!
We have been having issues with the croo phone when conferencing more than one person in.Â  Can you have a look at the response below and let me know if this is something you can address?
Dirk
From: Gerry Baert
Sent: Wednesday, December 23, 2020 10:28 PM
To: Dirk Bruggencate &lt;Dirk@gobluecircle.com&gt;
Subject: Fwd: [Croo] Follow-up : MES: Blue Circle
Sent from my iPad
Begin forwarded message:
From: Croo &lt;support@fonecohd.zendesk.com&gt;
Date: December 23, 2020 at 12:01:38 PM MST
To: Gerry Baert &lt;Gerry@gobluecircle.com&gt;
Subject: [Croo] Follow-up : MES: Blue Circle
Reply-To: Croo &lt;support+id265259@fonecohd.zendesk.com&gt;ï»¿
##- Please type your reply above this line -##
Your request (#265259
[Image removed by sender.]
Matthew DiGiandomenico (Foneco)
Dec 17, 2020, 11:07 EST
Hi Dirk,
In this case, it looks like there's an issue with initiating a conference call within Bria in your remote environment only. Traffic is likely being throttled somewhere, which results in the softphone "compensating" for data loss with a robotic voice.
I'd speak to your IT company about this, as they'd be able to modify the parameters in your remote environment to ensure that there are no limitations.
Thanks!
-- Matthew
[Image removed by sender.]
Dirk Bruggencate
Dec 16, 2020, 16:28 EST
Hi Matthew,
That sounds like it should work.
Back onto the conference call issue.Â  We just tried the conference call using bria on our mobile phones and it worked.Â  I also tried a conference from my mobile phone to both Erin and Kelseyâ€™s soft phone on the computer and it worked as well.Â  But when we start the conference call from the softphone on the server the same issues arise as before.Â  It didnâ€™t seem to matter what bria service Erin and Kelsey were using, if the phone call starts from the softphone all people being added to the call cannot hear eachother.
Dirk
[Image removed by sender.]
Dirk Bruggencate
Dec 16, 2020, 15:31 EST
Hi Matthew, that will work as long as we stop having the issue as I am certain that I have been logging out every time.
Dirk
Sent from my iPhone
On Dec 16, 2020, at 1:28 PM, Matthew DiGiandomenico (Croo) &lt;support@fonecohd.zendesk.com&gt; wrote:
[Image removed by sender.]
Matthew DiGiandomenico (Foneco)
Dec 16, 2020, 15:28 EST
You're welcome Dirk!
What we'll do is essentially create a "buffer" by adding an extra device to everyone's extension - everyone now has a 3 device limit. While I still recommend logging out of the application when you're finished, it will at least allow an extra device to be connected while we wait the default 24 hours for old connections to expire. Does that sound good?
Thanks!
-- Matthew
[Image removed by sender.]
Dirk Bruggencate
Dec 16, 2020, 12:48 EST
Thanks Matthew, Is...</t>
  </si>
  <si>
    <t>Zywave - Its Time to Update Your Email Deliverability Settings</t>
  </si>
  <si>
    <t>Hi MNP. Happy New Year!
We received this communication from Zywave regarding their services we purchase and use. In order to determine what we may need to do after the DNS records are updated, please note the email address below to contact Zywave.
Thanks.
Michelle
Michelle Rose       BA
Manager, Communications &amp; Corporate Relations/Human Resources
EÂ Â Â Â Â  mrose@mhkinsurance.com
DÂ Â Â Â  587.525.6047Â 
CÂ Â Â Â  780.983.2976
12316-107 Avenue, Edmonton, AB  T5M 1Z1
www.mhkinsurance.com
[image]
[image]
We're here to help with your insurance needs. Emails       and phone calls are still encouraged. Appointments are required for       in-office broker meetings. Please wear a mask when       visiting.
MHK welcomes       e-Transfer payments to banking@mhkinsurance.com.
If you       receive this email in error, please notify us by reply email and destroy       this message. MHK complies with Canada's Anti-Spam and Alberta's PIPA       Legislations. If you no longer wish to receive emails from MHK, please       reply with 'Unsubscribe' in the subject   line.
From:Zywave Communications &lt;communications@zywave.com&gt; 
Sent: Monday, January 4, 2021 1:30 PM
To: Michelle Rose &lt;mrose@mhkinsurance.com&gt;
Subject: Itâ€™s Time to Update Your Email Deliverability Settings
Improve email deliverability with this update. Â  Â  Â  Â  Hello Michelle, Your current DNS setup may be limiting your email deliverabilityâ€”meaning all the hard work your team has put
This sender is trusted.
sophospsmartbannerend
Improve email deliverability with this update.
[image]
Hello Michelle,
Your current DNS setup may be limiting your email deliverabilityâ€”meaning all the hard work your team has put into sending emails to prospects and clients could be for naught if theyâ€™re not actually receiving your message in their inbox.
Thatâ€™s why we are updating your DNS records and moving you to one of our high-quality send pools. These new send pools will allow you to build your sender reputation, and a stronger sender reputation means better email deliverability.
When is this update taking place?
We will begin work on this update starting January 6, 2021, with your new IP address being available no later than January 20, 2021.Â You will receive an email from a Zywave representative when the update is complete asking you to confirm testing of email deliverability. Please be on the lookout for this email, as this will help us ensure your DNS records were successfully updated.
This transition will take place without any interruption to your email service. However, it is possible that you will need to update some internal email security or firewall settings to fully complete the process upon receipt of the notification email from us.
Please forward this email to your IT point person, or reach out to us directly atselectsupport@zywave.comif you have any questions on this important update.
Zywave, Inc., 10100 W. Innovation Drive, Suite 300, Milwaukee, WI 53226
Â© 2020 Zywave, Inc. Â Â ContactÂ Â Privacy Policy
[image]</t>
  </si>
  <si>
    <t>STATS GROUP International Inc.</t>
  </si>
  <si>
    <t>Les Johnson</t>
  </si>
  <si>
    <t>STATS Group - Kurien Thomas Laptop Screen</t>
  </si>
  <si>
    <t xml:space="preserve">Extended Summary_x000D_
Kurien Thomas needs the screen for his laptop replaced, it has a crack in it making trhe screen pink and distorted_x000D_
_x000D_
Description_x000D_
### What company is this quote for?_x000D_
STATS GROUP International Inc._x000D_
  _x000D_
### Who should the quote be addressed to?  _x000D_
 The primary contact in Connectwise  _x000D_
  _x000D_
### Which location is the product for?_x000D_
Edmonton_x000D_
  _x000D_
### Is there an existing ticket on another Connectwise board? If so what is the ticket number?_x000D_
1341106_x000D_
  _x000D_
### Which ND location is it needed at?  _x000D_
 Next Digital Edmonton  _x000D_
  _x000D_
### When is it needed by OR when is the next site visit for the client's location?  _x000D_
Fri 8 Jan, 2021  _x000D_
  _x000D_
### What do you need quoted?_x000D_
Screen Replacement for Lenovo T490s (Serial Number PC1EYJ8P)_x000D_
</t>
  </si>
  <si>
    <t>ATTN: Terry/Dave - Field Law New Hire - Service Ticket #24801 - USER ONBOARDING - Hindisaar Abdullah</t>
  </si>
  <si>
    <t>Hello,
A new extension request was recently submitted with this userâ€™s first and last names accidently switched. The corrected info is below.
1.Â Â Â Â Â Â Â Â Â Full name of staff member, as well as the AD name:Hindisaar Abdullahi Â // habdullahi
2.Â Â Â Â Â Â Â Â Â Location of staff member (Edm/ Cal/ Ykn):EDM
3.Â Â Â Â Â Â Â Â Â User Group: (Lawyer / Manager / Staff):Staff
4.Â Â Â Â Â Â Â Â Â Do they need to be part of any hunt group: (Reception or Central Services etc):NA
5.Â Â Â Â Â Â Â Â Â Do they need mobility? What is the userâ€™s mobile number?No
6.Â Â Â Â Â Â Â Â Â Do they need a DID? (Yes / No)Yes
7.Â Â Â Â Â Â Â Â Â If they are taking over an DID, what is the DID. 780-423-7620 (Ext 7620)
8.Â Â Â Â Â Â Â Â Â MAC address of the phone that the user needs to be assigned to.N/A (not required)
9.Â Â Â Â Â Â Â Â Â Is Scribe feature required? (Yes/No)No (Yes only for management/lawyers)
10.Â Â Â Â Â Date Due By: 2021-01-04</t>
  </si>
  <si>
    <t>Printing</t>
  </si>
  <si>
    <t>Good Afternoon,
My laptop cannot connect to my printer at home.Â  It did before the Christmas break.
If someone could call me Iâ€™d appreciate it.Â  Please call my cell 780-221-8320.
Thank you!
Lorna
[ECT Local 54 green-blue.jpg]Lorna Baxandall
Administrative Coordinator
Edmonton Catholic Teachers
Local 54 of the Alberta Teachersâ€™ Association
W: (780) 451 1196
lorna.baxandall@ecteachers.ca</t>
  </si>
  <si>
    <t>Computer Issues</t>
  </si>
  <si>
    <t>I have a new surface and I am missing the Paper Cut Application and Newforma.Â  I also do not have the MNP help app.
Thanks
Doug Ramsey (YEG)
Group2 Architecture Interior Design Ltd.
Doug.ramsey@group2.ca
780 â€“ 884 - 9379.
Thanks</t>
  </si>
  <si>
    <t>Alicia McClelland</t>
  </si>
  <si>
    <t>FW: Laptops</t>
  </si>
  <si>
    <t>Please assign to me.
Jeff Meadows
Field Services Technician
PH.Â 587.273.5062
4922 - 53 St.
Red Deer,       AB
T4N2E9
Jeff.Meadows@mnp.ca
mnp.ca [image]
[image]
From: OfficeMC &lt;officemc@telus.net&gt; 
Sent: Monday, January 4, 2021 10:07 AM
To: Jeff Meadows &lt;Jeff.Meadows@mnp.ca&gt;
Subject: Laptops
CAUTION:This email originated from outside of the MNP network. Be cautious of any embedded links and/or attachments.
MISE EN GARDE:Ce courriel ne provient pas du rÃ©seau de MNP. MÃ©fiez-vous des liens ou piÃ¨ces jointes quâ€™il pourrait contenir.
Hi Jeff,
I hope you had a restful Christmas holiday.
We have a couple of laptops here that we are needing to have some things done with. The 1st one- Pastor Donâ€™s old laptop, needs to be turned in to the new sanctuary/treasurers laptop with Shepherds staff and anti-virus software, as well as office . And the old sanctuary laptop needs to be disposed of.
Please let me know when you can come and pick those up, so I can let the treasurer know that the laptop is unavailable at that time.
Thank you,
Alicia McClelland</t>
  </si>
  <si>
    <t>FW: Safety Computer</t>
  </si>
  <si>
    <t>Please assign to me.
Jeff Meadows
Field Services Technician
PH.Â 587.273.5062
4922 - 53 St.
Red Deer,       AB
T4N2E9
Jeff.Meadows@mnp.ca
mnp.ca [image]
[image]
From: Teresa Clark &lt;teresa.clark@signetma.com&gt; 
Sent: Monday, January 4, 2021 9:19 AM
To: Jeff Meadows &lt;Jeff.Meadows@mnp.ca&gt;
Subject: Safety Computer
CAUTION:This email originated from outside of the MNP network. Be cautious of any embedded links and/or attachments.
MISE EN GARDE:Ce courriel ne provient pas du rÃ©seau de MNP. MÃ©fiez-vous des liens ou piÃ¨ces jointes quâ€™il pourrait contenir.
Happy New Year Jeff,
When you have sometime can you call me?Â  I need Simply installed on the safety computer.Â  We didnâ€™t do that when we replace the laptop to the desktop.Â  The girl we hired will be working with Simply sometimes.
Also we have hired a new engineer.Â  We will need to set up the new laptop we purchased for him last month.Â  I will get his email and password to you shortly.
Thanks,
Teresa
[image]
403-391-1918
Teresa.clark@signetma.com</t>
  </si>
  <si>
    <t>Cole Kalev</t>
  </si>
  <si>
    <t>Cole Kalev - Unable to login to server</t>
  </si>
  <si>
    <t>Good Afternoon,
I was given my username and password to access the server but I have not been able to login. Can you please provide me with assistance?
Thanks,
[image]</t>
  </si>
  <si>
    <t>FW: Andersons Liquor order</t>
  </si>
  <si>
    <t>From:realv@rockymountainliquor.ca &lt;realv@rockymountainliquor.ca&gt; 
Sent: Monday, January 4, 2021 12:13 PM
To: Sales - MNP IT Managed Services &lt;sales@mnptechnology.ca&gt;; Sales - MNP IT Managed Services &lt;sales@mnptechnology.ca&gt;
Subject: Andersons Liquor order
CAUTION:This email originated from outside of the MNP network. Be cautious of any embedded links and/or attachments.
MISE EN GARDE:Ce courriel ne provient pas du rÃ©seau de MNP. MÃ©fiez-vous des liens ou piÃ¨ces jointes quâ€™il pourrait contenir.
Hello again Curt and Cori
Happy New Year !!
Have another drop ship order.
#1) Â 1 - Eaton 3S 550 VA to be dropped ship to the location below.
Great Canadian Liquor Company Beaumont
5001 â€“ 30 Avenue
Beaumont, AB
T4X 1T9
Thank You !
[image]
RÃ©al Verrier
Andersons Liquor IT
realv@rockymountainliquor.ca
780.929.6211</t>
  </si>
  <si>
    <t>[JIRA] (OG-1066) On-boarding Student - Kaitlyn Lemay</t>
  </si>
  <si>
    <t>Koula Ferreira added 1 new comment. Ontario Genomics/OG-1066 On-boarding Student - Kaitlyn Lemay 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
Koula Ferreira added 1 new comment.
Ontario Genomics
/Â Â   [image] Â  OG-1066
 On-boarding Student - Kaitlyn Lemay 
[image]  Koula Ferreira  1:53Â PMÂ EST
Hello again,
Kaitlyn needs to have Zoom installed on her laptop, a firewall pops up when she tries to access it. Could you please follow up with her to arrange a time to install Zoom â€“ kindly confirm.
Thank you, Koula
From: Koula Ferreira
View issue
Get Jira notifications on your phone! Download the Jira Cloud app for Android or iOS.
Manage notifications   Â â€¢Â    Give feedback   Â â€¢Â    Privacy policy
[image]
[image]
[image]</t>
  </si>
  <si>
    <t>ANNELIESE FRIS - Edmonton studio connection slow</t>
  </si>
  <si>
    <t>### Summary of Issue_x000D_
Edmonton studio connection slow_x000D_
  _x000D_
### Details of Issue_x000D_
Not sure if this is related to the server issues this morning, but the Edmonton studio is reporting very slow connection issues. Doug Ramsey + Stephen Faust are in the studio - please contact them for any confirmation of conditions._x000D_
  _x000D_
### Have you opened a ticket about this issue before?  _x000D_
 No  _x000D_
  _x000D_
### How many users are impacted by this issue?  _x000D_
 Some  _x000D_
  _x000D_
### How would you classify this issue?  _x000D_
 Work Impacting</t>
  </si>
  <si>
    <t>E-Mail Litigation Hold (URGENT)</t>
  </si>
  <si>
    <t>Hello,
We would like an export of all Husky related emails from the following people:
Kim Boser
Chad Lambrecht
Leo Barrette
Brad McCaffrey
Ken Davies
Colin Thompson
Gary Wotton
Mark Ringrose
Joe Bachand
Lance Welch
Gabriel Farkouh
Kory Ebel
Jeremy Manning
Kaya Bien
Gary Kruger
Ryan Rideout
Andrew Elash
search words would be:
Folder #1 (S2 Project)
Husky S2 or P0777 or Spruce Lake
Folder #2 (S6/S7 Project)
Husky S6 or Husky S7 or P0778 or Dee Valley or Rush Lake
Thanks!
[image]Â Riccardo Francese
Business Process Manager
T:       +1 (780) 400-7487
C:       +1 (587) 990-0176
F:       +1 (780) 417-6496
E:       RFrancese@siterg.com
W:       WWW.SITERG.COM
#170, 120 Pembina Rd., Sherwood Park, AB, T8H 0M2
The information contained in this e-mail may       contain confidential or privileged material and is intended only for the       stated addressee(s). If you are not the valid addressee, the use,       disclosure, copying or distribution of this information is prohibited and       may be unlawful. If you have received this email message in error, please       notify the sender immediately and delete all copies of the message from       your computer. All information within or opinions expressed in this       message and/or any attachments are those of the author and are not       necessarily those of the Centurion Group.</t>
  </si>
  <si>
    <t>Nick Diaz</t>
  </si>
  <si>
    <t>VPN not working</t>
  </si>
  <si>
    <t>Hi Next Digital,
I need my VPN access fixed ASAP. It was working last week, but is not working this week.
I can be reached at 587-974-3212.
Nick Diaz
Donor Grants Associate
Edmonton Community Foundation
9910 103 St NW
EdmontonÂ  AB Â T5K 2V7
780.426.0015, ext. 119
www.ECFoundation.org</t>
  </si>
  <si>
    <t>Outlook contact error</t>
  </si>
  <si>
    <t>Hello:
Iâ€™m trying to send emails to groups within my contact list and I keep getting the error below.
[image]
If someone can help me to fix this error, it would be appreciated.
Thanks.
Cassandra Lundell
Community Grants Manager
[image]
9910 103 ST NW
Edmonton AB Â T5K 2V7
780-426-0015Â  x102
[http://www.bing.com/th?id=AwChYGrkW01o08g110x110&amp;amp;w=110&amp;amp;h=110&amp;amp;c=6&amp;amp;qlt=95&amp;amp;pid=RichNav]Â Â [http://www.bing.com/th?id=A%252bYlgJhNfybf7cw136x110&amp;amp;w=110&amp;amp;h=110&amp;amp;c=6&amp;amp;qlt=95&amp;amp;pid=RichNav]Â Â Â www.ECFoundation.org</t>
  </si>
  <si>
    <t>Outlook Distribution Group</t>
  </si>
  <si>
    <t>Morning,
Can we please have Sean Hooker removed from the lease return distribution group in Calmontâ€™s addressbook.
Thanks,
Ryan DeJong
Rental &amp; Leasing Operations Manager
[cid:image001.jpg@01D44E6B.CED9E280]
14610 Yellowhead Trail NW Edmonton, AB, T5L 3C5
Branch: 780-454-0491Â Â Â Â  Toll Free: 1-800-363-7819Â Â Â Â  Direct: 780-409-3365Â Â Â Â  Cell: 780-318-4574Â Â Â Â  Fax: 780-482-5663
Email: Ryan.DeJong@calmont.ca
Website: www.calmont.ca
This email, and any files transmitted with it, are confidential and are intended solely for the use of the individual or entity to which they are addressed. Any unauthorized use or disclosure is prohibited. Please notify the sender if you have received this email in error. Thank you for your co-operation.
From: Sean Hooker &lt;Sean.Hooker@calmont.ca&gt;
Sent: January 4, 2021 11:02 AM
To: Tony Newton &lt;Tony.Newton@calmont.ca&gt;; Ryan Dejong &lt;Ryan.Dejong@calmont.ca&gt;; Nick Ramos &lt;Nick.Ramos@calmont.ca&gt;
Subject: Remove
Can someone please remove me from the lease return group so I can stop receiving emails?
Thanks, from your friendly neighborhood inspection man!
Sean Hooker
Lease Returns &amp; Used Truck Inspections
[cid:image001.jpg@01D40C6B.5195C1F0]
Weâ€™re Customer Driven
14610 Yellowhead Trail NW Edmonton, AB, T5L 3C5
Branch: 780-454-0491Â Â Â Â  Toll Free: 1-800-363-7819Â Â Â  Cell: 780-995-9599Â Â  Fax: 780-482-5663
Email: sean.hooker@calmont.ca
Website: www.calmont.ca
This email, and any files transmitted with it, are confidential and are intended solely for the use of the individual or entity to which they are addressed. Any unauthorized use or disclosure is prohibited. Please notify the sender if you have received this email in error. Thank you for your co-operation.</t>
  </si>
  <si>
    <t>[image]
A high-severity alert has been triggered
âš Microsoft 365 compliance center
Severity:â—High
Time:1/4/2021 6:01:09 PM (UTC)
Activity:Protection
Details: 1 message hit on 602d88a8-54a9-479d-9c98-08d8b0dab405-79385979544433170-1, sent by nocker.inst@aon.at to jennifer.bare@igloo.ca at time 1/4/2021 6:01:09 PM.
              View alert details          
Thank you, 
The Office 365 Team
[image]
One Microsoft Way
Redmond, WA
98052-6399 USA
Privacy | Legal</t>
  </si>
  <si>
    <t>[image]
A high-severity alert has been triggered
âš Microsoft 365 compliance center
Severity:â—High
Time:1/4/2021 6:00:06 PM (UTC)
Activity:Protection
Details: 1 message hit on 5bc17092-82e4-4671-158e-08d8b0da77ba-11522126485304817098-1, sent by lutia@archipelago.sc to richard.nault@igloo.ca at time 1/4/2021 6:00:06 PM.
              View alert details          
Thank you, 
The Office 365 Team
[image]
One Microsoft Way
Redmond, WA
98052-6399 USA
Privacy | Legal</t>
  </si>
  <si>
    <t>[image]
A high-severity alert has been triggered
âš Microsoft 365 compliance center
Severity:â—High
Time:1/4/2021 5:58:33 PM (UTC)
Activity:Protection
Details: 1 message hit on f842bb2f-84df-4ab1-abc0-08d8b0da5696-8216754965111962946-1, sent by mfuentes@iaim.gob.ve to simon.king@igloo.ca at time 1/4/2021 5:58:33 PM.
              View alert details          
Thank you, 
The Office 365 Team
[image]
One Microsoft Way
Redmond, WA
98052-6399 USA
Privacy | Legal</t>
  </si>
  <si>
    <t>Amanda Palmer</t>
  </si>
  <si>
    <t>Hi!
Iâ€™m just back from holidays, and on December 11th I received an e-mail from â€˜Finance Departmentâ€™ that was essentially â€“ youâ€™re getting a raise! Next steps are that you validate your bank account info (with a hyperlink on that part).
Itâ€™s definitely fake, just thought you should know (I doubt I was the only one to receive it, so you probably already do know).
Thanks,
Amanda
[CDLI Logo]
[image]
Amanda Palmer
She/Hers
Lead, Community Development Learning Initiative
T: 403.919.3072 |E: AmandaPr@caryacalgary.ca
Follow us on social media@CDLICalgary
In the spirit of our efforts to promote reconciliation, we acknowledge the traditional territories and oral practices of the Blackfoot, the Tsuut'ina, the Stoney Nakoda First Nations, the MÃ©tis Nation Region 3, and all people who make their homes in the Treaty 7 region of Southern Alberta.
No form of electronic communication is secure and may be intercepted by others. Carya cannot guarantee the receipt of electronic communication nor a timely response. Where communication is confidential or time sensitive we recommend you call 403-269-9888 during business hours (Monday-Friday, 8:30am-4:30pm). For immediate crisis response please contact the Distress Centre Crisis Line at 403-266-HELP (4537) and in case of an emergency dial 911.
This e-mail is intended solely for the person or entity to which it is addressed and may contain confidential and/or privileged information. Any review, dissemination, copying, printing, forwarding or other use of this e-mail by persons or entities other than the addressee is prohibited. If you have received this e-mail in error, please contact the sender immediately and delete the material from your computer.</t>
  </si>
  <si>
    <t>QuoteValet: ND - OrderForm - Field Kit Resupply N/A</t>
  </si>
  <si>
    <t>CAUTION: This email originated from outside of the MNP network. Be cautious of any embedded links and/or attachments.
MISE EN GARDE: Ce courriel ne provient pas du rÃ©seau de MNP. MÃ©fiez-vous des liens ou piÃ¨ces jointes quâ€™il pourrait contenir.
[image]
780-424-6398
14505 114th Avenue NW, Edmonton, AB, T5M 2Y8
Dear Curt Giacomoni,
This is an automated notification from the QuoteValet system.
Your customer N/A placed OrderForm Order # QVAO1278. ND Employee: Jeff Meadows
Ticket: 1339230
Order Details:
ND - OrderForm - Field Kit Resupply - N/A 
From IP Address: 209.90.171.71
To view or review the OrderForm order on QuoteValet at any time Click here.
This email was created using QuoteValet - The online quote delivery and acceptance vehicle forQuoteWerks.</t>
  </si>
  <si>
    <t>Drewe Rowbotham</t>
  </si>
  <si>
    <t>Please uninstall Skype in my desktop</t>
  </si>
  <si>
    <t>Please uninstall Skype in my desktop,
Thank you,
DreweRowbotham e4c
Rapid Re-Housing and Diversion Manager
DRowbotham@e4calberta.org
C780.984.7616
F780.425.5911
9321 Jasper Avenue, Edmonton AB T5H 3T7
e4calberta.org
[image]
This message is intended for the use of the individual or entity to which it is addressed and may contain information that is privileged and confidential. If you are not the intended recipient or the employee responsible for delivery of the message to the intended recipient, please be advised that any dissemination, distribution or copying of this message is strictly prohibited. If you have received this message in error, please notify us immediately by telephone and return the original email to us or destroy this message.
[image]e4c supports environmental conservation - please print wisely.</t>
  </si>
  <si>
    <t>Karen Hooper</t>
  </si>
  <si>
    <t>Karen Hooper - New Employee</t>
  </si>
  <si>
    <t>### Summary of Issue_x000D_
New Employee_x000D_
  _x000D_
### Details of Issue_x000D_
We have a new Service Writer, Julie Rach can we get her computer set up?_x000D_
  _x000D_
### Have you opened a ticket about this issue before?  _x000D_
 No  _x000D_
  _x000D_
### How many users are impacted by this issue?  _x000D_
 One  _x000D_
  _x000D_
### How would you classify this issue?  _x000D_
 Work Impacting</t>
  </si>
  <si>
    <t>User cannot log in - CANNOT work</t>
  </si>
  <si>
    <t>Dear Gents,
Please review and contact the user.
Thanks,
Flavio Soares
Strategic Advisor
PH.Â +1 7804246398       Ext 325
14505 114th Avenue NW
Edmonton,       AB
T5M2Y8
Flavio.Soares@mnp.ca
mnp.ca [image]
[image]
From: Andrew Kowalchyk &lt;akowalchyk@raywalt.ca&gt;
Sent: Monday, January 4, 2021 9:34:52 AM
To: Flavio Soares &lt;Flavio.Soares@mnp.ca&gt;
Subject: Fwd: Office 365 Licensing
CAUTION: This email originated from outside of the MNP network. Be cautious of any embedded links and/or attachments.
MISE EN GARDE: Ce courriel ne provient pas du rÃ©seau de MNP. MÃ©fiez-vous des liens ou piÃ¨ces jointes quâ€™il pourrait contenir.
Can you make sure our licensing is carried over.Â 
I cannot login to my outlook.Â 
Andrew Kowalchyk
Raywalt Construction
Get Outlook for iOSWebsite:Â www.keentech.ca
Website:
Â www.keentech.ca
Website:
Â www.keentech.ca
â€This message and any attachments are solely for the intended recipient and may contain confidential or privileged information. If you are not the intended recipient, any disclosure, copying, use, or distribution of the information included in this message and any attachments is prohibited. If you have received this communication in error, please notify us by reply e-mail and immediately and permanently delete this message and any attachments. Thank you.â€
From: Kolyn Anderson &lt;Kolyn.Anderson@mnp.ca&gt;
Sent: December 7, 2020 9:44 AM
To: Andrew Kowalchyk &lt;akowalchyk@raywalt.ca&gt;
Subject: Office 365 Licensing
Good Morning Andrew,
We have added your Office365 licensing to our portal so we need the old provider to remove the licenses on their end.
I can contact them to have this done if you can send me their details, unless you want to send them a note.
Please let me know as we donâ€™t want you to be double billed for these licenses.
Thank you,
Kolyn Anderson
Senior Project Specialist
PH.Â +1 4036864357 Ext 404
310 - 4000 4 St SE
Calgary, AB
T2G2W3
Kolyn.Anderson@mnp.ca
mnp.ca
[image]
[image]
[image]</t>
  </si>
  <si>
    <t>Loss access to the shared drive - AGAIN</t>
  </si>
  <si>
    <t xml:space="preserve">Armand
Happy New Year to you.
I am just back in the office today and I can advise that I have no access to shared drive again.
Would greatly appreciate your assistance, once more.
Carmen Enman
Warranty Administrator
[New Calmont Logo]
Volvo Truck Centre Calgary
We`re Customer Driven
5475 â€“ 53rd Street SE Calgary, Alberta, CanadaÂ  T2C 4P6
Tel: (403) 236-1993Â  Extension: 8910
Toll Free: 1-800-463-5943
Email: carmen.enman@calmont.ca
Visit Our Website at: www.calmont.ca
[volvo]
This email and any files transmitted with it are confidential and are intended solely for the use of the individual or entity to which they are addressed. Any unauthorized use or disclosure is prohibited. Please notify the sender if you have received this email in error. Thank you for your co-operation.
From: Carmen Enman 
Sent: December 1, 2020 9:55 AM
To: 'Support - MNP IT Managed Services' &lt;support@mnptechnology.ca&gt;
Subject: RE: Ticket#1317235/CalmontGroup/Carmen Enman - Loss access to the shared drive - AGAIN -- has been updated
Armand
I powered off the computer and restarted and it appears to have reconnected the drives now.!!
What ever you all did it seems to have worked. I can work!!!
( I hope I donâ€™t loose it when the next update occurs )
I will notify you if any changes.
Thank you!
Carmen Enman
Warranty Administrator
[New Calmont Logo]
Volvo Truck Centre Calgary
We`re Customer Driven
5475 â€“ 53rd Street SE Calgary, Alberta, CanadaÂ  T2C 4P6
Tel: (403) 236-1993Â  Extension: 8910
Toll Free: 1-800-463-5943
Email: carmen.enman@calmont.ca
Visit Our Website at: www.calmont.ca
[volvo]
This email and any files transmitted with it are confidential and are intended solely for the use of the individual or entity to which they are addressed. Any unauthorized use or disclosure is prohibited. Please notify the sender if you have received this email in error. Thank you for your co-operation.
From: Carmen Enman 
Sent: December 1, 2020 9:47 AM
To: 'Support - MNP IT Managed Services' &lt;support@mnptechnology.ca&gt;
Subject: RE: Ticket#1317235/CalmontGroup/Carmen Enman - Loss access to the shared drive - AGAIN -- has been updated
Good Morning Armand,
I was out of the office yesterday, Â but I have checked the status and as you can seeÂ  with the red Xâ€™sÂ  have no access still.
No access to the following drives listed : H, Â K, Â Z
I urgently need access to the Z drive first please.
[image]
Carmen Enman
Warranty Administrator
[New Calmont Logo]
Volvo Truck Centre Calgary
We`re Customer Driven
5475 â€“ 53rd Street SE Calgary, Alberta, CanadaÂ  T2C 4P6
Tel: (403) 236-1993Â  Extension: 8910
Toll Free: 1-800-463-5943
Email: carmen.enman@calmont.ca
Visit Our Website at: www.calmont.ca
[volvo]
This email and any files transmitted with it are confidential and are intended solely for the use of the individual or entity to which they are addressed. Any unauthorized use or disclosure is prohibited. Please notify the sender if you have received this email in error. Thank you for your co-operation.
</t>
  </si>
  <si>
    <t>Mwayi Kanjadza - Working remotely, abroad</t>
  </si>
  <si>
    <t>Good morning,
1.Â Â Â Â Â I am travelling to Africa and brining my work laptop so I can still work remotely from there. Is there anything I need to do to ensure I will be able to connect remotely from there as I am doing right now working from home in Edmonton.
2.Â Â Â Â Â My laptop seems slow at times and once in a while it freezes, can I get this fixed before Wednesday this week?
3.Â Â Â Â Â I need to have my Sophos log in details reset; it doesnâ€™t allow me to log in.
Please advise,
Thank you.
MwayiKanjadza, CPA e4c
Finance Director
Finance
MKanjadza@e4calberta.org
T780.424.7543 ext. 131
9321 Jasper Avenue, Edmonton AB T5H 3T7
e4calberta.org
[image]
This message is intended for the use of the individual or entity to which it is addressed and may contain information that is privileged and confidential. If you are not the intended recipient or the employee responsible for delivery of the message to the intended recipient, please be advised that any dissemination, distribution or copying of this message is strictly prohibited. If you have received this message in error, please notify us immediately by telephone and return the original email to us or destroy this message.
[image]e4c supports environmental conservation - please print wisely.</t>
  </si>
  <si>
    <t>Exdol Taylor - Lenovo Tiny</t>
  </si>
  <si>
    <t>Standard Lenovo Tiny with 16GB RAM, DP to HDMI adapter
[9:11 AM] Exdol Taylor
I am bugging you because I need a personal quote on a high-end lenovo tiny
[9:11 AM] Curt Giacomoni
Sure, what specifically are you looking for?
[9:12 AM] Exdol Taylor
It is for multimedia presentation
[9:13 AM] Exdol Taylor
But could be used for editing as well
[9:13 AM] Exdol Taylor
Core i5 should be good
[9:13 AM] Exdol Taylor
256 SSD
[9:14 AM] Curt Giacomoni
OK. Our standard desktop is an i5, 256 SSD, 8GB RAM model. 3x DP out. I will get a price to you today
[9:14 AM] Exdol Taylor
16GB Ram
[9:15 AM] Exdol Taylor
I would prefer HDMI ports, if possible
[9:15 AM] Exdol Taylor
Actually it doesn't have to be a lenovo but it has to be a tiny
[9:17 AM] Curt Giacomoni
Lenovo is going to be the cheapest one in that form factor. A DP to HDMI adapter is going to be a lot cheaper than finding one with a built in HDMI port
[9:17 AM] Exdol Taylor
ok
Curt Giacomoni
Project Estimator
PH.Â +1 7804246398
14505 114th Avenue NW
Edmonton, AB
T5M2Y8
Curt.Giacomoni@mnp.ca
mnp.ca[image]
[image]</t>
  </si>
  <si>
    <t>Kailee Kirkland</t>
  </si>
  <si>
    <t>Cloud Log In Issues</t>
  </si>
  <si>
    <t>Good morning,
I am unable to log into the cloud this morning. It says the logon attempt has failed. I've tried to change my password on my desktop and it won't allow me to do that either.
Thanks,
Kailee Kirkland
Family Counsellor, Functional Family Therapy
carya
No form of electronic communication is secure and may be intercepted by others. Carya cannot guarantee the receipt of electronic communication nor a timely response. Where communication is confidential or time sensitive we recommend you call 403-269-9888 during business hours (Monday-Friday, 8:30am-4:30pm). For immediate crisis response please contact the Distress Centre Crisis Line at 403-266-HELP (4537) and in case of an emergency dial 911.
This e-mail is intended solely for the person or entity to which it is addressed and may contain confidential and/or privileged information. Any review, dissemination, copying, printing, forwarding or other use of this e-mail by persons or entities other than the addressee is prohibited. If you have received this e-mail in error, please contact the sender immediately and delete the material from your computer.</t>
  </si>
  <si>
    <t>Foxit</t>
  </si>
  <si>
    <t>Good morning,
Do we still have a spare Foxit licence? Can you please give it to Ryan DeJong?
Thanks,
Kristi Perkins, CPA, CGA
Controller
[cid:image001.jpg@01D46A27.105D5D50]
14610 Yellowhead Trail NW Edmonton, AB, T5L 3C5
Branch: 780-454-0491Â Â Â Â  Toll Free: 1-800-363-7819Â Â Â Â  Direct: 780-482-0275Â Â Â Â  Cell: 780-233-6362Â Â Â Â  Fax: 780-451-5768
Email:kristi.perkins@calmont.ca
Website:www.calmont.ca
This email, and any files transmitted with it, are confidential and are intended solely for the use of the individual or entity to which they are addressed. Any unauthorized use or disclosure is prohibited. Please notify the sender if you have received this email in error. Thank you for your co-operation.</t>
  </si>
  <si>
    <t>Matthew Kennedy</t>
  </si>
  <si>
    <t>Bobcat Sales T Drive Access</t>
  </si>
  <si>
    <t>Can we please have Alysia set up for access to the following in the Bobcat Sales T Drive.
Bobcat of Edmonton
Bobcat of Fort McMurray
Bobcat of Nisku
Bobcat of Red Deer
Please provide the same access that Christie Desousa had.
Regards,
Matt Kennedy
General Sales Manager
[Bobcat of Edmonton White on Orange (2)]
[The Mulching Specialists]
Weâ€™re Customer Driven
14566 Yellowhead Trail, Edmonton, Alberta, T5L 3C5
Tel:Â 780-448-4522Â  Cell: 780-239-2949Â  Fax: 780-452-1816
Email:matthew.kennedy@calmont.ca
Visit Our Website at:Â www.calmont.ca
This email and any files transmitted with it are confidential and are intended solely for the use of the individual or entity to which they are addressed. Any unauthorized use or disclosure is prohibited. Please notify the sender if you have received this email in error. Thank you for your co-operation.</t>
  </si>
  <si>
    <t>FW: Ticket #1284822/Nora Decosemo - ARTS GoA Site access CLOSED NO RESPONSE</t>
  </si>
  <si>
    <t xml:space="preserve">Please do not close this ticket, I was away from Dec 20 till today.
Please provide contact information to contact GOA. Thanks.
Nora
</t>
  </si>
  <si>
    <t>Tom Carey</t>
  </si>
  <si>
    <t>Tom Carey - softphone will not register</t>
  </si>
  <si>
    <t>### Summary of Issue_x000D_
softphone will not register_x000D_
  _x000D_
### Details of Issue_x000D_
this has been going on for a while, through the break_x000D_
  _x000D_
### Have you opened a ticket about this issue before?  _x000D_
 No  _x000D_
  _x000D_
### How many users are impacted by this issue?  _x000D_
 Some  _x000D_
  _x000D_
### How would you classify this issue?  _x000D_
 Work Impacting  _x000D_
  _x000D_
### If your callback number is different than what's on record, please provide it below._x000D_
7802172160</t>
  </si>
  <si>
    <t>Matthew Nasby - Remove emails from my Outlook</t>
  </si>
  <si>
    <t>### Summary of Issue_x000D_
Remove emails from my Outlook_x000D_
  _x000D_
### Details of Issue_x000D_
I would like to have the following removed from my Outlook as it has been some time since they have worked here. Please set a audit reply that states "This email is no longer monitored, please use COR@youracsa.ca for your inquiry.
- Eghele Akpodovhan
- Fungai Ndovi
- Kevin Clulow
- Michael Korba
- Omoruyi Odigie_x000D_
  _x000D_
### Have you opened a ticket about this issue before?  _x000D_
 No  _x000D_
  _x000D_
### How many users are impacted by this issue?  _x000D_
 One  _x000D_
  _x000D_
### How would you classify this issue?  _x000D_
 Minor Inconvenience</t>
  </si>
  <si>
    <t>Matthew Nasby - Uninstall Flash</t>
  </si>
  <si>
    <t>### Summary of Issue_x000D_
Uninstall Flash_x000D_
  _x000D_
### Details of Issue_x000D_
Cannot uninstall Flash on my own, I get messages to have it uninstalled._x000D_
  _x000D_
### Have you opened a ticket about this issue before?  _x000D_
 No  _x000D_
  _x000D_
### How many users are impacted by this issue?  _x000D_
 Some  _x000D_
  _x000D_
### How would you classify this issue?  _x000D_
 Minor Inconvenience</t>
  </si>
  <si>
    <t>Fortinet Renewal Notice - Support Expires 03-FEB-2021</t>
  </si>
  <si>
    <t>ConnectUPS Status Report</t>
  </si>
  <si>
    <t>ConnectUPS Status Report
01/03/2021 10:00:34
SN&lt;GJ426A0465      &gt;
MAC&lt;002085EB3361&gt;
LOCATION&lt;Edmonton Server Room&gt;
MODEL&lt;Powerware 9130 3000&gt;</t>
  </si>
  <si>
    <t>Fortinet Renewal Notice - Support Expires 31-JAN-2021</t>
  </si>
  <si>
    <t>Don Gunn</t>
  </si>
  <si>
    <t>Gayle Morozoff</t>
  </si>
  <si>
    <t>MultiPoint Renewal Notice</t>
  </si>
  <si>
    <t>Terminate - Evelyn Riedlinger</t>
  </si>
  <si>
    <t>Please terminate Evelyn Riedlinger from RDS access; but, still allow access to e-mail
[image]Â Riccardo Francese
Business Process Manager
T:       +1 (780) 400-7487
C:       +1 (587) 990-0176
F:       +1 (780) 417-6496
E:       RFrancese@siterg.com
W:       WWW.SITERG.COM
#170, 120 Pembina Rd., Sherwood Park, AB, T8H 0M2
The information contained in this e-mail may       contain confidential or privileged material and is intended only for the       stated addressee(s). If you are not the valid addressee, the use,       disclosure, copying or distribution of this information is prohibited and       may be unlawful. If you have received this email message in error, please       notify the sender immediately and delete all copies of the message from       your computer. All information within or opinions expressed in this       message and/or any attachments are those of the author and are not       necessarily those of the Centurion Group.</t>
  </si>
  <si>
    <t>[image]
A high-severity alert has been triggered
âš Microsoft 365 compliance center
Severity:â—High
Time:12/31/2020 6:56:53 PM (UTC)
Activity:Protection
Details: 1 message hit on 5ac367af-a845-4c25-7f41-08d8adbdd47e-5597040856217422199-1, sent by client1@bioconcept.ru to britnee.severson@igloo.ca at time 12/31/2020 6:56:53 PM.
              View alert details          
Thank you, 
The Office 365 Team
[image]
One Microsoft Way
Redmond, WA
98052-6399 USA
Privacy | Legal</t>
  </si>
  <si>
    <t>Deactivate Employee Profile - Brooke Bailey</t>
  </si>
  <si>
    <t>Hi there,
Could you please effective immediately deactivate Brooke Baileyâ€™s employee profile? She is no longer employed with MHK. It is important to note that she has been on maternity leave for the past 12 months so her profile may already be deactivated, however, we should go through the steps of freeing up her phone line, Microsoft seat, etc. as we would with any other termination.
Please let me know if you have any questions.
Thanks,
Jana
Jana Lumsden       CPA, CMA
Chief Financial Officer
EÂ Â Â Â Â  jlumsden@mhkinsurance.com
DÂ Â Â Â  587.525.6029Â 
CÂ Â Â Â  780.999.7111
12316-107 Avenue, Edmonton, AB  T5M 1Z1
www.mhkinsurance.com
[image]
[image]
We're here to help with your insurance needs. Emails       and phone calls are still encouraged. Appointments are required for       in-office broker meetings. Please wear a mask when       visiting.
MHK welcomes       e-Transfer payments to banking@mhkinsurance.â€‰com.
If you       receive this email in error, please notify us by reply email and destroy       this message. MHK complies with Canada's Anti-Spam and Alberta's PIPA       Legislations. If you no longer wish to receive emails from MHK, please       reply with 'Unsubscribe' in the subject   line.</t>
  </si>
  <si>
    <t>RE: Calmont Equipment Ltd - Juliah Bilinske</t>
  </si>
  <si>
    <t>Good morning,
Can you please have the accounts payable â€œJâ€ drive added to Juliah Bilinske profile
Thanks, Sandra
Sandra Bianchini
Accounts Payable Manager
[cid:image003.jpg@01D5B195.DC690050]
11403 â€“ 174 Street, Edmonton, Alberta, T5S 2P4
Branch: 780-451-2680Â Â Â Â  Toll Free: 1-800-252-7902Â Â Â Â  Extension 1275
Email:sandra.bianchini@calmont.ca orpayables@calmont.ca
Website:www.calmont.ca
This email, and any files transmitted with it, are confidential and are intended solely for the use of the individual or entity to which they are addressed. Any unauthorized use or disclosure is prohibited. Please notify the sender if you have received this email in error. Thank you for your co-operation.</t>
  </si>
  <si>
    <t>Always Plumbing and Heating</t>
  </si>
  <si>
    <t>Lindsey Tait</t>
  </si>
  <si>
    <t>Remove Employee</t>
  </si>
  <si>
    <t>Please de activate employee Cindy Patton for now
Let me know ehen this is compelted
Lindsey Tait
General Manager
P: 780-489-8118
C: 780-278-9506
E:ltait@alwaysplumbing.ca
[always heating &amp;amp; plumbing]</t>
  </si>
  <si>
    <t>I would like to have a new mac computer set up</t>
  </si>
  <si>
    <t>Can we get someone to help set up this mac computer
Lindsey Tait
General Manager
P: 780-489-8118
C: 780-278-9506
E:ltait@alwaysplumbing.ca
[always heating &amp;amp; plumbing]</t>
  </si>
  <si>
    <t>Hi
Please set up an email, user name and password for Julie Rach.Â She will be working out of Calmont Truck Centre, Lethbridge.Â  Please set her up the same as Karen Hooper
Her start date is January 4, 2021.
With Thanks,
Cheryl Trenchard, PCP
Human Resources &amp; Payroll Supervisor
[cid:image001.jpg@01D407CC.BE04B790]
14610 Yellowhead Trail NW Edmonton, AB, T5L 3C5
Branch: 780-482-0281Â Â Â  Cell: 587-930-2091Â Â  Fax: 780-482-0278
Email:cheryl.trenchard@calmont.ca
Website:www.calmont.ca
This email, and any files transmitted with it, are confidential and are intended solely for the use of the individual or entity to which they are addressed. Any unauthorized use or disclosure is prohibited. Please notify the sender if you have received this email in error. Thank you for your co-operation.</t>
  </si>
  <si>
    <t>Jay Palmer</t>
  </si>
  <si>
    <t>[MEDIUM] Alert for Sophos Central [MFP Resources Corp]: AD Sync failed to import an Active Directory</t>
  </si>
  <si>
    <t>CAUTION: This email originated from outside of the MNP network. Be cautious of any embedded links and/or attachments.
MISE EN GARDE: Ce courriel ne provient pas du rÃ©seau de MNP. MÃ©fiez-vous des liens ou piÃ¨ces jointes quâ€™il pourrait contenir.
This email alert was generated by Sophos Central. Do not reply to this email.
[Sophos Central]
Sophos Central Event Details for MFP Resources Corp
What happened:AD Sync has synchronized the Sophos Central users and groups with Active Directory users and groups. However, it failed to import certain users. This can happen if there are multiple Sophos Central users with the same email address, or the Sophos Central user email and login details do not match.
Where it happened: NC-MFP-BE01
User associated with device: Sophos Central AD Sync Utility v4.0.0.116
How severe it is: Medium
What Sophos has done so far: n/a
What you need to do:To find out why this issue has occurred, see Sophos Knowledgebase article 121878.
Help sources:
Sophos Central specific articles: https://community.sophos.com/kb?TopicId=9000.
Sophos Central Frequently Asked Questions (FAQ) - https://community.sophos.com/kb/en-us/119598.
Sign in to https://central.sophos.com/ for more information
Note: Depending on the alert email frequency setting you choose, we will either send one email for one alert of each type (for example, an alert for a protection-failed event) in any 24-hour period, or send one email for each alert. You might have more alerts of the same type in the dashboard of the Sophos Central console.</t>
  </si>
  <si>
    <t>[image]
A high-severity alert has been triggered
âš Microsoft 365 compliance center
Severity:â—High
Time:12/31/2020 10:19:33 AM (UTC)
Activity:Protection
Details: 1 message hit on 328b9266-dd42-4431-fde2-08d8ad758ded-17219242767705189545-1, sent by pysesa@pysesa.com.mx to frank@igloo.ca at time 12/31/2020 10:19:33 AM.
              View alert details          
Thank you, 
The Office 365 Team
[image]
One Microsoft Way
Redmond, WA
98052-6399 USA
Privacy | Legal</t>
  </si>
  <si>
    <t>Fortinet Renewal Notice - Support Expires 30-JAN-2021</t>
  </si>
  <si>
    <t>SSL Certificate Renewal Notice - Support Expires 28-JAN-2021</t>
  </si>
  <si>
    <t>Christie Desousa</t>
  </si>
  <si>
    <t>Hi
Christie will be leaving Calmont tomorrow.
Could you please have her emails forwarded to Alysia Porter effective immediately.
Please do not disable Windows or the account for Christie for 2 more weeks (January 15, 2021)
With Thanks,
Cheryl Trenchard, PCP
Human Resources &amp; Payroll Manager
[cid:image001.jpg@01D407CC.BE04B790]
14610 Yellowhead Trail NW Edmonton, AB, T5L 3C5
Branch: 780-482-0281Â Â Â  Cell: 587-930-2091Â Â  Fax: 780-482-0278
Email:cheryl.trenchard@calmont.ca
Website:www.calmont.ca
This email, and any files transmitted with it, are confidential and are intended solely for the use of the individual or entity to which they are addressed. Any unauthorized use or disclosure is prohibited. Please notify the sender if you have received this email in error. Thank you for your co-operation.</t>
  </si>
  <si>
    <t>[image]
A high-severity alert has been triggered
âš Microsoft 365 compliance center
Severity:â—High
Time:12/30/2020 8:27:45 PM (UTC)
Activity:Protection
Details: 1 message hit on 11f5aa25-fb9e-4491-03cd-08d8ad015ca5-4144202277151415768-1, sent by m.sharaf@aquagreen-qa.com to cyndy.vaughan@igloo.ca at time 12/30/2020 8:27:45 PM.
              View alert details          
Thank you, 
The Office 365 Team
[image]
One Microsoft Way
Redmond, WA
98052-6399 USA
Privacy | Legal</t>
  </si>
  <si>
    <t>FW: E-mail Accounts</t>
  </si>
  <si>
    <t>Hi there,
Please create an email account for :
 Christine Paquette Scott
No title or address for now.
She should have access to the following folder:
N:\New Projects\Inner Ways
Also add her into the following email distribution list:
-Â Â Â Â Â Â Â Â Â  All staff
-Â Â Â Â Â Â Â Â Â  Inner ways leadership
Please send me the credentials. Let me know if you have any questions,
Thanks
M.Luiza Coelho e4c
Senior Manager
mlcoelho@e4calberta.org
T 780.424.7543 ext 132
9321 Jasper Avenue, Edmonton AB T5H 3T7
e4calberta.org
[image]
This message is intended for the use of the individual or entity to which it is addressed and may contain information that is privileged and confidential. If you are not the intended recipient or the employee responsible for delivery of the message to the intended recipient, please be advised that any dissemination, distribution or copying of this message is strictly prohibited. If you have received this message in error, please notify us immediately by telephone and return the original email to us or destroy this message.
[image]e4c supports environmental conservation - please print wisely.
From: Amanda Tam 
Sent: Wednesday, December 30, 2020 10:27 AM
To: M.Luiza Coelho &lt;mlcoelho@e4calberta.org&gt;
Cc: Catherine Parent &lt;CParent@e4calberta.org&gt;; Marisa Redmond &lt;MRedmond@e4calberta.org&gt;
Subject: RE: E-mail Accounts while Karen's Away?
Hi there,
Hereâ€™s the information:
 Christine Paquette Scott
Wellness Manager
Eagles Nest
Note: no written offer has been extended yet as Marisa/Julie are still working on a start date so Iâ€™m unsure if you want to add in the title of Wellness Manager or leave it blank (or Transitional Housing) for now.
Regards,
Amanda Tam, B. Com (she/her) e4c
Human Resources Generalist 
Human Resources
ATam@e4calberta.org
T
780.424.7543 ext 164
C
780.721.2331
9321 Jasper Avenue, Edmonton AB T5H 3T7
e4calberta.org
[image]
This message is intended for the use of the individual or entity to which it is addressed and may contain information that is privileged and confidential. If you are not the intended recipient or the employee responsible for delivery of the message to the intended recipient, please be advised that any dissemination, distribution or copying of this message is strictly prohibited. If you have received this message in error, please notify us immediately by telephone and return the original email to us or destroy this message.
[image]e4c supports environmental conservation - please print wisely.
From: Catherine Parent 
Sent: Wednesday, December 30, 2020 10:23 AM
To: Marisa Redmond &lt;MRedmond@e4calberta.org&gt;; Amanda Tam &lt;ATam@e4calberta.org&gt;
Cc: M.Luiza Coelho &lt;mlcoelho@e4calberta.org&gt;
Subject: RE: E-mail Accounts while Karen's Away?
Hi all â€“ can someone confirm Christineâ€™s last name. Luiza needs the information to request an e4c email account.
Thanks!
C.
Catherine Parent  e4c
Human Services Manager
CParent@e4calberta.org
C
780-554-3676
9321 Jasper Avenue, Edmonton AB T5H 3T7
e4calberta.org
[image]
This message is intended for the use of the individual or entity to which it is addressed and may contain information that is privileged and confidential. If you are not the intended recipient or the employee responsible for delivery of the message to the intended recipient, please be advised that any dissemination, distribution or copying of this message is strictly prohibited. If you have received this message in error, please notify us immediately by telephone and return the original email to us or destroy this message.
[image]e4c supports environmental conservation - please print wisely.
From: Marisa Redmond 
Sent: December 29, 2020 9:47 AM
To: Amanda Tam &lt;ATam@e4calberta.org&gt;; M.Luiza Coelho &lt;mlcoelho@e4calberta.org&gt;
Cc: Connie Olson &lt;COlson@e4calberta.org&gt;; Catherine Parent &lt;CParent@e4calberta.org&gt;
Subject: RE: E-mail Accounts while Karen's Away?
Good morning Luiza,
Are we able to create and email account for Christine who will most likely be requ...</t>
  </si>
  <si>
    <t>Employee Off Boarding - Corrie Tetreau</t>
  </si>
  <si>
    <t>Hello MNP IT,
Please schedule to off-board employee Corrie Tetreau AFTER 4:30pm, today December 30, 2020, as she will not longer be employed by Align Orthodontics. She is still working today and requires access.
Disable:
 Hewes and SHPK RDS log in
 Email
 Forward emails to Paula McFaul and Tricia Langwald
 Remove her from the Align-All global email address
 remove her Thin Print License
Thanks,
Mel
Melody Baldry
Manager Align Orthodontics
Edmonton, Alberta, Canada
Direct: 780.395.2999
Edmonton Main: 780.463.5141
Sherwood Park Main: 780.449.6597
www.alignortho.com
[Email Logo Template]
Confidentiality Notice: This message and any attachments are solely for the intended recipient and may contain confidential or privileged information. If you are not the intended recipient, any disclosure, copying, use, or distribution of the information included in this message and any attachment is prohibited. If you have received this communication in error, please notify myself, by reply email and immediately and permanently delete this message and any attachments.</t>
  </si>
  <si>
    <t>Michelle Black</t>
  </si>
  <si>
    <t>Michelle Black - Install Microsoft Office on my Laptop</t>
  </si>
  <si>
    <t>### Summary of Issue_x000D_
Install Microsoft Office on my Laptop_x000D_
  _x000D_
### Details of Issue_x000D_
When you have a moment, could you install Microsoft Office onto my laptop.  If you need to call me my cell is (780) 233-0074.
Thanks,  Michelle_x000D_
  _x000D_
### Have you opened a ticket about this issue before?  _x000D_
 No  _x000D_
  _x000D_
### How many users are impacted by this issue?  _x000D_
 One  _x000D_
  _x000D_
### How would you classify this issue?  _x000D_
 Other  _x000D_
  _x000D_
### If your callback number is different than what's on record, please provide it below._x000D_
(780) 233-0074</t>
  </si>
  <si>
    <t>Gurminder Singh</t>
  </si>
  <si>
    <t xml:space="preserve">Add new Mitel user, Murray Jennifer </t>
  </si>
  <si>
    <t>Hello Team,
We have a new hire starting 4thÂ January 2021.
Please see below form:
1.Â Â Â Â Â Â Â Â Â Full name of staff member, as well as the AD name: Murray Jennifer / mjennifer
2.Â Â Â Â Â Â Â Â Â Location of staff member (Edm/ Cal/ Ykn): EDM
3.Â Â Â Â Â Â Â Â Â User Group: (Lawyer / Manager / Staff): Staff
4.Â Â Â Â Â Â Â Â Â Do they need to be part of any hunt group: (Reception or Central Services etc):
5.Â Â Â Â Â Â Â Â Â Do they need mobility? What is the userâ€™s mobile number? No
6.Â Â Â Â Â Â Â Â Â Do they need a DID? (Yes / No) Yes (this will be yes 99/100 times)
7.Â Â Â Â Â Â Â Â Â If they are taking over an DID, what is the DID. N/A (usually a special request)
8.Â Â Â Â Â Â Â Â Â MAC address of the phone that the user needs to be assigned to. N/A (not required)
9.Â Â Â Â Â Â Â Â Â Is Scribe feature required? (Yes/No) No (Yes only for management/lawyers)
10.Â Â Â Â Â Date Due By (Not the User Start Date:) ASAP
Kind Regards,
Gurminder Singh
LVS-Deskside (Edmonton)Â Â 
|vCard
T
F 
GSingh@fieldlaw.com Â Â Â Â 
fieldlaw.com
[Field Law]
This message (including any attachments) is for the addressee(s) only and may contain information that is privileged, confidential or exempt from disclosure. If you have received this message in error please immediately notify the sender and delete this email message and any attachments.
"Field Law," the logo andÂ â€œBecause Clarity Mattersâ€ are registered trademarks of Field LLP.Â  "Field Law" is a registered trade name of Field LLP</t>
  </si>
  <si>
    <t>Add new Mitel user, Abdullahi Hindisaar</t>
  </si>
  <si>
    <t>Hello Team,
We have a new hire starting 4thÂ January 2021.
Please see below form:
1.Â Â Â Â Â Â Â Â Â Full name of staff member, as well as the AD name: Abdullahi HindisaarÂ / ahindisaar
2.Â Â Â Â Â Â Â Â Â Location of staff member (Edm/ Cal/ Ykn): EDM
3.Â Â Â Â Â Â Â Â Â User Group: (Lawyer / Manager / Staff): Staff
4.Â Â Â Â Â Â Â Â Â Do they need to be part of any hunt group: (Reception or Central Services etc):
5.Â Â Â Â Â Â Â Â Â Do they need mobility? What is the userâ€™s mobile number? No
6.Â Â Â Â Â Â Â Â Â Do they need a DID? (Yes / No) Yes (this will be yes 99/100 times)
7.Â Â Â Â Â Â Â Â Â If they are taking over an DID, what is the DID. N/A (usually a special request)
8.Â Â Â Â Â Â Â Â Â MAC address of the phone that the user needs to be assigned to. N/A (not required)
9.Â Â Â Â Â Â Â Â Â Is Scribe feature required? (Yes/No) No (Yes only for management/lawyers)
10.Â Â Â Â Â Date Due By (Not the User Start Date:) ASAP
Kind Regards,
Gurminder Singh
LVS-Deskside (Edmonton)Â Â 
|vCard
T
F 
GSingh@fieldlaw.com Â Â Â Â 
fieldlaw.com
[Field Law]
This message (including any attachments) is for the addressee(s) only and may contain information that is privileged, confidential or exempt from disclosure. If you have received this message in error please immediately notify the sender and delete this email message and any attachments.
"Field Law," the logo andÂ â€œBecause Clarity Mattersâ€ are registered trademarks of Field LLP.Â  "Field Law" is a registered trade name of Field LLP</t>
  </si>
  <si>
    <t>Add new Mitel User, Rochelle Zomar</t>
  </si>
  <si>
    <t>Hello Team,
We have a new hire starting 4th JanuaryÂ 2021.
Please see below form:
1.Â Â Â Â Â Â Â Â Â Full name of staff member, as well as the AD name: Rochelle Zomar / rzomar
2.Â Â Â Â Â Â Â Â Â Location of staff member (Edm/ Cal/ Ykn): EDM
3.Â Â Â Â Â Â Â Â Â User Group: (Lawyer / Manager / Staff): Staff
4.Â Â Â Â Â Â Â Â Â Do they need to be part of any hunt group: (Reception or Central Services etc):
5.Â Â Â Â Â Â Â Â Â Do they need mobility? What is the userâ€™s mobile number? No
6.Â Â Â Â Â Â Â Â Â Do they need a DID? (Yes / No) Yes (this will be yes 99/100 times)
7.Â Â Â Â Â Â Â Â Â If they are taking over an DID, what is the DID. N/A (usually a special request)
8.Â Â Â Â Â Â Â Â Â MAC address of the phone that the user needs to be assigned to. N/A (not required)
9.Â Â Â Â Â Â Â Â Â Is Scribe feature required? (Yes/No) No (Yes only for management/lawyers)
10.Â Â Â Â Â Date Due By (Not the User Start Date:) ASAP
Kind Regards,
Gurminder Singh
LVS-Deskside (Edmonton)Â Â 
|vCard
T
F 
GSingh@fieldlaw.com Â Â Â Â 
fieldlaw.com
[Field Law]
This message (including any attachments) is for the addressee(s) only and may contain information that is privileged, confidential or exempt from disclosure. If you have received this message in error please immediately notify the sender and delete this email message and any attachments.
"Field Law," the logo andÂ â€œBecause Clarity Mattersâ€ are registered trademarks of Field LLP.Â  "Field Law" is a registered trade name of Field LLP</t>
  </si>
  <si>
    <t>Ravi Kumar - Need to watch video presentation at cpacanada.org</t>
  </si>
  <si>
    <t>### Summary of Issue_x000D_
Need to watch video presentation at cpacanada.org_x000D_
  _x000D_
### Details of Issue_x000D_
This is the site for professional accountants and I need to visit the site often and watch videos. Iâ€™m getting blocked when I try to get in.  Can you please help?_x000D_
  _x000D_
### Have you opened a ticket about this issue before?  _x000D_
 No  _x000D_
  _x000D_
### How many users are impacted by this issue?  _x000D_
 Some  _x000D_
  _x000D_
### How would you classify this issue?  _x000D_
 Work Impacting</t>
  </si>
  <si>
    <t>Kelsey Kerby</t>
  </si>
  <si>
    <t>Moving my Remote desktop from my old laptop to a new laptop</t>
  </si>
  <si>
    <t>I had to purchase a new laptop and need the remote desktop moved to my new one please:)  _x000D_
  _x000D_
I can be reached at 780-405-4901</t>
  </si>
  <si>
    <t>Azure Billing Review</t>
  </si>
  <si>
    <t>Please assign to me.
Jeff Meadows
Field Services Technician
PH.Â 587.273.5062
4922 - 53 St.
Red Deer,       AB
T4N2E9
Jeff.Meadows@mnp.ca
mnp.ca [image]
[image]
From: Lyndon Will &lt;Lyndon.Will@mnp.ca&gt;
Sent: Wednesday, December 30, 2020 8:10 AM
To: CT-Site Energy Services Ltd. Team &lt;CT-SiteEnergyServicesLtdTeam@mnp.ca&gt;
Subject: FW: Please review your Azure billing statement for Pay-As-You-Go
Can someone from the SITE team look into their Azure billing and get a cost breakdown for Riccardo.
Lyndon Will
Senior Project Specialist
PH.Â +1 7804246398 Ext 331
14505 114th Avenue NW
Edmonton, AB
T5M2Y8
Lyndon.Will@mnp.ca
mnp.ca
[image]
[image]
From: Lyndon Will &lt;Lyndon.Will@mnp.ca&gt;
Sent: Wednesday, December 30, 2020 8:09 AM
To: Riccardo Francese &lt;RFrancese@siterg.com&gt;; Lyndon Will &lt;lwill@nextdigital.ca&gt;
Subject: RE: Please review your Azure billing statement for Pay-As-You-Go
Riccardo,
Nothing has changed that I am aware of. I will reach out to the team and see if they can get a cost breakdown for you or figure out why it was more.
--Lyndon
Lyndon Will
Senior Project Specialist
PH.Â +1 7804246398 Ext 331
14505 114th Avenue NW
Edmonton, AB
T5M2Y8
Lyndon.Will@mnp.ca
mnp.ca
[image]
[image]
From: Riccardo Francese &lt;RFrancese@siterg.com&gt;
Sent: Monday, December 28, 2020 7:09 PM
To: Lyndon Will &lt;lwill@nextdigital.ca&gt;
Subject: FW: Please review your Azure billing statement for Pay-As-You-Go
CAUTION:This email originated from outside of the MNP network. Be cautious of any embedded links and/or attachments.
MISE EN GARDE:Ce courriel ne provient pas du rÃ©seau de MNP. MÃ©fiez-vous des liens ou piÃ¨ces jointes quâ€™il pourrait contenir.
Hey Lyndon,
This came out way more expensive than before?
[Image removed by sender.]
Riccardo Francese
Business Process Manager
T: +1 (780) 400-7487
C: +1 (587) 990-0176
F: +1 (780) 417-6496
E:RFrancese@siterg.com
W:WWW.SITERG.COM.
Account information
Billing account:ndadmin@sitrerg.onmicrosoft.com
Subscription ID: f80588ef-bb64-4ff6-8bb6-6cb1cae029b4
Subscription name: Pay-As-You-Go
Billing period: November 27, 2020â€“December 26, 2020
[Image removed by sender. Facebook]
[Image removed by sender. YouTube]
This is a mandatory service communication. To set your contact preferences or to unsubscribe from other communications , visit thePromotional Communications Manager. 
Il sâ€™agit de communications obligatoires. Pour configurer vos prÃ©fÃ©rences de contact pour dâ€™autres communications, accÃ©dez augestionnaire de communications promotionnelles.
Microsoft Corporation,One Microsoft Way, Redmond, WA 98052
[Image removed by sender. Microsoft]
[Image removed by sender.]</t>
  </si>
  <si>
    <t>Problem - I do, @ MNP/Next Digital - Mitel Connect "Softphone registration timed out" error ...</t>
  </si>
  <si>
    <t xml:space="preserve">Extended Summary_x000D_
Problem - I do, @ MNP/Next Digital - Mitel Connect "Softphone registration timed out" error for about about a week now, when trying to click the Softphone option in Mitel_x000D_
_x000D_
Description_x000D_
### Problems are the causes of incidents. This form is intended to collect identified problems and known issues that exist for a Client. Examples include systemic ISP problems, and reoccurring issues.  _x000D_
  _x000D_
### Which Client has this problem?_x000D_
I do, @ MNP/Next Digital_x000D_
  _x000D_
### Summarize the nature of the problem?_x000D_
Mitel Connect "Softphone registration timed out" error for about about a week now, when trying to click the Softphone option in Mitel_x000D_
  _x000D_
### Provide a full description of the problem and any applicable history relating to it_x000D_
Please see attachment. 
In Mitel, when I click on my name on the tope left, the Primary Assignment  field appears where I can select where Icoming Calls will ring. When I select the Softphone option, it always throws an error "Softphone registration timed out", then auto selects the last working option that is not Softphone._x000D_
</t>
  </si>
  <si>
    <t>Request to Change Michelle Black Email Signature</t>
  </si>
  <si>
    <t>Hi there,
Can we please correct Michelle Blackâ€™s e-mail signature to the following:
-Â Â Â Â Â Â Â  Michelle Black 
Peer Navigator 
Wellness Network
Thanks,
Amanda Tam, B. Com (she/her) e4c
Human Resources Generalist 
Human Resources
ATam@e4calberta.org
T 780.424.7543 ext 164
C 780.721.2331
9321 Jasper Avenue, Edmonton AB T5H 3T7
e4calberta.org
[image]
This message is intended for the use of the individual or entity to which it is addressed and may contain information that is privileged and confidential. If you are not the intended recipient or the employee responsible for delivery of the message to the intended recipient, please be advised that any dissemination, distribution or copying of this message is strictly prohibited. If you have received this message in error, please notify us immediately by telephone and return the original email to us or destroy this message.
[image]e4c supports environmental conservation - please print wisely.
From: Alicia Lewis 
Sent: Wednesday, December 30, 2020 8:50 AM
To: Amanda Tam &lt;ATam@e4calberta.org&gt;; M.Luiza Coelho &lt;mlcoelho@e4calberta.org&gt;
Cc: Michelle Black &lt;MBlack@e4calberta.org&gt;
Subject: Michelle Black email signature
Good Morning,
I am just following up with regards to Michelle Blackâ€™s e4c signature.
Itâ€™s still set as â€œWellness Coachâ€ The Lodge at Elizabeth House.
Could it please be changed to
Peer Navigator
Wellness Network
Kind Regards
Alicia Lewis
Alicia Lewis  e4c
Wellness Network Coordinator 
Community Development
alewis@e4calberta.org
T
780-784-3492
9321 Jasper Avenue, Edmonton AB T5H 3T7
e4calberta.org
[image]
This message is intended for the use of the individual or entity to which it is addressed and may contain information that is privileged and confidential. If you are not the intended recipient or the employee responsible for delivery of the message to the intended recipient, please be advised that any dissemination, distribution or copying of this message is strictly prohibited. If you have received this message in error, please notify us immediately by telephone and return the original email to us or destroy this message.
[image]e4c supports environmental conservation - please print wisely.
From: Alicia Lewis 
Sent: Monday, November 30, 2020 9:11 AM
To: Amanda Tam &lt;ATam@e4calberta.org&gt;; M.Luiza Coelho &lt;mlcoelho@e4calberta.org&gt;
Subject: FW: Test
Good Morning,
Iâ€™m not exactly sure who sets the signatures on staff email but Michelle Black has the wrong title on her email.
Itâ€™s;
Peer Navigator
Wellness Network
Kind Regards
Alicia Lewis
From: Michelle Black [mailto:supershell.michelle@gmail.com] 
Sent: Monday, November 30, 2020 9:03 AM
To: Alicia Lewis &lt;ALewis@e4calberta.org&gt;
Subject: Re: Test
This signature line is not me
MichelleÂ BlackÂ e4c
Wellness CoachÂ 
The Lodge at Elizabeth House
On Mon, Nov 30, 2020 at 8:55 AM Alicia Lewis &lt;ALewis@e4calberta.org&gt; wrote:
Hi Michelle,
What is incorrect about it?
Alicia Lewis  e4c
Wellness Network Coordinator 
Community Development
alewis@e4calberta.org
T
780-784-3492
9321 Jasper Avenue, Edmonton AB T5H 3T7
e4calberta.org
[image]
This message is intended for the use of the individual or entity to which it is addressed and may contain information that is privileged and confidential. If you are not the intended recipient or the employee responsible for delivery of the message to the intended recipient, please be advised that any dissemination, distribution or copying of this message is strictly prohibited. If you have received this message in error, please notify us immediately by telephone and return the original email to us or destroy this message.
[image]e4c supports environmental conservation - please print wisely.
From: Michelle Black [mailto:supershell.michelle@gmail.com] 
Sent: Sunday, November 29, 2020 9:36 PM
To: Alicia Lewis &lt;ALewis@e4calberta.org&gt;
Subject: Fwd: Test
Hi Alicia
I noticed my signature is incorrect when I send an email from my work email.
Could you please look i...</t>
  </si>
  <si>
    <t>Wayne Lipsett - Our WindWard accounting system is not working properly.  It is slow, and "fl...</t>
  </si>
  <si>
    <t xml:space="preserve">Extended Summary_x000D_
Wayne Lipsett - Our WindWard accounting system is not working properly.  It is slow, and "flaky"._x000D_
_x000D_
Description_x000D_
### Summary of Issue_x000D_
Our WindWard accounting system is not working properly.  It is slow, and "flaky"._x000D_
  _x000D_
### Details of Issue_x000D_
Unable to apply a payment from a client (AR), as the system believes another user is within the system.
Yesterday, we were unable to accurately run an AP sub-ledger._x000D_
  _x000D_
### Have you opened a ticket about this issue before?  _x000D_
 No  _x000D_
  _x000D_
### How many users are impacted by this issue?  _x000D_
 Everyone  _x000D_
  _x000D_
### How would you classify this issue?  _x000D_
 Unable to Work_x000D_
</t>
  </si>
  <si>
    <t>RE:  Addition to Email Group</t>
  </si>
  <si>
    <t>Please have Pierre Plamondon added to the Staff@pilgrimshospice.com email as soon as possible.
Thank you,
Cheryl Waldo
Senior Executive Assistant
Pilgrims Hospice Society
9808 â€“ 148 Street
Edmonton ABÂ  T5N 3E8
T. 780.413.9801 ext. 240 / T. 587.414.5043 (direct)
*Home of the new Roozen Family Hospice Centre
[image]</t>
  </si>
  <si>
    <t>Days Inn and Suites Sherwood Park</t>
  </si>
  <si>
    <t>Lili Sartorius</t>
  </si>
  <si>
    <t>Fortinet Renewal Notice - Support Expires 29-JAN-2021</t>
  </si>
  <si>
    <t>Sage Update (Q4 2020 Tax Update)</t>
  </si>
  <si>
    <t>Good Afternoon
I need a Sage update installed. The update ID, file location and Sage account information is listed below.
 Update ID â€“ 108327
 Download files are saved in S:\Accounting\IT\Sage Updates\2020 Q4 (2021 Tax Update)
 Sage Account Number â€“ 4000676716
 Sage Knowledge base access
 Link -https://support.na.sage.com/selfservice/viewdocument.do?noCount=true&amp;externalId=108327&amp;sliceId=2&amp;noCount=true&amp;isLoadPublishedVer=&amp;docType=kc&amp;docTypeID=DT_DOWNLOAD_1&amp;stateId=7543&amp;cmd=displayKC&amp;dialogID=442780&amp;ViewedDocsListHelper=com.kanisa.apps.common.BaseViewedDocsListHelperImpl&amp;openedFromSearchResults=true
 User Name â€“shubhneetl@metalfab.ca
 Password â€“ Sage2030!
Please let me know when will this be scheduled for and I will make sure that no one access the program during this time.
If you have any questions, please let me know.
Shubhneet
Shubhneet Lotay, CPA
Intermediate Accountant
Metal Fabricators and Welding Ltd.
12509 124 Street
Edmonton, AB, T5L 0N6
P: 780-455-2186 (ext 764)
D: 780-453-9764
F: 780-455-8434</t>
  </si>
  <si>
    <t>RE: Landing Page + Banner</t>
  </si>
  <si>
    <t>Until this issue is resolved, Megan, can you please take off the lead form so that people arenâ€™t submitting them? Please just leave the call now button instead.
Thanks,
Amanda
Amanda Julio | Marketing Manager | Lexus of Edmonton 
Tel: 780-466-8300 ex.526 | ajulio@lexusofedmonton.caÂ  | www.lexusofedmonton.ca
[image]
Lexus of Edmonton family member since 2018
From: Megan Trudo &lt;support@foxdealer.com&gt; 
Sent: December 29, 2020 2:03 PM
To: Amanda Julio &lt;ajulio@lexusofedmonton.ca&gt;
Cc: help@nextdigital.ca
Subject: RE: Landing Page + Banner
Hi Next Digital Support, 
We have a lead form sending to onlinesales@lexusofedmonton.ca and ajulio@lexusofedmonton.ca. My team and I have sent test leads that appear to be working properly on our end. I've attached the most recent lead we sent from yesterday. However, the dealers are not receiving it. Please let us know if you are able to assist with this. 
My best, 
Megan Trudo 
Account Manager, Dealer Support 
www.FoxDealer.com 
O: (866) 391-1718 x 638 
M: (909) 767-0766 
megan@foxdealer.com 
[Image removed by sender.]
--------------- Original Message --------------- 
From: Amanda Julio [ajulio@lexusofedmonton.ca] 
Sent: 12/29/2020 8:19 AM 
To: support@foxdealer.com 
Cc: help@nextdigital.ca 
Subject: RE: Landing Page + Banner
Hello,
Yes, I have CCâ€™d Next Digital on this. I am still not seeing any test leads come through to my email â€“ is someone from next digital able to check on this for us please?
Thanks,
Amanda
Amanda Julio | Marketing Manager | Lexus of Edmonton
Tel: 780-466-8300 ex.526 | ajulio@lexusofedmonton.caÂ  |  www.lexusofedmonton.ca
[image]
Lexus of Edmonton family member since 2018
From: Megan Trudo &lt;support@foxdealer.com&gt;
Sent: December 28, 2020 5:58 PM
To: Amanda Julio &lt;ajulio@lexusofedmonton.ca&gt;
Subject: RE: Landing Page + Banner
Amanda - I just temporarily added my Fox Dealer email to test it out and I did receive a test lead. See attachment. We're not able to duplicate the issue on our end. Is there anyone from your CRM provider or tech team that could assist?
My best,
Megan Trudo
Account Manager, Dealer Support
www.FoxDealer.com
O: (866) 391-1718 x 638
M: (909) 767-0766
megan@foxdealer.com
[Image removed by sender.]
--------------- Original Message ---------------
From: Amanda Julio [ajulio@lexusofedmonton.ca]
Sent: 12/28/2020 3:34 PM
To: support@foxdealer.com
Subject: RE: Landing Page + Banner
I checked all my folders and there is no test lead!
Amanda Julio | Marketing Manager | Lexus of Edmonton
Tel: 780-466-8300 ex.526 | ajulio@lexusofedmonton.caÂ  |  www.lexusofedmonton.ca
[image]
Lexus of Edmonton family member since 2018
From: Megan Trudo &lt;support@foxdealer.com&gt;
Sent: December 28, 2020 4:07 PM
To: Amanda Julio &lt;ajulio@lexusofedmonton.ca&gt;
Subject: RE: Landing Page + Banner
Amanda - Our devs forwarded me the test lead. See attached. It seems that everything is working properly on our end. Did you happen to check the Spam folder?
My best,
Megan Trudo
Account Manager, Dealer Support
www.FoxDealer.com
O: (866) 391-1718 x 638
M: (909) 767-0766
megan@foxdealer.com
[Image removed by sender.]
--------------- Original Message ---------------
From: Megan Trudo [support@foxdealer.com]
Sent: 12/28/2020 12:53 PM
To: ajulio@lexusofedmonton.ca
Subject: RE: Landing Page + Banner
Amanda - I have our devs looking into this now and will follow up with an update.
My best,
Megan Trudo
Account Manager, Dealer Support
www.FoxDealer.com
O: (866) 391-1718 x 638
M: (909) 767-0766
megan@foxdealer.com
[Image removed by sender.]
--------------- Original Message ---------------
From: Amanda Julio [ajulio@lexusofedmonton.ca]
Sent: 12/28/2020 11:42 AM
To: support@foxdealer.com
Subject: RE: Landing Page + Banner
I did not receive anything!
Amanda Julio | Marketing Manager | Lexus of Edmonton
Tel: 780-466-8300 ex.526 | ajulio@lexusofedmonton.caÂ  |  www.lexusofedmonton.ca
[image]
Lexus of Edmonton family member sin...</t>
  </si>
  <si>
    <t>Emma Dobson</t>
  </si>
  <si>
    <t>email group</t>
  </si>
  <si>
    <t>Can you please add me to the email group EdmServInvoices@calmont.ca
Emma.Dobson@calmont.ca
Emma Dobson
Service Writer
[cid:image001.jpg@01D40C6B.5195C1F0]
We're Customer Driven
14610 Yellowhead Trail NW Edmonton, AB, T5L 3C5
Branch: 780-454-0491Â Â Â Â  Toll Free: 1-800-363-7819Â Fax: 780-482-5663
Email:Emma.Dobson@calmont.ca
Website:www.calmont.ca
This email, and any files transmitted with it, are confidential and are intended solely for the use of the individual or entity to which they are addressed. Any unauthorized use or disclosure is prohibited. Please notify the sender if you have received this email in error. Thank you for your co-operation.
|^^^^^^^^^^^^^^^^^^^^|_||
|Â CÂ A L M O N TÂ Â Â Â | ||Â |"\,___Â Â Â Â Â Â Â Â Â Â Â Â 
|_..._...__________==|=||_|__|..;]
"(@)'(@)"""""""""|(@)(@)*****(@)</t>
  </si>
  <si>
    <t>[image]
A high-severity alert has been triggered
âš Microsoft 365 compliance center
Severity:â—High
Time:12/29/2020 7:01:28 PM (UTC)
Activity:Protection
Details: 1 message hit on 021d1748-74e3-4ee5-c350-08d8ac2c24c5-15808882132268629681-1, sent by sales@businessserviceuae.com to tanis.sumners@igloo.ca at time 12/29/2020 7:01:28 PM.
              View alert details          
Thank you, 
The Office 365 Team
[image]
One Microsoft Way
Redmond, WA
98052-6399 USA
Privacy | Legal</t>
  </si>
  <si>
    <t>Jafaru Akemokwe and Mike Farhat - Unable to use SoftPhone on Mitel Connect</t>
  </si>
  <si>
    <t>### Summary of Issue_x000D_
Unable to use SoftPhone on Mitel Connect_x000D_
  _x000D_
### Details of Issue_x000D_
Getting an error "Softphone registration timed out" in Mitel?
I have signed out and back in to no avail, Calls do not ring on my Softphone
Noticed it was still on the Deskphone
Tried to switch to Soft Phone and got the error in attachment_x000D_
  _x000D_
### Have you opened a ticket about this issue before?  _x000D_
 No  _x000D_
  _x000D_
### How many users are impacted by this issue?  _x000D_
 One  _x000D_
  _x000D_
### How would you classify this issue?  _x000D_
 Work Impacting</t>
  </si>
  <si>
    <t>User Access</t>
  </si>
  <si>
    <t>Hi,
Can we give access to the â€œProductionâ€ drive P: for Kevin Fee.
Please and thanks.
Ryan Sander</t>
  </si>
  <si>
    <t>Quote Request - Pilgram's Hospice - Wireless mouse and Mouse pad</t>
  </si>
  <si>
    <t>### End User Hardware  _x000D_
  _x000D_
### What company is this quote for?_x000D_
Pilgram's Hospice_x000D_
  _x000D_
### Who made this request and why?_x000D_
Thomas, at clients request_x000D_
  _x000D_
### Give this request a name_x000D_
Wireless mouse and Mouse pad_x000D_
  _x000D_
### Who should the quote be addressed to?  _x000D_
 The primary contact in Connectwise  _x000D_
  _x000D_
### Which location is the product for?_x000D_
Main_x000D_
  _x000D_
### Is there an existing ticket on another Connectwise board? If so what is the ticket number?_x000D_
1331411_x000D_
  _x000D_
### Which ND location is it needed at?  _x000D_
 Next Digital Edmonton  _x000D_
  _x000D_
### When is it needed by OR when is the next site visit for the client's location?  _x000D_
Mon 4 Jan, 2021  _x000D_
  _x000D_
### Do you need labour quoted?  _x000D_
 No  _x000D_
  _x000D_
### What products do you need on this quote?  _x000D_
 Accessories (Mice, keyboards, RAM/SSD upgrades etc)  _x000D_
  _x000D_
### Accessories  _x000D_
  _x000D_
### What do you need?  _x000D_
 Other  _x000D_
  _x000D_
### What do you need?_x000D_
Wireless Mouse and Mouse pad_x000D_
  _x000D_
### What products do you need quoted?_x000D_
1 Wireless mouse and Mouse pad</t>
  </si>
  <si>
    <t>[image]
A high-severity alert has been triggered
âš Microsoft 365 compliance center
Severity:â—High
Time:12/29/2020 10:26:55 AM (UTC)
Activity:Protection
Details: 1 message hit on 7fcfd06d-592c-4c2b-850a-08d8abe3ee2e-15808882132268629681-1, sent by baky.ullah@hpchemicalsltd.com to tanis.sumners@igloo.ca at time 12/29/2020 10:26:55 AM.
              View alert details          
Thank you, 
The Office 365 Team
[image]
One Microsoft Way
Redmond, WA
98052-6399 USA
Privacy | Legal</t>
  </si>
  <si>
    <t>[image]
A high-severity alert has been triggered
âš Microsoft 365 compliance center
Severity:â—High
Time:12/29/2020 9:04:17 AM (UTC)
Activity:Protection
Details: 1 message hit on a19a0325-32e3-46d7-ca49-08d8abd8780d-15808882132268629681-1, sent by dhensley@tscminc.com to tanis.sumners@igloo.ca at time 12/29/2020 9:04:17 AM.
              View alert details          
Thank you, 
The Office 365 Team
[image]
One Microsoft Way
Redmond, WA
98052-6399 USA
Privacy | Legal</t>
  </si>
  <si>
    <t>Degner Construction Group</t>
  </si>
  <si>
    <t>Shane Yaniw</t>
  </si>
  <si>
    <t>Ash Magdy</t>
  </si>
  <si>
    <t>Ash - Password Prompt</t>
  </si>
  <si>
    <t>Scribe transcribed your voicemail message. On Mon Dec 28 2020 15:58 MST, a caller from +14036120439 said: 
Hi my name is Astra. My email is mandy@thearlingtonstreetindustin.ca. My email password-is(?) saying you have to change out to change and it doesn't you ... it says it's wrong it's wrong and I haven't changed my password. So I was wondering if someone can pick this because I can't receive or access anything on Arlington. Hopefully tomorrow and get a quote from you guys. Thank you. Bye.
You have a new voicemail message.
New Voice Message
--- 
From:ASH MAHMOUD 
(403) 612-0439
--- 
To:Emergency Support
--- 
Time:Mon Dec 28 2020 15:58 MST
--- 
Duration:00:26
---
VM-ID:20790361:20660731
Month to date usage: 26 messages / 00:15:48 (hh:mm:ss)</t>
  </si>
  <si>
    <t>Kathy Bleau</t>
  </si>
  <si>
    <t>Runtime Error</t>
  </si>
  <si>
    <t>Scribe transcribed your voicemail message. On Mon Dec 28 2020 15:35 MST, a caller from +17804496597 said: 
Hi it's Elaine at the Don text calling. I'm working on a computer today and I've got a run time error five invalid procedure call or argument. I can't do anything at all and orthodontics I need to Casco and yeah I'm frozen so if you can give me hand that would be great. Thank you. Number here is 780-449-6597. Thank you. Talk to you soon.
You have a new voicemail message.
New Voice Message
--- 
From:ALIGN ORTHO 
(780) 449-6597
--- 
To:Emergency Support
--- 
Time:Mon Dec 28 2020 15:35 MST
--- 
Duration:00:26
---
VM-ID:20790126:20660497
Month to date usage: 25 messages / 00:15:18 (hh:mm:ss)</t>
  </si>
  <si>
    <t>Douglas Haines - External monitor issues</t>
  </si>
  <si>
    <t>Hello,
My home external monitor is no longer being detected by the system at start-up.
In the morning, my primary system and the external monitor started as expected. Lenovo requested an update and restarted the system later in the morning, after which the external monitor could not be detected.
I have tried to â€œforceâ€ detect monitor through Display Settings, but this was unsuccessful. I have also, restarted the system, re-plugged the HDMI cable, checked power to the monitor and replaced the HDMI cable â€“ all attempts have been unsuccessful.
I later plugged the monitor into my secondary system â€“ which detected the monitor at start-up and worked as expected.
 The external monitor is an ACER; SNID 03506184685
 Primary system: LENOVO Think Pad X-6292 (NextDigital Inc #)
 Secondary system: DELL X-6551 (NextDigital Inc #)
My preference is to use the primary system.
Please help when you have a moment.
Regards,
[image][image][image][image][image]
Douglas Haines |Â  Vertical Development Manager
Suite 1005 | 10104 103 AvenueÂ |Â Edmonton, AB | T5J 0H8
Tel: 780.420.4063 | Cell: 780.919.0458
dhaines@maclabdevelopment.com | www.maclabdevelopment.com</t>
  </si>
  <si>
    <t>McFarlane Law - Computer Technology Services Going Forward</t>
  </si>
  <si>
    <t>Hi,
Merry Christmas and Happy New Year!
I am not sure whether I should check directly with Matt Patrick or one of the computer technologists on this.
I need to check what services I will need going forward as my law practice is currently inactive.Â  In particular, I have received a notice from Sophos and I need to consider whether to continue that service. Â I also likely need to renew my Microsoft license, Backify and other services provided by MNP Next Digital if I need them for 2021.
Also, I will need assistance to terminate the back up that seems to be continuing with Esilaw even though I have terminated the accounting service as of last Spring.
Thanks for you help with all of this.Â  I look forward to hearing from you!
Barb
Barbara J. McFarlane, Q.C.|Barrister &amp; Solicitor Non-Practising (Inactive) Status|MCFARLANE LAW
BJMcFarlane@McFarlaneLaw.ca
Direct Line:Â  (403) 830-8179
Suite 2000, 125 â€“ 9th Avenue S.E., Calgary, Alberta T2G 0P6
The information and any attachment contained in this communication is subject to solicitor/client privilege, it is confidential and intended only for the use of the person(s) to whom it is addressed. If you have received this communication in error, please notify us and delete or destroy all copies immediately.</t>
  </si>
  <si>
    <t>[image]
A high-severity alert has been triggered
âš Microsoft 365 compliance center
Severity:â—High
Time:12/28/2020 8:35:17 PM (UTC)
Activity:Protection
Details: 1 message hit on c3a568e3-0f37-48a0-2c55-08d8ab701415-10164927267783005004-1, sent by admin@lynatech.co.zw to jason.pinsonneault@igloo.ca at time 12/28/2020 8:35:17 PM.
              View alert details          
Thank you, 
The Office 365 Team
[image]
One Microsoft Way
Redmond, WA
98052-6399 USA
Privacy | Legal</t>
  </si>
  <si>
    <t>[image]
A high-severity alert has been triggered
âš Microsoft 365 compliance center
Severity:â—High
Time:12/28/2020 8:31:39 PM (UTC)
Activity:Protection
Details: 1 message hit on 38de5097-e443-4d28-f1f6-08d8ab6f92fa-8216754965111962946-1, sent by raheel.asif@tandhint.com to simon.king@igloo.ca at time 12/28/2020 8:31:43 PM.
              View alert details          
Thank you, 
The Office 365 Team
[image]
One Microsoft Way
Redmond, WA
98052-6399 USA
Privacy | Legal</t>
  </si>
  <si>
    <t>Daniel Boire - Are you able to adjust my email signature and signature within a PDF.</t>
  </si>
  <si>
    <t>### Summary of Issue_x000D_
Are you able to adjust my email signature and signature within a PDF._x000D_
  _x000D_
### Details of Issue_x000D_
I would like my email signature to have my name as "Dan Boire" instead of "Daniel Boire"
I would like my PDF signature to only have my computer generated signature instead of the one i have hand written._x000D_
  _x000D_
### Have you opened a ticket about this issue before?  _x000D_
 No  _x000D_
  _x000D_
### How many users are impacted by this issue?  _x000D_
 One  _x000D_
  _x000D_
### How would you classify this issue?  _x000D_
 Minor Inconvenience</t>
  </si>
  <si>
    <t>Voicemail from (780) 395-2999 - Align Orthodont received Mon Dec 28 2020 12:22 MST</t>
  </si>
  <si>
    <t>Scribe transcribed your voicemail message. On Mon Dec 28 2020 12:22 MST, a caller from +17803952999 said: 
Hi it's Melody calling from Align Orthodontics 463-5141. I'm calling in the Edmonton office but I'm calling regards to Lori key chains is in Sherwood Park and her RDS session is stuck currently with a patient and unable to log out or log back into her short Park RDS to have any function and if you could give me a call back that would be great. Thanks. Bye.
You have a new voicemail message.
New Voice Message
--- 
From:Align Orthodont 
(780) 395-2999
--- 
To:Emergency Support
--- 
Time:Mon Dec 28 2020 12:22 MST
--- 
Duration:00:34
---
VM-ID:20785861:20656266
Month to date usage: 23 messages / 00:14:06 (hh:mm:ss)</t>
  </si>
  <si>
    <t>[image]
A high-severity alert has been triggered
âš Microsoft 365 compliance center
Severity:â—High
Time:12/28/2020 5:42:09 PM (UTC)
Activity:Protection
Details: 1 message hit on 82116a0e-e9a8-4863-e939-08d8ab57e4a1-14980226050193385737-1, sent by thuyvk@vimadeco.com.vn to service.id@igloo.ca at time 12/28/2020 5:42:09 PM.
              View alert details          
Thank you, 
The Office 365 Team
[image]
One Microsoft Way
Redmond, WA
98052-6399 USA
Privacy | Legal</t>
  </si>
  <si>
    <t>Iris Spurrell</t>
  </si>
  <si>
    <t>Iris Spurrell - I need help logging on to the carya cloud.</t>
  </si>
  <si>
    <t>When I click on the Desktop Carya Cloud - 2016 icon and enter my new password, a message pops up saying Access is denied.</t>
  </si>
  <si>
    <t>Sherwood Park Buick</t>
  </si>
  <si>
    <t>Robert Perras</t>
  </si>
  <si>
    <t>Voicemail from (587) 920-3231 - ROBERT PERRAS received Mon Dec 28 2020 07:24 MST</t>
  </si>
  <si>
    <t>Scribe transcribed your voicemail message. On Mon Dec 28 2020 07:24 MST, a caller from +15879203231 said: 
Hi it's Robert Harris at-sure(?) with your TMC address is number 10 Auto Mall Road in Sherwood Park postal Oak in-tea(?) 882 and one of our phone lines are down. You can call me back 587-920-3231 thank you.
You have a new voicemail message.
New Voice Message
--- 
From:ROBERT PERRAS 
(587) 920-3231
--- 
To:Emergency Support
--- 
Time:Mon Dec 28 2020 07:24 MST
--- 
Duration:00:19
---
VM-ID:20778319:20648785
Month to date usage: 20 messages / 00:12:12 (hh:mm:ss)</t>
  </si>
  <si>
    <t>Phones down</t>
  </si>
  <si>
    <t>You have a new voicemail message.
New Voice Message
--- 
From:ROBERT PERRAS 
(587) 920-3231
--- 
To:Emergency Support
--- 
Time:Mon Dec 28 2020 07:24 MST
--- 
Duration:00:19
---
Your message is being transcribed and will be delivered shortly
VM-ID:20778319</t>
  </si>
  <si>
    <t>Lambridge Capital Partners</t>
  </si>
  <si>
    <t>Stephen Lamphier</t>
  </si>
  <si>
    <t>Cliff Skocdopole - Outlook app on my phone</t>
  </si>
  <si>
    <t>IT Support
Just a heads up after using the Outlook email app on my I phone for the last month I have seen very little good things Â and mostly Â bad things.
Good things:
Easy to see different Calendars
Bad things:
Some emails come in scrambled text. Cannot read. Have to resort to apple email app to read them
Some emails you cannot delete on phone. If you delete it comes back. You can delete on desktop outlook but still will not go off of phone.
No synchronization of drafts
Have trouble sometimes to get emails to down load. Can be up to half a day sometimes
Over all I do not feel we should move forward with this app on the I phones as it has too many bugs
[Description: New Skocdopole Plow Logo]
Cliff Skocdopole
Skocdopole Construction Ltd.
RR#4 Eckville, Alberta
T0M 0X0
OfficeÂ  403-746-5744
Cellular 403-357-8266
email:cliff@skocdopole.com
web:www.skocdopole.com</t>
  </si>
  <si>
    <t>CodeTwo Renewal Notice</t>
  </si>
  <si>
    <t>Fortinet Renewal Notice - Support Expires 24-JAN-2021</t>
  </si>
  <si>
    <t>Western Moving &amp; Storage</t>
  </si>
  <si>
    <t>Carol LeLacheur</t>
  </si>
  <si>
    <t>ND website security</t>
  </si>
  <si>
    <t>The security team at MNP need us to block access to the wp-login.php for the nextdigital website using either MFA or IP filtering. Itâ€™s causing their reputation to take a serious hit so itâ€™s caught the attention of the higher ups. Please action asap.
Thanks.
Andrew Jackson
Partner
PH. +1       7804246398
14505 114th Avenue NW
Edmonton,       AB
T5M2Y8
Andrew.Jackson@mnp.ca
mnp.ca [image]
[image]</t>
  </si>
  <si>
    <t>Igloo - High-severity alert: Microsoft 365 compliance center</t>
  </si>
  <si>
    <t>[image]
A high-severity alert has been triggered
âš Microsoft 365 compliance center
Severity:â—High
Time:12/24/2020 6:16:48 AM (UTC)
Activity:Protection
Details: 1 message hit on 5670c284-bd53-4c6d-326c-08d8a7d37da6-8058968360200537774-1, sent by engineering@haacon.com to king@igloo.ca at time 12/24/2020 6:16:48 AM.
              View alert details          
Thank you, 
The Office 365 Team
[image]
One Microsoft Way
Redmond, WA
98052-6399 USA
Privacy | Legal</t>
  </si>
  <si>
    <t>[image]
A high-severity alert has been triggered
âš Microsoft 365 compliance center
Severity:â—High
Time:12/24/2020 9:35:24 AM (UTC)
Activity:Protection
Details: 1 message hit on fbe57afe-e9e6-496e-d0cd-08d8a7ef3c1a-16467649323172196829-1, sent by engineering@haacon.com to sales@igloo.ca at time 12/24/2020 9:35:24 AM.
              View alert details          
Thank you, 
The Office 365 Team
[image]
One Microsoft Way
Redmond, WA
98052-6399 USA
Privacy | Legal</t>
  </si>
  <si>
    <t>[image]
A high-severity alert has been triggered
âš Microsoft 365 compliance center
Severity:â—High
Time:12/24/2020 9:34:18 AM (UTC)
Activity:Protection
Details: 1 message hit on 9dc94d19-be55-44e6-ba05-08d8a7ef147a-7727881207296590453-1, sent by engineering@haacon.com to jordan@igloo.ca at time 12/24/2020 9:34:18 AM.
              View alert details          
Thank you, 
The Office 365 Team
[image]
One Microsoft Way
Redmond, WA
98052-6399 USA
Privacy | Legal</t>
  </si>
  <si>
    <t>[image]
A high-severity alert has been triggered
âš Microsoft 365 compliance center
Severity:â—High
Time:12/24/2020 9:33:22 AM (UTC)
Activity:Protection
Details: 1 message hit on ed1c5d58-b659-42fa-6809-08d8a7eef2f0-540329354112330641-1, sent by engineering@haacon.com to james@igloo.ca at time 12/24/2020 9:33:22 AM.
              View alert details          
Thank you, 
The Office 365 Team
[image]
One Microsoft Way
Redmond, WA
98052-6399 USA
Privacy | Legal</t>
  </si>
  <si>
    <t>[image]
A high-severity alert has been triggered
âš Microsoft 365 compliance center
Severity:â—High
Time:12/24/2020 7:05:09 AM (UTC)
Activity:Protection
Details: 1 message hit on 2094ba84-7ba3-4af4-1afb-08d8a7da3e76-9795088406681229586-1, sent by engineering@haacon.com to gravel@igloo.ca at time 12/24/2020 7:05:09 AM.
              View alert details          
Thank you, 
The Office 365 Team
[image]
One Microsoft Way
Redmond, WA
98052-6399 USA
Privacy | Legal</t>
  </si>
  <si>
    <t>Warren White</t>
  </si>
  <si>
    <t>[image]
A high-severity alert has been triggered
âš Microsoft 365 compliance center
Severity:â—High
Time:12/24/2020 6:18:22 AM (UTC)
Activity:Protection
Details: 1 message hit on 68681541-0ed4-482d-9b2c-08d8a7d3b4d0-8897119429345802454-1, sent by engineering@haacon.com to reception@igloo.ca at time 12/24/2020 6:18:22 AM.
              View alert details          
Thank you, 
The Office 365 Team
[image]
One Microsoft Way
Redmond, WA
98052-6399 USA
Privacy | Legal</t>
  </si>
  <si>
    <t>Amazon Web Server Down - Need Help ASAP</t>
  </si>
  <si>
    <t>Hi,
Our website went down and Blackwater manages it, but it's hosted on an Amazon Web Server and they can't find anyone who is available.
Can you help with this?
Thanks!
Sent from my Bell Samsung device over Canadaâ€™s largest network.
CARLA O'NEIL
```
D I R E C T O R  O F  C O R P O R A T E  S E R V I C E S
```
t.Â 403-266-5000 Ext. 213 |Â Â c.Â 403-463-9076
Suite 400, 1550 5 St SWÂ  
Calgary, Alberta T2R 1K3
```
arlingtonstreet.caFacebookÂ Â |Â Â TwitterÂ  |Â Â LinkedInÂ  |Â Â YouTube
```
Important COVID-19 Notice: Please note that we remain OPEN FOR BUSINESS but, as a result of COVID-19, our office is closed to the general public and open to clients by appointment only until further notice. With most of our staff now working remotely, please continue to contact us by email (preferably), or by phone, but note that there may be delays in checking voice messages remotely. We appreciate your continued business and patience during this unprecedented time.
The information in this email and any attachments is sent by ARLINGTON STREET INVESTMENTS and is intended to be confidential and for the use of only the individual or entity named above. The information may be protected by solicitor-client privilege, work product immunity or other legal principles. If the reader of this message is not the intended recipient, you are notified that unauthorized review, retention, dissemination, distribution, copying or other use of or taking any action in reliance upon this information is strictly prohibited. If you received this email in error, please notify us immediately by email reply and delete or destroy this message and any copies</t>
  </si>
  <si>
    <t>Office License</t>
  </si>
  <si>
    <t>### What company is this quote for?_x000D_
Calmont Group_x000D_
  _x000D_
### Is there an existing ticket on another Connectwise board? If so what is the ticket number?_x000D_
1334380_x000D_
  _x000D_
### Add or Remove CSP licenses  _x000D_
 Add licenses  _x000D_
  _x000D_
### March 30, 2020 New Microsoft 365 offerings for small and medium-sized businesses. (https://www.microsoft.com/en-us/microsoft-365/blog/2020/03/30/new-microsoft-365-offerings-small-and-medium-sized-businesses/)  _x000D_
  _x000D_
### What Type of license  _x000D_
 Microsoft 365 Apps for Business  _x000D_
  _x000D_
### How many licenses to add/remove?_x000D_
1_x000D_
  _x000D_
### Optional - What users are the licenses for?_x000D_
1334380</t>
  </si>
  <si>
    <t>Notice of Employee Departure - Sonya J.</t>
  </si>
  <si>
    <t>Good Afternoon,
This email is to notify you of an employee departure:
Employee Name: Sonya Jolicoeur
Job Title: Family Support Worker Â 
Department: Early Learning
Effective Date: Immediately
Distribution List &amp; Action Required
IT
Please disable accounts effective immediately.
Payroll
Information to be processed.
Reception
Please remove from agency contact list.
Communications
For information only.
Program Manager
For information only.
Facilities Manager
For information only.
If you have any questions or concerns please let me know.
Thank you!
AmandaTam, B. Com (she/her) e4c
Human Resources Generalist
Human Resources
ATam@e4calberta.org
T780.424.7543 ext 164
C780.721.2331
9321 Jasper Avenue, Edmonton AB T5H 3T7
e4calberta.org
[image]
This message is intended for the use of the individual or entity to which it is addressed and may contain information that is privileged and confidential. If you are not the intended recipient or the employee responsible for delivery of the message to the intended recipient, please be advised that any dissemination, distribution or copying of this message is strictly prohibited. If you have received this message in error, please notify us immediately by telephone and return the original email to us or destroy this message.
[image]e4c supports environmental conservation - please print wisely.</t>
  </si>
  <si>
    <t>Notice of Employee Change - Abdul Bari</t>
  </si>
  <si>
    <t>Hello,
This email is to update an existing employee:
Employee Name:Abdul Bari Â Â Â 
Department: Finance
New Job Title:Senior Accountant
Supervisor: Mwayi Kanjadza
Effective Date: Immediately
Distribution List &amp; Action Required
IT
E-mail Signature Change:
-Â Â Â Â Â Â Â Name: Abdul Bari
-Â Â Â Â Â Â Â Position: Senior Accountant
-Â Â Â Â Â Â Â Program: Finance
Payroll/Finance
Details were processed last week.
Reception
Please update existing employee list.
If you have any questions or concerns please let me know.
Thank you!
AmandaTam, B. Com (she/her) e4c
Human Resources Generalist
Human Resources
ATam@e4calberta.org
T780.424.7543 ext 164
C780.721.2331
9321 Jasper Avenue, Edmonton AB T5H 3T7
e4calberta.org
[image]
This message is intended for the use of the individual or entity to which it is addressed and may contain information that is privileged and confidential. If you are not the intended recipient or the employee responsible for delivery of the message to the intended recipient, please be advised that any dissemination, distribution or copying of this message is strictly prohibited. If you have received this message in error, please notify us immediately by telephone and return the original email to us or destroy this message.
[image]e4c supports environmental conservation - please print wisely.</t>
  </si>
  <si>
    <t>Notice of Upcoming Employee Hire - Ashley Nutter</t>
  </si>
  <si>
    <t>Hello,
This email is to notify you of an upcoming employee hire:
Employee Name:Ashley Nutter Â Â Â 
Department: Early Learning
Job Title: Speech Language Pathologist Â 
Supervisor: Blair Sushynski
Effective Date: January 4, 2021.
*Note: She was a previous employee of e4c, so may have a disabled user account. If so, please ensure settings mirror Pauline Lauâ€™s account.
Distribution List &amp; Action Required
IT
RDS: Request for RDS/Network Access
E-mail: Request for Outlook Account.
E-mail Signature Set-up:
-Â Â Â Â Â Â Â Name: Ashley Nutter
-Â Â Â Â Â Â Â Position: Speech Language Pathologist
-Â Â Â Â Â Â Â Program: Early Learning
Mirror:Please mirror user Pauline Lau.
E-mail Distribution List:All Staff
Please send account details to: Blair Sushynski (bsushynski@e4calberta.org) and Zoe Beaulieu (zbeaulieu@e4calberta.org).
Payroll/Finance
Details will be sent once processed.
Reception
Please update existing employee list.
Communications
For information only.
Program Manager
For information only.
Facilities Manager
For information only.
If you have any questions or concerns please let me know.
Thank you!
AmandaTam, B. Com (she/her) e4c
Human Resources Generalist
Human Resources
ATam@e4calberta.org
T780.424.7543 ext 164
C780.721.2331
9321 Jasper Avenue, Edmonton AB T5H 3T7
e4calberta.org
[image]
This message is intended for the use of the individual or entity to which it is addressed and may contain information that is privileged and confidential. If you are not the intended recipient or the employee responsible for delivery of the message to the intended recipient, please be advised that any dissemination, distribution or copying of this message is strictly prohibited. If you have received this message in error, please notify us immediately by telephone and return the original email to us or destroy this message.
[image]e4c supports environmental conservation - please print wisely.</t>
  </si>
  <si>
    <t>New User - Alysia Porter</t>
  </si>
  <si>
    <t>Hi
Please set up an email, user name and password for Alysia Porter.Â She will be working out of Calmont Equipment, Edmonton.Â  Please set her up the same as Christie Desousa
Her start date is December 24, 2020.
With Thanks,
Cheryl Trenchard, PCP
Human Resources &amp; Payroll Supervisor
[cid:image001.jpg@01D407CC.BE04B790]
14610 Yellowhead Trail NW Edmonton, AB, T5L 3C5
Branch: 780-482-0281Â Â Â  Cell: 587-930-2091Â Â  Fax: 780-482-0278
Email:cheryl.trenchard@calmont.ca
Website:www.calmont.ca
This email, and any files transmitted with it, are confidential and are intended solely for the use of the individual or entity to which they are addressed. Any unauthorized use or disclosure is prohibited. Please notify the sender if you have received this email in error. Thank you for your co-operation.</t>
  </si>
  <si>
    <t>New Employee OnBoarding - Brittany McPhee</t>
  </si>
  <si>
    <t>Hello MNP Team,
Please create a new profile for employee Brittany McPhee, who will be joining our Scheduling Coordinator team.
Please complete by noon on Monday December 28, 2020.
Name: Brittany McPhee
User: BrittanyM
Password: Kilo5!
Email: Brittany.m@alignortho.com
Britany will require access to both Hewes and SHPK RDS, a thin print license and has already been set up in ViewPoint. Please set up her ViewPoint preferences.
Thanks,
Melody
Melody Baldry
Manager Align Orthodontics
Edmonton, Alberta, Canada
Direct: 780.395.2999
Edmonton Main: 780.463.5141
Sherwood Park Main: 780.449.6597
www.alignortho.com
[Email Logo Template]
Confidentiality Notice: This message and any attachments are solely for the intended recipient and may contain confidential or privileged information. If you are not the intended recipient, any disclosure, copying, use, or distribution of the information included in this message and any attachment is prohibited. If you have received this communication in error, please notify myself, by reply email and immediately and permanently delete this message and any attachments.
Melody Baldry
Manager &amp; Privacy Officer
Align Orthodontics
Edmonton, Alberta, Canada
Direct: 780.395.2999
Edmonton Main: 780.463.5141
Sherwood Park Main: 780.449.6597
www.alignortho.com
[image]
Confidentiality Notice: This message and any attachments are solely for the intended recipient and may contain confidential or privileged information. If you are not the intended recipient, any disclosure, copying, use, or distribution of the information included in this message and any attachment is prohibited. If you have received this communication in error, please notify myself, by reply email and immediately and permanently delete this message and any attachments.</t>
  </si>
  <si>
    <t>Elizabeth Frolek E3 license</t>
  </si>
  <si>
    <t>### What company is this quote for?_x000D_
Alberta Construction Safety Association_x000D_
  _x000D_
### Is there an existing ticket on another Connectwise board? If so what is the ticket number?_x000D_
1334335_x000D_
  _x000D_
### Add or Remove CSP licenses  _x000D_
 Add licenses  _x000D_
  _x000D_
### March 30, 2020 New Microsoft 365 offerings for small and medium-sized businesses. (https://www.microsoft.com/en-us/microsoft-365/blog/2020/03/30/new-microsoft-365-offerings-small-and-medium-sized-businesses/)  _x000D_
  _x000D_
### What Type of license  _x000D_
 Office 365 E3  _x000D_
  _x000D_
### How many licenses to add/remove?_x000D_
1_x000D_
  _x000D_
### Optional - What users are the licenses for?_x000D_
Elizabeth Frolek</t>
  </si>
  <si>
    <t>Denny's address</t>
  </si>
  <si>
    <t>Hi Jafaru
Denny Puszkarâ€™s email address is as follows. Thanks
242 Miners Chase West
Lethbridge, ABÂ  T1J 5S8
Canada
Ben Hsu, CPA, CGA
Manager, Corporate Services
Natural Resources Conservation Board
4th Floor, Sterling Place
9940 - 106 Street
Edmonton, AB T5K 2N2
Phone: 780-422-2833
Email:ben.hsu@nrcb.ca
This communication is intended for the use of the recipient to which it is addressed, and may contain confidential, personal and or privileged information. Please contact us immediately if you are not the intended recipients of this communication, and do not copy, distribute, or take action relying on it. Any communication received in error, or subsequent reply, should be deleted or destroyed.</t>
  </si>
  <si>
    <t>New Hire - Elizabeth Frolek</t>
  </si>
  <si>
    <t>Good Morning,
I have a new employee Elizabeth Frolek starting on January 11th and I would like to make sure that she has access to all the following the week before she starts if possible:
 Sage
 Outlook
 Shortel
 CRM
 Moneris
 CyberSource
 Cart Builder
 Teams
 Drives
 Accounting
 Finance
 Public
Thank you,
MELEENA DOROSHENKO,CPA, CGA | Manager Finance &amp; Accounting
Alberta Construction Safety Association
225 Parsons Road SW |Â Edmonton ABÂ |Â T6X 0W6
TÂ 780.453.3311 ext. 7702 |Â FÂ 780.455.1120 |Â TFÂ 1.800.661.ACSA (2272)
mdoroshenko@youracsa.ca
www.youracsa.ca
[HelpPreventTheSpread]
CONFIDENTIAL â€“ This e-mail transmission and any documents attached to it may contain information that is confidential or legally privileged. If you are not the intended recipient, or a person responsible for delivering this information to the intended recipient, you are hereby notified that any discourse, copying, distribution or use of this transmission is strictly prohibited.Â  If you have received this transmission in error, please immediately notify the sender and destroy the original transmission, attachments and destroy any hard copies.
Please consider the environment before printing this e-mailâ˜º</t>
  </si>
  <si>
    <t>Pierre Plamondon</t>
  </si>
  <si>
    <t>Hi Pierre,
This is in fact spam.Â  I have included the IT email that these can be sent to if you suspect.
IT â€“ see below and block
Thank you,
Cheryl Waldo
Senior Executive Assistant
Pilgrims Hospice Society
9808 â€“ 148 Street
Edmonton ABÂ  T5N 3E8
T. 780.413.9801 ext. 240 / T. 587.414.5043 (direct)
*Home of the new Roozen Family Hospice Centre
[image]
From: Pierre Plamondon &lt;PierreP@pilgrimshospice.com&gt; 
Sent: December 23, 2020 9:58 AM
To: Cheryl Waldo &lt;cherylw@pilgrimshospice.com&gt;
Cc: info &lt;info@pilgrimshospice.com&gt;
Subject: FW: Password Recovery
Hi, just checking as Iâ€™m not sure if this is a legitimate site please see below
Also is the info email Iâ€™ve Ccâ€™d our IT
From:  customerservice@hubert.ca &lt;customerservice@hubert.ca&gt; 
Sent: December 23, 2020 9:46 AM
To: Pierre Plamondon &lt;PierreP@pilgrimshospice.com&gt;
Subject: Password Recovery
[Image removed by sender. Hubert Company]
Resetting Your Password
We received your request to reset your password. Please click the link below to reset password. If you did not initiate this request, please contact us immediately.
Reset Password
This link is only active for 24 hours
[Image removed by sender. 100% Satisfaction Guarantee]
If you have questions or need help, please contact our 
Customer Service Representatives
[Image removed by sender. Chat with us]
Chat with us
Monday - Friday
8am - 6pm
[Image removed by sender. Email us]
Email us your questions
customerservice@hubert.ca
[Image removed by sender. Call us toll free]
Toll Free 1.888.835.7929
Monday - Friday 7am - 8pm ET
[Image removed by sender. Follow us on Facebook]
[Image removed by sender. Follow us on Twitter]
[Image removed by sender. Follow us on Pinterest]
[Image removed by sender. Follow us on GooglePlus]
[Image removed by sender. Follow our Blog]
20 Valleywood Drive, Suite 108 | Markham, ON L3R 6G1
Unsubscribe |  My Account |  Privacy and Security
This e-mail and any files transmitted with it are confidential and intended 
solely for the use of the individual or company to whom they are addressed. If 
you have received this e-mail in error, please notify the sender immediately and 
delete this e-mail including all attachments from your system. Thank you</t>
  </si>
  <si>
    <t>Monitors</t>
  </si>
  <si>
    <t>Merry Christmas guys.
You do great things for us here at Arlington Street. So now I think I need you to help with my home computer. (that I will pay for)
Firstly, one of my monitors at home crapped out on me so I am in need of two matching monitors for home. Do you guys have any extra monitors that you need to get rid of that still work?
Also, what would be your rates if I were to hire you to trouble shoot my and my wifeâ€™s home computers?
GRANT KELBA
```
P R O P E R T Y  M A N A G E R
```
t.Â (403) 266-5000 Ext. 204 |Â Â c.Â 403-605-0983
Suite 400, 1550 5 St SWÂ  
Calgary, Alberta T2R 1K3
```
arlingtonstreet.caFacebookÂ Â |Â Â TwitterÂ  |Â Â LinkedInÂ  |Â Â YouTube
```
Important COVID-19 Notice: Please note that we remain OPEN FOR BUSINESS but, as a result of COVID-19, our office is closed to the general public and open to clients by appointment only until further notice. With most of our staff now working remotely, please continue to contact us by email (preferably), or by phone, but note that there may be delays in checking voice messages remotely. We appreciate your continued business and patience during this unprecedented time.
The information in this email and any attachments is sent by ARLINGTON STREET INVESTMENTS and is intended to be confidential and for the use of only the individual or entity named above. The information may be protected by solicitor-client privilege, work product immunity or other legal principles. If the reader of this message is not the intended recipient, you are notified that unauthorized review, retention, dissemination, distribution, copying or other use of or taking any action in reliance upon this information is strictly prohibited. If you received this email in error, please notify us immediately by email reply and delete or destroy this message and any copies</t>
  </si>
  <si>
    <t>Hello. Please add to spam blocker list.
Thanks,
Kathy
Kathy Saunderson, B.Comm
Professional Development OfficerÂ 
The Alberta Association of Architects
780.432.0224 ext. 218
Please note that AAA staff are working remotely due to the COVID situation. The Duggan House is closed to the public until further notice. We strive to maintain a high level of service and will respond within 3 business days. Please visit www.aaa.ab.ca for further updates and thank you for your patience during extraordinary times.</t>
  </si>
  <si>
    <t>[image]
A high-severity alert has been triggered
âš Microsoft 365 compliance center
Severity:â—High
Time:12/23/2020 3:05:53 PM (UTC)
Activity:Protection
Details: 1 message hit on b346b7f3-18bd-4642-ce3a-08d8a7543cdb-270814382598493757-1, sent by irene.melati@conecworld.com to brian.sakovich@igloo.ca at time 12/23/2020 3:05:53 PM.
              View alert details          
Thank you, 
The Office 365 Team
[image]
One Microsoft Way
Redmond, WA
98052-6399 USA
Privacy | Legal</t>
  </si>
  <si>
    <t>[image]
A high-severity alert has been triggered
âš Microsoft 365 compliance center
Severity:â—High
Time:12/23/2020 2:52:58 PM (UTC)
Activity:Protection
Details: 1 message hit on fac952ee-7779-4e3e-bff8-08d8a7526e90-17461045497541206101-1, sent by irene.melati@conecworld.com to mike.beauchamp@igloo.ca at time 12/23/2020 2:52:58 PM.
              View alert details          
Thank you, 
The Office 365 Team
[image]
One Microsoft Way
Redmond, WA
98052-6399 USA
Privacy | Legal</t>
  </si>
  <si>
    <t>[image]
A high-severity alert has been triggered
âš Microsoft 365 compliance center
Severity:â—High
Time:12/23/2020 8:56:47 AM (UTC)
Activity:Protection
Details: 1 message hit on 93178f71-e666-491a-652e-08d8a720abe9-3399492652445191155-1, sent by test@theclinictokyo.jp to barbra@igloo.ca at time 12/23/2020 8:56:47 AM.
              View alert details          
Thank you, 
The Office 365 Team
[image]
One Microsoft Way
Redmond, WA
98052-6399 USA
Privacy | Legal</t>
  </si>
  <si>
    <t>South Country Equipment Ltd.</t>
  </si>
  <si>
    <t>Cameron Bode</t>
  </si>
  <si>
    <t>Julie Nadeau - Disable account - Emily Oneil</t>
  </si>
  <si>
    <t>### Summary of Issue_x000D_
Disable account_x000D_
  _x000D_
### Details of Issue_x000D_
Emily Oneil no longer at PML_x000D_
  _x000D_
### Have you opened a ticket about this issue before?  _x000D_
 No  _x000D_
  _x000D_
### How many users are impacted by this issue?  _x000D_
 One  _x000D_
  _x000D_
### How would you classify this issue?  _x000D_
 Other</t>
  </si>
  <si>
    <t>Julie Nadeau - Disable account - Angelika</t>
  </si>
  <si>
    <t>### Summary of Issue_x000D_
Disable account_x000D_
  _x000D_
### Details of Issue_x000D_
Angelika no longer employeed at PML_x000D_
  _x000D_
### Have you opened a ticket about this issue before?  _x000D_
 No  _x000D_
  _x000D_
### How many users are impacted by this issue?  _x000D_
 One  _x000D_
  _x000D_
### How would you classify this issue?  _x000D_
 Other</t>
  </si>
  <si>
    <t>Julie Nadeau - Disable account - Talia</t>
  </si>
  <si>
    <t>### Summary of Issue_x000D_
Disable account_x000D_
  _x000D_
### Details of Issue_x000D_
Talia no longer employeed at PML_x000D_
  _x000D_
### Have you opened a ticket about this issue before?  _x000D_
 No  _x000D_
  _x000D_
### How many users are impacted by this issue?  _x000D_
 One  _x000D_
  _x000D_
### How would you classify this issue?  _x000D_
 Other</t>
  </si>
  <si>
    <t>NRCB password reset</t>
  </si>
  <si>
    <t>### Summary of Issue_x000D_
NRCB password reset_x000D_
  _x000D_
### Details of Issue_x000D_
NRCB would like to implement mandatory password changes in a remote setting (every 6 months)._x000D_
  _x000D_
### Have you opened a ticket about this issue before?  _x000D_
 No  _x000D_
  _x000D_
### How many users are impacted by this issue?  _x000D_
 Everyone  _x000D_
  _x000D_
### How would you classify this issue?  _x000D_
 Work Impacting</t>
  </si>
  <si>
    <t>Jolene Watson</t>
  </si>
  <si>
    <t>JWatson desktop client portal</t>
  </si>
  <si>
    <t>JWatson does not have the MNP portal on her desktop. She says it is still ND.  Can this be fixed.  She is working from home. PLease call her at 780-914-5573</t>
  </si>
  <si>
    <t>Oarrie Oliver</t>
  </si>
  <si>
    <t>ND - Mitel Softphone is timing out</t>
  </si>
  <si>
    <t>### Summary of Issue_x000D_
Mitel Softphone is timing out_x000D_
  _x000D_
### Details of Issue_x000D_
Talked to Dave about this problem. There are a few people that can't connect to the Softphone and others are able to connect._x000D_
  _x000D_
### Have you opened a ticket about this issue before?  _x000D_
 No  _x000D_
  _x000D_
### How many users are impacted by this issue?  _x000D_
 Some  _x000D_
  _x000D_
### How would you classify this issue?  _x000D_
 Work Impacting</t>
  </si>
  <si>
    <t>[image]
A high-severity alert has been triggered
âš Microsoft 365 compliance center
Severity:â—High
Time:12/22/2020 6:23:02 PM (UTC)
Activity:Protection
Details: 1 message hit on 783803d0-31fc-4e66-3063-08d8a6a69d60-16467649323172196829-1, sent by irene.melati@conecworld.com to sales@igloo.ca at time 12/22/2020 6:23:03 PM.
              View alert details          
Thank you, 
The Office 365 Team
[image]
One Microsoft Way
Redmond, WA
98052-6399 USA
Privacy | Legal</t>
  </si>
  <si>
    <t>Bever, Joan - Termination, December 18, 2020</t>
  </si>
  <si>
    <t>Good morning,
Please see attached Joan Beverâ€™s termination form effective December 18, 2020 and let me know if you have any questions.
Thanks,
Angeli
No form of electronic communication is secure and may be intercepted by others. Carya cannot guarantee the receipt of electronic communication nor a timely response. Where communication is confidential or time sensitive we recommend you call 403-269-9888 during business hours (Monday-Friday, 8:30am-4:30pm). For immediate crisis response please contact the Distress Centre Crisis Line at 403-266-HELP (4537) and in case of an emergency dial 911.
This e-mail is intended solely for the person or entity to which it is addressed and may contain confidential and/or privileged information. Any review, dissemination, copying, printing, forwarding or other use of this e-mail by persons or entities other than the addressee is prohibited. If you have received this e-mail in error, please contact the sender immediately and delete the material from your computer.</t>
  </si>
  <si>
    <t>[image]
A high-severity alert has been triggered
âš Microsoft 365 compliance center
Severity:â—High
Time:12/22/2020 5:37:55 PM (UTC)
Activity:Protection
Details: 1 message hit on 63c01040-5923-4695-d5ce-08d8a6a04f7b-8897119429345802454-1, sent by irene.melati@conecworld.com to reception@igloo.ca at time 12/22/2020 5:37:55 PM.
              View alert details          
Thank you, 
The Office 365 Team
[image]
One Microsoft Way
Redmond, WA
98052-6399 USA
Privacy | Legal</t>
  </si>
  <si>
    <t>Adobe VIP# C40493F72AE6F87FC12A</t>
  </si>
  <si>
    <t>Good Morning Team,
Can you please process attached PO: L112720Nexsource.
Also, attached is most recent quote from Ingram for this purchase.
VIP# C40493F72AE6F87FC12A.
End user:
Nexsource Power Inc
#7-20A Sylvaire Close
Sylvan Lake, T4S 2H6
Alberta, Canada
(780) 439-1191
Guylaine Genoe
registrations@nexsourcepower.com
Let me know if you require any further information.
Thanks,
Cori</t>
  </si>
  <si>
    <t>Drive access</t>
  </si>
  <si>
    <t>Good morning,
Please give Ashley access to the Accounts Payable (J) drive. We need this asap if possible.
Thanks,
Kristi Perkins, CPA, CGA
Controller
[cid:image001.jpg@01D46A27.105D5D50]
14610 Yellowhead Trail NW Edmonton, AB, T5L 3C5
Branch: 780-454-0491Â Â Â Â  Toll Free: 1-800-363-7819Â Â Â Â  Direct: 780-482-0275Â Â Â Â  Cell: 780-233-6362Â Â Â Â  Fax: 780-451-5768
Email:kristi.perkins@calmont.ca
Website:www.calmont.ca
This email, and any files transmitted with it, are confidential and are intended solely for the use of the individual or entity to which they are addressed. Any unauthorized use or disclosure is prohibited. Please notify the sender if you have received this email in error. Thank you for your co-operation.</t>
  </si>
  <si>
    <t>[image]
A high-severity alert has been triggered
âš Microsoft 365 compliance center
Severity:â—High
Time:12/22/2020 4:35:37 PM (UTC)
Activity:Protection
Details: 1 message hit on 3d238b53-2538-45eb-25f1-08d8a69799fc-429489551719245171-1, sent by irene.melati@conecworld.com to hr.resource@igloo.ca,infonorth@igloo.ca at time 12/22/2020 4:35:37 PM.
              View alert details          
Thank you, 
The Office 365 Team
[image]
One Microsoft Way
Redmond, WA
98052-6399 USA
Privacy | Legal</t>
  </si>
  <si>
    <t>Team not auto-setting after changing boards</t>
  </si>
  <si>
    <t>Hey team,
Looks like this is happening again. Tickets are getting stuck with Team = UNSET when moved from Triage to the Service Request and Incidents boards. This means they wonâ€™t show up in anyoneâ€™s NTD and are essentially stuck in a black hole. Mike had looked into this issue last time. Can you guys take a look and see if itâ€™s stuck? Itâ€™s doing it sporadically (#1333729 worked at 8:18 AM but #1333746 and #1333755 did not, queued those around 9:00 AM).
Thanks!
Jorge Bustamante
Team Lead, Support Specialist
PH.Â +1 7804246398
14505 114th Avenue NW
Edmonton,       AB
T5M2Y8
Jorge.Bustamante@mnp.ca
mnp.ca [image]
[image]
[image]</t>
  </si>
  <si>
    <t>RE: New email</t>
  </si>
  <si>
    <t>Ok, thanks Kim. Working on it now.
Will advise when done.
Regards,
David Stevens
Team Lead, Field Services Technician
PH.Â +1 4036864357
310 - 4000 4 St SE
Calgary,       AB
T2G2W3
David.Stevens@mnp.ca
mnp.ca [image]
[image]
[image]
From: Kim Burns &lt;kburns@capital-paper.com&gt; 
Sent: Tuesday, December 22, 2020 8:44 AM
To: David Stevens &lt;David.Stevens@mnp.ca&gt;
Cc: Alain Mpenda &lt;help@nextdigital.ca&gt;
Subject: Re: New email
CAUTION:This email originated from outside of the MNP network. Be cautious of any embedded links and/or attachments.
MISE EN GARDE:Ce courriel ne provient pas du rÃ©seau de MNP. MÃ©fiez-vous des liens ou piÃ¨ces jointes quâ€™il pourrait contenir.
Itâ€™s for my daughter. So no computer. Jamie Burns.
Kim Burns
Capital Paper Recycling Ltd.
Phone 403-543-3322
On Dec 22, 2020, at 8:39 AM, David Stevens &lt;David.Stevens@mnp.ca&gt; wrote:
ï»¿
Hi Kim,
Sure thing. I will get this taken care of.
Can you please provide us with more information?
We need, Full name, any phone extension details. Does this user need any access to files?
Please advise.
Thanks,
David
David Stevens
Team Lead, Field Services Technician
PH.Â +1 4036864357
310 - 4000 4 St SE
Calgary, AB
T2G2W3
David.Stevens@mnp.ca
mnp.ca
From: Kim Burns &lt;kburns@capital-paper.com&gt; 
Sent:Tuesday, December 22, 2020, 8:19 a.m. 
To:David Stevens; Alain Mpenda 
Subject:New email
CAUTION: This email originated from outside of the MNP network. Be cautious of any embedded links and/or attachments. 
MISE EN GARDE: Ce courriel ne provient pas du rÃ©seau de MNP. MÃ©fiez-vous des liens ou piÃ¨ces jointes quâ€™il pourrait contenir. 
I needJRBurns@capital-paper.comset up ASAP. Will need access from my desktop. 
If I could get this done quickly.
Kim Burns
Capital Paper Recycling Ltd.
Phone 403-543-3322
Effective immediately, due to the unsecured nature, we cannot accept Interac E-Transfers. *Unless Authorized by Kim Burns. 
The information in this email and any attachments is sent by Capital Paper Recycling LTD. and is intended to be confidential and for the use of only the individual or entity named above. The information may be protected by solicitor-client privilege, work product immunity or other legal principles. If the reader of this message is not the intended recipient, you are notified that unauthorized review, retention, dissemination, distribution, copying or other use of or taking any action in reliance upon this information is strictly prohibited.
If you received this email in error, please notify us immediately by email reply and delete or destroy this message and any copies.
Effective immediately, due to the unsecured nature, we cannot accept Interac E-Transfers. *Unless Authorized by Kim Burns.
The information in this email and any attachments is sent by Capital Paper Recycling LTD. and is intended to be confidential and for the use of only the individual or entity named above. The information may be protected by solicitor-client privilege, work product immunity or other legal principles. If the reader of this message is not the intended recipient, you are notified that unauthorized review, retention, dissemination, distribution, copying or other use of or taking any action in reliance upon this information is strictly prohibited. 
If you received this email in error, please notify us immediately by email reply and delete or destroy this message and any copies.</t>
  </si>
  <si>
    <t>Jennifer Snelgrove</t>
  </si>
  <si>
    <t>Jennifer Snelgrove - False Positives in accounting@igloo.ca Junk box</t>
  </si>
  <si>
    <t>### Summary of Issue_x000D_
False Positives in accounting@igloo.ca Junk box_x000D_
  _x000D_
### Details of Issue_x000D_
This is a shared folder, please allow these email address to go through to the email address from global allow list  Murray Lee &lt;murray@bnaltd.com&gt; and Jenric Millwork &lt;jenricmillwork@shaw.ca&gt;  Ken Cowie was working with me on others on ticket 1321501.  Please use this for reference._x000D_
  _x000D_
### Have you opened a ticket about this issue before?  _x000D_
 Yes  _x000D_
  _x000D_
### How many users are impacted by this issue?  _x000D_
 Some  _x000D_
  _x000D_
### How would you classify this issue?  _x000D_
 Minor Inconvenience</t>
  </si>
  <si>
    <t>QuoteValet: ND - OrderForm - Field Kit Resupply Edge Equipment</t>
  </si>
  <si>
    <t>CAUTION: This email originated from outside of the MNP network. Be cautious of any embedded links and/or attachments.
MISE EN GARDE: Ce courriel ne provient pas du rÃ©seau de MNP. MÃ©fiez-vous des liens ou piÃ¨ces jointes quâ€™il pourrait contenir.
[image]
780-424-6398
14505 114th Avenue NW, Edmonton, AB, T5M 2Y8
Dear Curt Giacomoni,
This is an automated notification from the QuoteValet system.
Your customer Edge Equipment placed OrderForm Order # QVAO1275. ND Employee: AJ Whitford
Ticket: 1327861
Order Details:
ND - OrderForm - Field Kit Resupply - Edge Equipment 
From IP Address: 174.3.151.167
To view or review the OrderForm order on QuoteValet at any time Click here.
This email was created using QuoteValet - The online quote delivery and acceptance vehicle forQuoteWerks.</t>
  </si>
  <si>
    <t>Re: Password Change</t>
  </si>
  <si>
    <t>Please see Joey's request below. We need to force password reset at next login for all users ASAP
Matt Patrick
Manager, Operational Alignment
PH.Â +1 4036864357       Ext 402
310 - 4000 4 St SE
Calgary,       AB
T2G2W3
Matt.Patrick@mnp.ca
mnp.ca [image]
[image]
[image]
From: Joanne Chaloner &lt;JoanneC@caryacalgary.ca&gt;
Sent: Monday, December 21, 2020 5:37:21 PM
To: Matt Patrick &lt;Matt.Patrick@mnp.ca&gt;; Amin Esmaeili &lt;Amin.Esmaeili@mnp.ca&gt;
Cc: Linda Tickner &lt;lindatr@caryacalgary.ca&gt;
Subject: Password Change 
CAUTION: This email originated from outside of the MNP network. Be cautious of any embedded links and/or attachments.
MISE EN GARDE: Ce courriel ne provient pas du rÃ©seau de MNP. MÃ©fiez-vous des liens ou piÃ¨ces jointes quâ€™il pourrait contenir.
Hi Again Matt,
Can you please force a password change to all users?Â  I know this will be a pain in the butt, but it needs to happen immediately, just in case the breech came from our side.
Please also quote us for the multifactor authentication project.
Thanks,
Joey
[image]Â [image]Â [image].
In the spirit of our efforts to promote reconciliation, we acknowledge the traditional territories and oral practices of the Blackfoot, the Tsuut'ina, the Stoney Nakoda First Nations, the MÃ©tis Nation Region 3, and all people who make their homes in the Treaty 7 region of Southern Alberta. We also respectfully acknowledge that the province of Alberta is comprised of Treaty 6, Treaty 7, and Treaty 8 territory, the traditional lands of First Nations and MÃ©tis peoples.
No form of electronic communication is secure and may be intercepted by others. Carya cannot guarantee the receipt of electronic communication nor a timely response. Where communication is confidential or time sensitive we recommend you call 403-269-9888 during business hours (Monday-Friday, 8:30am-4:30pm). For immediate crisis response please contact the Distress Centre Crisis Line at 403-266-HELP (4537) and in case of an emergency dial 911.
This e-mail is intended solely for the person or entity to which it is addressed and may contain confidential and/or privileged information. Any review, dissemination, copying, printing, forwarding or other use of this e-mail by persons or entities other than the addressee is prohibited. If you have received this e-mail in error, please contact the sender immediately and delete the material from your computer.</t>
  </si>
  <si>
    <t>FW: New Andersons Orders</t>
  </si>
  <si>
    <t>Curt Giacomoni
Project Estimator
PH.Â +1 7804246398
14505 114th Avenue NW
Edmonton, AB
T5M2Y8
Curt.Giacomoni@mnp.ca
mnp.ca[image]
[image]
[image]
From:realv@rockymountainliquor.ca &lt;realv@rockymountainliquor.ca&gt; 
Sent: Monday, December 21, 2020 5:49 PM
To: Sales - MNP IT Managed Services &lt;sales@mnptechnology.ca&gt;; Curt Giacomoni &lt;Curt.Giacomoni@mnp.ca&gt;
Subject: New Andersons Orders
Importance: High
CAUTION:This email originated from outside of the MNP network. Be cautious of any embedded links and/or attachments.
MISE EN GARDE:Ce courriel ne provient pas du rÃ©seau de MNP. MÃ©fiez-vous des liens ou piÃ¨ces jointes quâ€™il pourrait contenir.
Hello again Curt and Shawn
Have a trio of drop ship orders.
#1) Â 1 - Eaton 3S 550 VA to be dropped ship to the location below.
Ye Olde Gibbons
4620 50TH AVENUE
GIBBONS, AB
T0A 1N0
#2)1 - Eaton 3S 550 VA to be dropped ship to the location below.
Athabasca Whiskey Store
4808 50 ST
ATHABASCA, AB
T9S 1C9
#3)1 - Eaton 3S 550 VA to be dropped ship to the location below.
MG's Liquor Mart
5556-50 AVE
ST. PAUL, AB
T0A 3A1
Thank You</t>
  </si>
  <si>
    <t>Francois Querry</t>
  </si>
  <si>
    <t>S Drive - purchasing folder / no one can see this folder except for me</t>
  </si>
  <si>
    <t>Hello,
The purchasing folder on the S drive is not accessible by anyone but myself.
[image]
The following link is what I need so that the purchasing folder can be viewed by others.
[image]
Francois Querry - Purchaser / SCM Co-ordinator
OÂ 780-417-1955Â  FÂ 780-417-1104
[image]
Francois.Querry@keymay.com
www.keymay.com
53169 Range Road 225
Sherwood Park, AB T8H 2T3</t>
  </si>
  <si>
    <t>Faizel Janmohamed - C Drive on NC-CARYA-RDS04  needs to be expanded by 25 GB</t>
  </si>
  <si>
    <t>### Summary of Issue_x000D_
C Drive on NC-CARYA-RDS04  needs to be expanded by 25 GB_x000D_
  _x000D_
### Details of Issue_x000D_
C Drive on NC-CARYA-RDS04  needs to be expanded by 25 GB, OPAL approval provided on  1333364_x000D_
  _x000D_
### Have you opened a ticket about this issue before?  _x000D_
 No  _x000D_
  _x000D_
### How many users are impacted by this issue?  _x000D_
 Everyone  _x000D_
  _x000D_
### How would you classify this issue?  _x000D_
 Work Impacting</t>
  </si>
  <si>
    <t>FW: Business Cards and Email Signature</t>
  </si>
  <si>
    <t>Hi there,
Can you please update the email signature as per request below..
Thanks
M.LuizaCoelho e4c
Senior Manager
mlcoelho@e4calberta.org
T780.424.7543 ext 132
9321 Jasper Avenue, Edmonton AB T5H 3T7
e4calberta.org
[image]
This message is intended for the use of the individual or entity to which it is addressed and may contain information that is privileged and confidential. If you are not the intended recipient or the employee responsible for delivery of the message to the intended recipient, please be advised that any dissemination, distribution or copying of this message is strictly prohibited. If you have received this message in error, please notify us immediately by telephone and return the original email to us or destroy this message.
[image]e4c supports environmental conservation - please print wisely.
From: Jon Hlewka 
Sent: Monday, December 21, 2020 8:41 AM
To: M.Luiza Coelho &lt;mlcoelho@e4calberta.org&gt;
Subject: Business Cards and Email Signature
Hi Luiza,
Could I please get me email signature changed to read as seen here?
Jon Hlewkae4c
Community Developer
JHlewka@e4calberta.org
C780.903.9661
F780.425.0459
Office Sorensen Place, 9359 104 Avenue, Edmonton AB T5H 0H9
e4calberta.org
Also, are you able to help me out with ordering business cards?
Thanks!
Jon
JonHlewka e4c
Community Developer 
McCauley Apartments
JHlewka@e4calberta.org
Edmonton AB T5H 4G8
e4calberta.org
[image]
This message is intended for the use of the individual or entity to which it is addressed and may contain information that is privileged and confidential. If you are not the intended recipient or the employee responsible for delivery of the message to the intended recipient, please be advised that any dissemination, distribution or copying of this message is strictly prohibited. If you have received this message in error, please notify us immediately by telephone and return the original email to us or destroy this message.
[image]e4c supports environmental conservation - please print wisely.</t>
  </si>
  <si>
    <t>Launch Website from SIG</t>
  </si>
  <si>
    <t>Hi there,
I think the website for Aviva may need to be updated when we go to access it through the Launch in SIG.
We are receiving the following message when we launch through SIG however all the links still work.
[image]
When we go directly to the website below, we have no issues.
https://partner.aviva.ca/login/
ThanksÂ  Dora
Dora Jones       CAIB, CIP
Assistant Manager, Personal Lines
EÂ Â Â Â Â  djones@mhkinsurance.com
DÂ Â Â Â  587.525.6034Â 
CÂ Â Â Â  780.667.4609
12316-107 Avenue, Edmonton, AB T5M 1Z1
www.mhkinsurance.com
[image]
[image]
We're here to help with your insurance needs. Emails       and phone calls are still encouraged. Appointments are required for       in-office broker meetings. Please wear a mask when       visiting.
MHK welcomes       e-Transfer payments to banking@mhkinsurance.â€‰com.
If you       receive this email in error, please notify us by reply email and destroy       this message. MHK complies with Canada's Anti-Spam and Alberta's PIPA       Legislations. If you no longer wish to receive emails from MHK, please       reply with 'Unsubscribe' in the subject   line.</t>
  </si>
  <si>
    <t>URGENT: Carter Harrison</t>
  </si>
  <si>
    <t>Please reactivate user and Equip 360
[image]Â Riccardo Francese
Business Process Manager
T:       +1 (780) 400-7487
C:       +1 (587) 990-0176
F:       +1 (780) 417-6496
E:       RFrancese@siterg.com
W:       WWW.SITERG.COM
#170, 120 Pembina Rd., Sherwood Park, AB, T8H 0M2
The information contained in this e-mail may       contain confidential or privileged material and is intended only for the       stated addressee(s). If you are not the valid addressee, the use,       disclosure, copying or distribution of this information is prohibited and       may be unlawful. If you have received this email message in error, please       notify the sender immediately and delete all copies of the message from       your computer. All information within or opinions expressed in this       message and/or any attachments are those of the author and are not       necessarily those of the Centurion Group.</t>
  </si>
  <si>
    <t>Rob Sharp - License expired for Alberta Dental Association's Veeam</t>
  </si>
  <si>
    <t>### Summary of Issue_x000D_
License expired for Alberta Dental Association's Veeam_x000D_
  _x000D_
### Details of Issue_x000D_
License was purchased but never applied, cannot find an SR for the license application.  Please apply the license or attach it to ticket so I can apply it.  It is holding back some Veeam maintinance._x000D_
  _x000D_
### Have you opened a ticket about this issue before?  _x000D_
 No  _x000D_
  _x000D_
### How many users are impacted by this issue?  _x000D_
 Everyone  _x000D_
  _x000D_
### How would you classify this issue?  _x000D_
 Work Impacting</t>
  </si>
  <si>
    <t>Les Bryan - Upgrade Paymate Software to 2021 version</t>
  </si>
  <si>
    <t>### Summary of Issue_x000D_
Upgrade Paymate Software to 2021 version_x000D_
  _x000D_
### Details of Issue_x000D_
Our Paymate Software needs to be updated to the latest version.  The files are located at P:\Downloads\Clarity\  There is the Application file, a file of Instructions and notes from 2019.  The upgrade needs to be completed prior to December 28 so that we can process our first payroll for 2021_x000D_
  _x000D_
### Have you opened a ticket about this issue before?  _x000D_
 No  _x000D_
  _x000D_
### How many users are impacted by this issue?  _x000D_
 Everyone  _x000D_
  _x000D_
### How would you classify this issue?  _x000D_
 Work Impacting  _x000D_
  _x000D_
### If your callback number is different than what's on record, please provide it below._x000D_
403-304-4848</t>
  </si>
  <si>
    <t>Oarrie Oliver - OPAL approval to update Dynamic 365 Leasepath document</t>
  </si>
  <si>
    <t>### Summary of Issue_x000D_
OPAL approval to update Dynamic 365 Leasepath document_x000D_
  _x000D_
### Details of Issue_x000D_
OPAL approval to update Dynamic 365 Leasepath document
Changes are in the attachment.
Service Ticket #1328330 - Matt Kennedy_x000D_
  _x000D_
### Have you opened a ticket about this issue before?  _x000D_
 No  _x000D_
  _x000D_
### How many users are impacted by this issue?  _x000D_
 One  _x000D_
  _x000D_
### How would you classify this issue?  _x000D_
 Minor Inconvenience</t>
  </si>
  <si>
    <t>Server Speed</t>
  </si>
  <si>
    <t>Good Morning,
Is there something going on with our server, or your cloud network.
Friday it was incredibly slow and we kept losing connection, and again today it is unbearably slow.
Please advise.
Tiffany Polei
Operations Coordinator
**Effective December 13, 2020 I will be working remotely. I can be reached via cell, or e mail**
[image]
OfficeÂ Â  780.449.1700
CellÂ Â Â Â Â Â  780.996.5312
14505-114 Avenue NW
Edmonton, ABÂ Â  T5M 2Y8
Tiffany@advancecoating.com</t>
  </si>
  <si>
    <t>Site Energy SES-2016-RDS11</t>
  </si>
  <si>
    <t>### Summary of Issue_x000D_
Site Energy SES-2016-RDS11_x000D_
  _x000D_
### Details of Issue_x000D_
This server was in a test group that has since been removed. I've updated Sage on this RDS (part of the sage upgrade project) but it is still out of the pool as there are missing applications (I noticed HeavyBid Workstation is missing, could be more). Please install applicable applications and put back this into the pool. I do not need to be followed up with on this, just bringing it the Teams attention as it is sitting there not being used._x000D_
  _x000D_
### Have you opened a ticket about this issue before?  _x000D_
 No  _x000D_
  _x000D_
### How many users are impacted by this issue?  _x000D_
 One  _x000D_
  _x000D_
### How would you classify this issue?  _x000D_
 Other</t>
  </si>
  <si>
    <t>KeyMay - Server Updates Broke Sage</t>
  </si>
  <si>
    <t>We are having issues with SAGE.Â  Can I request someone contact TJ, as per the below, urgently.
Thank you and Best Regards,
W. Mark Simpson
Chief Financial &amp; Operating Officer
(CFO &amp; COO)
O 780-417-1955 C 587-341-4016
[cid:ii_iq2kwc921_155a254f2c0782f5]
Mark.Simpson@keymay.com
www.keymay.com
53169 Range Road 225
Sherwood Park, AB T8H 4T7
IMPORTANT NOTICE: This message is intended for the individual or entity to which it is addressed and may contain information that is privileged, confidential, and/or exempt from disclosure under applicable law. If you are not the intended recipient, you are hereby notified that copying, forwarding or other dissemination or distribution of this message is prohibited and that taking any action in reliance on the content of this message is to be avoided. Should you receive this e-mail in error, please notify the sender immediately via e-mail or call (780) 417-1955 and delete this message from your system. Thank you. 
************************************************************
From: TJ Tokariuk &lt;TJ@tmlsystems.ca&gt; 
Sent: December-21-20 8:45 AM
To: Mark Simpson &lt;Mark.Simpson@keymay.com&gt;
Subject: RE: Upcoming Server Updates for KeyMay Industries
Hi Mark,
Can you please have someone from IT department reach out to me?
TJ Tokariuk
Senior Consultant
Cell: 403-892-0083
Office: 1-587-410-4389
tj@tmlsystems.ca
From: Mark Simpson &lt;Mark.Simpson@keymay.com&gt; 
Sent: December 21, 2020 8:31 AM
To: TJ Tokariuk &lt;TJ@tmlsystems.ca&gt;
Cc: Mark Simpson &lt;Mark.Simpson@keymay.com&gt;
Subject: FW: Upcoming Server Updates for KeyMay Industries
FYI
Thank you and Best Regards,
W. Mark Simpson
Chief Financial &amp; Operating Officer
(CFO &amp; COO)
O 780-417-1955 C 587-341-4016
[cid:ii_iq2kwc921_155a254f2c0782f5]
Mark.Simpson@keymay.com
www.keymay.com
53169 Range Road 225
Sherwood Park, AB T8H 4T7
IMPORTANT NOTICE: This message is intended for the individual or entity to which it is addressed and may contain information that is privileged, confidential, and/or exempt from disclosure under applicable law. If you are not the intended recipient, you are hereby notified that copying, forwarding or other dissemination or distribution of this message is prohibited and that taking any action in reliance on the content of this message is to be avoided. Should you receive this e-mail in error, please notify the sender immediately via e-mail or call (780) 417-1955 and delete this message from your system. Thank you. 
************************************************************
From: NextVision - MNP IT Managed Services &lt;nextvision@mnptechnology.ca&gt; 
Sent: December-14-20 6:04 AM
To: Don Robertson &lt;Robertson@keymay.com&gt;; Quinn Hertner &lt;Quinn.Hertner@keymay.com&gt;; Don Gunn &lt;Don@keymay.com&gt;; Barbara Lingelbach &lt;Barb.Lingelbach@keymay.com&gt;; Tara Chahl &lt;Tara.Chahl@keymay.com&gt;; Dylan Staples &lt;Dylan.Staples@keymay.com&gt;; Mark Simpson &lt;Mark.Simpson@keymay.com&gt;; Karrie Beaudry &lt;Karrie.Beaudry@keymay.com&gt;; Harrison Toth &lt;Harrison.Toth@keymay.com&gt;; Tony Gu &lt;Tony.Gu@keymay.com&gt;; Bradley Schmidt &lt;Bradley.Schmidt@keymay.com&gt;; Ida Warren &lt;Ida.Warren@keymay.com&gt;; Taylor Reid &lt;Taylor.Reid@keymay.com&gt;; Spencer Pasi &lt;Spencer.Pasi@keymay.com&gt;; Russell Treat &lt;Russell.Treat@keymay.com&gt;; Mike Borodawka &lt;Mike.Borodawka@keymay.com&gt;; Matt Redhead &lt;Matt.Redhead@keymay.com&gt;; Randy Traverse &lt;Randy.Traverse@keymay.com&gt;; Jeff Hogge &lt;Jeff.Hogge@keymay.com&gt;; Kennedy Becks &lt;Kennedy.Becks@keymay.com&gt;; Francois Querry &lt;Francois.Querry@keymay.com&gt;
Subject: Upcoming Server Updates for KeyMay Industries
[MNP]
Hello,
We will be applying updates to the KeyMay Industries servers this Saturday (12/19/2020) between 1:00 AM and 5:00 AM. During this service window, servers will reboot to apply updates causing interruptions in service. Attached is an event file you can use to save this occurrence to your calendar.
Please contact our support team using the contact information below if you have any questions.
For new service requests, send a new email to support@mnpte...</t>
  </si>
  <si>
    <t>Anthony Bailey</t>
  </si>
  <si>
    <t>FW: Laptop power cord and new Laptop</t>
  </si>
  <si>
    <t>CAUTION: This email originated from outside of the MNP network. Be cautious of any embedded links and/or attachments.
MISE EN GARDE: Ce courriel ne provient pas du rÃ©seau de MNP. MÃ©fiez-vous des liens ou piÃ¨ces jointes quâ€™il pourrait contenir.
You have received a voice mail message from +17804474441 for mailbox 151.
Message length is 00:00:29. Message size is 232 KB.</t>
  </si>
  <si>
    <t>Sylvia Hoffer</t>
  </si>
  <si>
    <t>Phoenix Industrial - Contractor's Equipment Schedule</t>
  </si>
  <si>
    <t>Good Morning,
I have a security warning on the above excel spreadsheet that states automatic update of links has been disabled
[image]
When I enable content to make changes, the following popup shows
[image]
Okay, itâ€™s Monday, what the heck?
Thanks for the help.
Syl
Sylvia Hoffer       CIP
Supervisor, Commercial Client Services
EÂ Â Â Â Â  SHoffer@mhkinsurance.com
DÂ Â Â Â  587.525.6062Â 
12316-107 Avenue, Edmonton, AB  T5M 1Z1
www.mhkinsurance.commailto:SHoffer@mhkinsurance.com)
[image]
[image]
We're here to help with your insurance needs. Emails       and phone calls are still encouraged. Appointments are required for       in-office broker meetings. Please wear a mask when       visiting.
MHK welcomes       e-Transfer payments to banking@mhkinsurance.â€‰com.
If you       receive this email in error, please notify us by reply email and destroy       this message. MHK complies with Canada's Anti-Spam and Alberta's PIPA       Legislations. If you no longer wish to receive emails from MHK, please       reply with 'Unsubscribe' in the subject   line.</t>
  </si>
  <si>
    <t>RE: Important: An Azure Backup failure alert has been activated for IBSGAZPS01</t>
  </si>
  <si>
    <t>Did you guys get the alert last night? And who responded it?
Amin Hirji
From: Microsoft Azure &lt;azure-noreply@microsoft.com&gt; 
Sent: Sunday, December 20, 2020 6:55 PM
To: Amin Hirji &lt;Amin.Hirji@igloo.ca&gt;
Subject: Important: An Azure Backup failure alert has been activated for IBSGAZPS01
Review your alert for IBSGAZPS01.
[Microsoft Azure]
[Important]
Important
A Backup failure alert has been activated
Youâ€™re receiving this email because a Backup failure alert has been activated for IBSGAZPS01.
Severity
Critical
Alert
Backup failure
Backup item(s)
IBSGAZPS01
Description
Could not communicate with the VM agent for snapshot status.
Recommended action(s)
Please retry the backup operation. If the issue repeats, follow the instructions athttp://go.microsoft.com/fwlink/?LinkId=800034.
Time
December 21, 2020 1:53 UTC
Vault
IBSG-AZ-RSG-VM01
View more details in theAzure portal.
Account information
Subscription ID: 0ff3bd68-49c3-41e0-b571-fed4c5d934a6
[Facebook]
[Twitter]
[YouTube]
[LinkedIn]
Privacy Statement
Microsoft Corporation,One Microsoft Way, Redmond, WA 98052
[Microsoft]
[image]</t>
  </si>
  <si>
    <t>Lisa Hommy</t>
  </si>
  <si>
    <t>Can you confirm if this is legit?</t>
  </si>
  <si>
    <t>[image]
They have emailed twice, but I donâ€™t ever recall getting invoiced from them before, please confirm this is legit?
Lisa HommyÂ |Â  Accounting
officeadmin@EdgeEquipment.com
www.EdgeEquipment.com
[DavidFy4]</t>
  </si>
  <si>
    <t>Important: An Azure Backup failure alert has been activated for IBSGAZPS01</t>
  </si>
  <si>
    <t>Did you guys get the alert last night? And who responded it?
Amin Hirji
Adebola Adeneye
Field Services Technician
PH.Â +1 7804246398
14505 114th Avenue NW
Edmonton,       AB
T5M2Y8
Adebola.Adeneye@mnp.ca
mnp.ca [image]
[image]
[image]
From: Microsoft Azure &lt;azure-noreply@microsoft.com&gt;
Sent: Sunday, December 20, 2020 6:55 PM
To: Amin Hirji &lt;Amin.Hirji@igloo.ca&gt;
Subject: Important: An Azure Backup failure alert has been activated for IBSGAZPS01
Review your alert for IBSGAZPS01.
[Microsoft Azure]
[Important]
Important
A Backup failure alert has been activated
Youâ€™re receiving this email because a Backup failure alert has been activated for IBSGAZPS01.
Severity
Critical
Alert
Backup failure
Backup item(s)
IBSGAZPS01
Description
Could not communicate with the VM agent for snapshot status.
Recommended action(s)
Please retry the backup operation. If the issue repeats, follow the instructions athttp://go.microsoft.com/fwlink/?LinkId=800034.
Account information
Subscription ID: 0ff3bd68-49c3-41e0-b571-fed4c5d934a6
[Facebook]
[YouTube]
Privacy Statement
Microsoft Corporation,One Microsoft Way, Redmond, WA 98052
[Microsoft]
[image]</t>
  </si>
  <si>
    <t>Esi Adokowa</t>
  </si>
  <si>
    <t>Esi Adokowa - Printer Malfunctioning</t>
  </si>
  <si>
    <t>### Summary of Issue_x000D_
Printer Malfunctioning_x000D_
  _x000D_
### Details of Issue_x000D_
The printer is again printing the first two pages of the same document again and again anytime anything is printed. It makes the printer slow as it is recieving the file for a very long time before it will print it. It is also wasting lots of paper._x000D_
  _x000D_
### Have you opened a ticket about this issue before?  _x000D_
 Yes  _x000D_
  _x000D_
### How many users are impacted by this issue?  _x000D_
 Everyone  _x000D_
  _x000D_
### How would you classify this issue?  _x000D_
 Work Impacting</t>
  </si>
  <si>
    <t>Cheryl Trenchard - VPN report not working</t>
  </si>
  <si>
    <t>Hi
This report is not working again.
With Thanks,
Cheryl Trenchard, PCP
Human Resources &amp; Payroll Manager
14610 Yellowhead Trail NW Edmonton, AB, T5L 3C5
Branch: 780-482-0281Â Â Â  Cell: 587-930-2091Â Â  Fax: 780-482-0278
Email: cheryl.trenchard@calmont.ca 
Website: https://urldefense.com/v3/http://www.calmont.ca;!!CBowfw0!pD4LpWwy9izfWpjpTwmPEDZZzIS-jr-YTqewFadZ46uuzoHiII50bck2QakQv5p4MQ$ 
This email, and any files transmitted with it, are confidential and are intended solely for the use of the individual or entity to which they are addressed. Any unauthorized use or disclosure is prohibited. Please notify the sender if you have received this email in error. Thank you for your co-operation.
-----Original Message-----
From: FAZ@calmont.ca &lt;FAZ@calmont.ca&gt; 
Sent: December 21, 2020 1:00 AM
To: Cheryl Trenchard &lt;Cheryl.Trenchard@calmont.ca&gt;
Subject: Daily VPN Usage Report-2020-12-21-0100
Hello,
Attached is the daily VPN usage report.</t>
  </si>
  <si>
    <t>Connecting to remote desktop</t>
  </si>
  <si>
    <t>Morning!
I have been unable to Connect to Remote Desktop since Friday. Still have my email access outside of cloud and can log in to my EMR.
Help?
You can call me on my cell today 780-906-6761.
Chris Stollery
Orthopaedic Associates
11202-76 Avenue
Edmonton, Alberta
Phone: 780-439-4945
Private Line : 780-439-6633</t>
  </si>
  <si>
    <t>Paul Duhamel</t>
  </si>
  <si>
    <t>Paul Duhamel - RDS Login Issues for Mantralogix Folks</t>
  </si>
  <si>
    <t>### Summary of Issue_x000D_
RDS Login Issues for Mantralogix Folks_x000D_
  _x000D_
### Details of Issue_x000D_
- The following people from Mantralogix will be helping us with tickets a couple days a week:  Kris Szabo, Kalyan Sivasubramanian, Donna Blyth
- It appears they are all having issues logging into the RDS, they don't get a MFA prompt pushed to their MS authenticator_x000D_
  _x000D_
### Have you opened a ticket about this issue before?  _x000D_
 No  _x000D_
  _x000D_
### How many users are impacted by this issue?  _x000D_
 Some  _x000D_
  _x000D_
### How would you classify this issue?  _x000D_
 Work Impacting</t>
  </si>
  <si>
    <t>Sarb Hundal - Xcharge not displaying transactions</t>
  </si>
  <si>
    <t>### Summary of Issue_x000D_
Xcharge not displaying transactions_x000D_
  _x000D_
### Details of Issue_x000D_
Xcharge is not displaying any transactions_x000D_
  _x000D_
### Have you opened a ticket about this issue before?  _x000D_
 No  _x000D_
  _x000D_
### How many users are impacted by this issue?  _x000D_
 Some  _x000D_
  _x000D_
### How would you classify this issue?  _x000D_
 Work Impacting  _x000D_
  _x000D_
### If your callback number is different than what's on record, please provide it below._x000D_
780-449-6597      please ask for Sarb</t>
  </si>
  <si>
    <t>Thomas Rooke</t>
  </si>
  <si>
    <t>MBA errors</t>
  </si>
  <si>
    <t>I am getting these errors when I try to schedule jobs or click buttons in MBA.
regards,
[image]
Tom Rooke
Operations Manager - Manufacturing/LocalÂ Distribution
Phone/Fax: 780.665.3201Â |
21421 111 Avenue NWÂ |Â Edmonton, ABÂ |Â T5S 1Y1
[image][image][image]Â  Â Â [image][image]</t>
  </si>
  <si>
    <t>RE:  URGENT REQUEST!  Z:Drive File Set Up</t>
  </si>
  <si>
    <t>Good morning,
I have created 4 new Staff Files folders on the Z:Drive.Â  Can you please allow the following access for each file to the names indicated and confirm when complete.Â  This is of an urgent request.
1. Staff Files â€“ Residential Program /access granted to Monica Robson, Cheryl Waldo, Sean Youn, Kelly Marlow
1. Staff Files -Â  Fund Development /access granted to Monica Robson, Cheryl Waldo, Sean Youn, Elaine Warick
1. Staff Files â€“ Hospice Community Program /access granted to Monica Robson, Cheryl Waldo, Sean Youn, Bonnie Ross
1. Staff Files â€“ Support Staff /access granted to Monica Robson, Cheryl Waldo, Sean Youn
Thank you,
Cheryl Waldo
Senior Executive Assistant
Pilgrims Hospice Society
9808 â€“ 148 Street
Edmonton ABÂ  T5N 3E8
T. 780.413.9801 ext. 240 / T. 587.414.5043 (direct)
*Home of the new Roozen Family Hospice Centre
[image]</t>
  </si>
  <si>
    <t>Qnap Hard Drive replacement</t>
  </si>
  <si>
    <t>### What company is this quote for?_x000D_
AMP Financial Inc._x000D_
  _x000D_
### Who should the quote be addressed to?  _x000D_
 The primary contact in Connectwise  _x000D_
  _x000D_
### Which location is the product for?_x000D_
Calgary_x000D_
  _x000D_
### Which ND location is it needed at?  _x000D_
 Next Digital Calgary  _x000D_
  _x000D_
### When is it needed by OR when is the next site visit for the client's location?  _x000D_
Wed 16 Dec, 2020  _x000D_
  _x000D_
### What do you need quoted?_x000D_
Qnap TS-253A Hard drive replacing the faulty one 
Qnap  S/N :  Q16B102945
Claire (Primary contact) is aware 
Please see attached for hard drive error which shows  size and S/N</t>
  </si>
  <si>
    <t>Tamara Stelte - Folders closing</t>
  </si>
  <si>
    <t>There are certain files/ folders that I reference often, that keep timing out or closing.  Other designers that are now working from home have mentioned theirs are doing this as well.  Is there a way to keep them open for the duration of the day?</t>
  </si>
  <si>
    <t>Kevin Seward</t>
  </si>
  <si>
    <t>Kevin Seward - CFO database extremely slow</t>
  </si>
  <si>
    <t>### Summary of Issue_x000D_
CFO database extremely slow_x000D_
  _x000D_
### Details of Issue_x000D_
All staff are experiencing the CFO database being extremely slow_x000D_
  _x000D_
### Have you opened a ticket about this issue before?  _x000D_
 No  _x000D_
  _x000D_
### How many users are impacted by this issue?  _x000D_
 Everyone  _x000D_
  _x000D_
### How would you classify this issue?  _x000D_
 Work Impacting  _x000D_
  _x000D_
### If your callback number is different than what's on record, please provide it below._x000D_
403-331-0367</t>
  </si>
  <si>
    <t>Carolyn Taylor</t>
  </si>
  <si>
    <t>Carolyn Taylor - CFO database is extremely slow</t>
  </si>
  <si>
    <t>### Summary of Issue_x000D_
CFO database is extremely slow_x000D_
  _x000D_
### Details of Issue_x000D_
CFO database is extremely slow_x000D_
  _x000D_
### Have you opened a ticket about this issue before?  _x000D_
 No  _x000D_
  _x000D_
### How many users are impacted by this issue?  _x000D_
 One  _x000D_
  _x000D_
### How would you classify this issue?  _x000D_
 Minor Inconvenience  _x000D_
  _x000D_
### If your callback number is different than what's on record, please provide it below._x000D_
780-271-5431</t>
  </si>
  <si>
    <t>FW: Your Adobe Donation Request #2981609 Through TechSoup Canada</t>
  </si>
  <si>
    <t>Good morning,
We purchased Adobe Pro 2020 for my computer.Â  There can be two downloads and I would like to have one on the desktop and one for my RDS as well.Â  Please click on the link and install so that I donâ€™t run into any problems with accessibility on the back end.
Kindly confirm when this has been completed.
Thank you,
Cheryl Waldo
Senior Executive Assistant
Pilgrims Hospice Society
9808 â€“ 148 Street
Edmonton ABÂ  T5N 3E8
T. 780.413.9801 ext. 240 / T. 587.414.5043 (direct)
*Home of the new Roozen Family Hospice Centre
[image]
From: TechSoup Canada &lt;customerservice@techsoupcanada.ca&gt; 
Sent: December 16, 2020 7:33 AM
To: info &lt;info@pilgrimshospice.com&gt;
Cc: customerservice@techsoupcanada.ca
Subject: Your Adobe Donation Request #2981609 Through TechSoup Canada
Cliquez ici pour aller directement Ã  la partie franÃ§aise de ce courriel.
Dear Pilgrims Hospice Society,
Thank you for requesting your Adobe donation through TechSoup Canada.
Your Acrobat Pro 2020 Win ESD (Canada) request, number 2981609, has been approved and is now ready for download and installation.
Serial Number    
Each serial number below will allow you to install one product on one primary computer and one secondary computer. The secondary computer may be a home computer or portable computer and must be of the same platform. You may not run the software simultaneously on both the primary and secondary computers.
Acrobat Pro 2020 Win ESD (Canada)
1118-1566-7077-1323-2846-7078
Please note: The license for this product will expire on December 1, 2026. After that date, you will not be able to use the product unless you obtain a new license.
Download Your Software    
er
1. Go to the  Acrobat Pro download page.
2. Click the download link for either the Windows or the macOS version of Acrobat Pro.
3. Open the file you downloaded to run the installer, which will extract the rest of the installation files.
4. In the folder created by extraction, navigate to the Setup installer icon, double-click it, and follow the installation instructions.
Installation Notes    
When you install, you will see a dialog box giving you the option to enter your serial number or use the product on a trial basis. Enter your serial number. If for some reason you choose to run the product in trial mode, you will not be allowed to enter the serial number until the trial period expires.
During installation, you might also be asked to log in with an Adobe ID. You should enter your personal Adobe ID that you've created or follow the instructions to create one. An Adobe ID is a free user account that provides access to Adobe apps and services. For additional assistance, see  instructions to create or update your Adobe IDor contact Adobe directly.
Agreements You Accepted    
When you went through the check-out process for your donation request, you accepted an agreement that verified your request for either the Windows version or the Mac version of this product.
Need More Help?    
Have more questions? We encourage you to visit our  donation partner's website to consult their FAQ and other helpful product information they provide. If you have questions specific to receiving a requested donation, visit the Contact Uspage on our website to see TechSoup Canada's options for providing you with the best service.
Regards,
Customer Service - Service Ã  la clientele
TechSoup Canada â€“ www.techsoupcanada.ca
1.855.281.5499
customerservice@techsoupcanada.ca
The Adobe Donation Program is brought to you by Adobe in partnership with  TechSoup and  TechSoup Canada. TechSoup Canada is a program of the  Centre for Social Innovation.
To unsubscribe, please  fill out this form. Note that if you unsubscribe, you will no longer be able to request donations through TechSoup Canada.
FranÃ§aise    
Cher(e), Pilgrims Hospice Society,
Merci d'avoir commandÃ© votre produit Adobe avec TechSoup Canada.
Votre requÃªte de Acrobat Pro 2020 Win ESD (Canada), numÃ©ro 2981609, a Ã©tÃ© approuvÃ©e et est maintenant prÃªte Ã  ...</t>
  </si>
  <si>
    <t>Esi Adokowa - Printer Printing the Same Document Over and Over</t>
  </si>
  <si>
    <t>### Summary of Issue_x000D_
Printer Printing the Same Document Over and Over_x000D_
  _x000D_
### Details of Issue_x000D_
This has happened before on several occasions. It's wasting paper and coming out every time something is printed by any user._x000D_
  _x000D_
### Have you opened a ticket about this issue before?  _x000D_
 Yes  _x000D_
  _x000D_
### How many users are impacted by this issue?  _x000D_
 Everyone  _x000D_
  _x000D_
### How would you classify this issue?  _x000D_
 Work Impacting  _x000D_
  _x000D_
### If your callback number is different than what's on record, please provide it below._x000D_
780619-8024</t>
  </si>
  <si>
    <t>Terry Morin - RDP for phone system access does not work through RDS</t>
  </si>
  <si>
    <t>### Summary of Issue_x000D_
RDP for phone system access does not work through RDS_x000D_
  _x000D_
### Details of Issue_x000D_
- Client is Caskey and Company, requested to remote setup on the Edmonton phone system
- confirmed that RDP in IT glue for phone access works from inside Edmonton office (Shawn Dunbar) but not from my RDS (at home office)_x000D_
  _x000D_
### Have you opened a ticket about this issue before?  _x000D_
 No  _x000D_
  _x000D_
### How many users are impacted by this issue?  _x000D_
 Some  _x000D_
  _x000D_
### How would you classify this issue?  _x000D_
 Work Impacting</t>
  </si>
  <si>
    <t>Penelope E-mail Problems</t>
  </si>
  <si>
    <t>Hi there,
We have not been able to send e-mails from our Penelope (Athena) system to our clients through the Client Connect feature.
Iâ€™ve been in discussion with Penelope about the problem and they suggested it could be related to changes in our Firewall etc. See Screen shot of the dialogue below.
Can you check into this and let me know?
Thanks,
Rob
[image]
[image]
Rob Zimmerman, MA, CCC
Manager, Strong Families in Community
T: 403 205 5239 ext: 239 | E: robz@caryacalgary.ca|F: 403-205-5281
180, 839 â€“ 5 Avenue SW | Calgary, AB | T2P 3C8
[cid:image003.jpg@01D44E72.A0C65DE0][cid:image004.jpg@01D44E72.A0C65DE0]Â [cid:image005.jpg@01D44E72.A0C65DE0]
carya (formerly Calgary Family Services)
carya is located on the territory of the peoples of Treaty 7, including the Niitsitapi (Blackfoot Confederacy), comprising the Siksika, Piikani, and Kainai First Nations; the Tsuutâ€™ina First Nation; and the Ä¨yÃ£Ä§Ã© Nakoda, including the Chiniki, Wesley, and Bearspaw First Nations. The City of Calgary is also home to the MÃ©tis Nation of Alberta, Region III.
No form of electronic communication is secure and may be intercepted by others. Carya cannot guarantee the receipt of electronic communication nor a timely response. Where communication is confidential or time sensitive we recommend you call 403-269-9888 during business hours (Monday-Friday, 8:30am-4:30pm). For immediate crisis response please contact the Distress Centre Crisis Line at 403-266-HELP (4537) and in case of an emergency dial 911.
This e-mail is intended solely for the person or entity to which it is addressed and may contain confidential and/or privileged information. Any review, dissemination, copying, printing, forwarding or other use of this e-mail by persons or entities other than the addressee is prohibited. If you have received this e-mail in error, please contact the sender immediately and delete the material from your computer.</t>
  </si>
  <si>
    <t>Brian McBride - Hallway Cafe / e4c Internet Interuption</t>
  </si>
  <si>
    <t>Greetings,
Our internet went down late this afternoon and has yet to return.Â  The shaw modem is cycling trying to connect but is not catching the upstream or downstream on the line.Â  I did power cycle the modem and attempted all the basic on-site things that Shaw would have me do at home when there is an issue and the system has yet to reconnect.
Internet access is mission critical for our program as this impacts the ability of our staff to connect to RDS and networked applications, our Point of sale system is unable to process debit and credit cards, and due to covid restrictions our business is solely reliant on phone calls and online ordering both on which are also offline with the internet.
If you could please connect with shaw to get these services back online it would be greatly appreciated.
Sincerely,
Brian McBride
This email was sent from a mobile device, please be mind the typos.
Brian McBridee4c 
Director of Culinary / Program Manager
The Hallway CafÃ© Program
BMcBride@hallway.cafe
T: 780-413-8060
M: 780-499-0115
[image]
This message is intended for the use of the individual or entity to which it is addressed and may contain information that is privileged and confidential. If you are not the intended recipient or the employee responsible for delivery of the message to the intended recipient, please be advised that any dissemination, distribution or copying of this message is strictly prohibited. If you have received this message in error, please notify us immediately by telephone and return the original email to us or destroy this message.
[image]e4c supports environmental conservation - please print wisely.</t>
  </si>
  <si>
    <t>URGENT: SRG-TRIMBLE</t>
  </si>
  <si>
    <t>The vm does not look like its on??
[image]Â Riccardo Francese
Business Process Manager
T:       +1 (780) 400-7487
C:       +1 (587) 990-0176
F:       +1 (780) 417-6496
E:       RFrancese@siterg.com
W:       WWW.SITERG.COM
#170, 120 Pembina Rd., Sherwood Park, AB, T8H 0M2
The information contained in this e-mail may       contain confidential or privileged material and is intended only for the       stated addressee(s). If you are not the valid addressee, the use,       disclosure, copying or distribution of this information is prohibited and       may be unlawful. If you have received this email message in error, please       notify the sender immediately and delete all copies of the message from       your computer. All information within or opinions expressed in this       message and/or any attachments are those of the author and are not       necessarily those of the Centurion Group.</t>
  </si>
  <si>
    <t>FW: Outlook 365 question</t>
  </si>
  <si>
    <t>Richard Ignacz
Project Specialist
PH.Â +1 7804246398
14505 114th Avenue NW
Edmonton,       AB
T5M2Y8
Richard.Ignacz@mnp.ca
mnp.ca [image]
[image]
[image]
From: Joanne Chaloner &lt;JoanneC@caryacalgary.ca&gt;
Sent: December 14, 2020 8:13 AM
To: Richard Ignacz &lt;Richard.Ignacz@mnp.ca&gt;
Subject: Outlook 365 question
CAUTION:This email originated from outside of the MNP network. Be cautious of any embedded links and/or attachments.
MISE EN GARDE:Ce courriel ne provient pas du rÃ©seau de MNP. MÃ©fiez-vous des liens ou piÃ¨ces jointes quâ€™il pourrait contenir.
Hi Richard,
I am not sure if you are the person to answer this question or not, so I am sending this to you first.Â  If it is not you that would answer this, please forward to the helpdesk.
Before we went onto Outlook 365 we were able to delay delivery of email messages.Â  In the individual message options, you could set the message to deliver at a specific time.Â  The message would stay in the userâ€™s Outbox until the delivery time, when it would get sent at the specified time.Â  I used this feature a lot.Â  Since the Migration to 365, when I use the delay delivery option I get the following message.Â  Is there any way to change our settings so that the message delivers at the specified time, rather than when I open Outlook again?
[image]
Thanks,
Joey
[image]Â [image]Â [image].
In the spirit of our efforts to promote reconciliation, we acknowledge the traditional territories and oral practices of the Blackfoot, the Tsuut'ina, the Stoney Nakoda First Nations, the MÃ©tis Nation Region 3, and all people who make their homes in the Treaty 7 region of Southern Alberta. We also respectfully acknowledge that the province of Alberta is comprised of Treaty 6, Treaty 7, and Treaty 8 territory, the traditional lands of First Nations and MÃ©tis peoples.
No form of electronic communication is secure and may be intercepted by others. Carya cannot guarantee the receipt of electronic communication nor a timely response. Where communication is confidential or time sensitive we recommend you call 403-269-9888 during business hours (Monday-Friday, 8:30am-4:30pm). For immediate crisis response please contact the Distress Centre Crisis Line at 403-266-HELP (4537) and in case of an emergency dial 911.
This e-mail is intended solely for the person or entity to which it is addressed and may contain confidential and/or privileged information. Any review, dissemination, copying, printing, forwarding or other use of this e-mail by persons or entities other than the addressee is prohibited. If you have received this e-mail in error, please contact the sender immediately and delete the material from your computer.</t>
  </si>
  <si>
    <t>O365 Backups - Durocher - Expired Password</t>
  </si>
  <si>
    <t>Good Morning,
I want to make someone aware that the password for svc_o365@dursim.comhas expired and will need to be reset. Please reset it to the password you have on file so it does not need to be changed. The backups will not be able to run until the password is reset.
Thank you very much in advance,
Rory Maguire
HostedBizz Inc.
www.hostedbizz.com
(O) +1.613.454.5810 x 184
(M) +1.613.447.6878
[signature_41634406]
[/Users/paulbutcher/Library/Containers/com.microsoft.Outlook/Data/Library/Caches/Signatures/signature_610490521][/Users/paulbutcher/Library/Containers/com.microsoft.Outlook/Data/Library/Caches/Signatures/signature_786649483][/Users/paulbutcher/Library/Containers/com.microsoft.Outlook/Data/Library/Caches/Signatures/signature_166302351]Â Â Â Â Â [Picture2]</t>
  </si>
  <si>
    <t>SSL Certificate Renewal Notice - Support Expires 11-JAN-2021</t>
  </si>
  <si>
    <t>James Armitage - MHK - Update DNS records</t>
  </si>
  <si>
    <t>### Summary of Issue_x000D_
MHK - Update DNS records_x000D_
  _x000D_
### Details of Issue_x000D_
Update the internal and external DNS to add the "Skype for Business" records. 2 CNAMES and 2 SRV records._x000D_
  _x000D_
### Have you opened a ticket about this issue before?  _x000D_
 No  _x000D_
  _x000D_
### How many users are impacted by this issue?  _x000D_
 Everyone  _x000D_
  _x000D_
### How would you classify this issue?  _x000D_
 Minor Inconvenience</t>
  </si>
  <si>
    <t>AD Domain Level and Forest Level</t>
  </si>
  <si>
    <t>What is the highest we can go now?
Amin HIrj i</t>
  </si>
  <si>
    <t>Riccardo Francese - RDS02 CPU and Mem Maxed</t>
  </si>
  <si>
    <t>RDS02 is maxing out the CPU at 100% and it is extremely slow
[image]Â Riccardo Francese
Business Process Manager
T:       +1 (780) 400-7487
C:       +1 (587) 990-0176
F:       +1 (780) 417-6496
E:       RFrancese@siterg.com
W:       WWW.SITERG.COM
#170, 120 Pembina Rd., Sherwood Park, AB, T8H 0M2
The information contained in this e-mail may       contain confidential or privileged material and is intended only for the       stated addressee(s). If you are not the valid addressee, the use,       disclosure, copying or distribution of this information is prohibited and       may be unlawful. If you have received this email message in error, please       notify the sender immediately and delete all copies of the message from       your computer. All information within or opinions expressed in this       message and/or any attachments are those of the author and are not       necessarily those of the Centurion Group.</t>
  </si>
  <si>
    <t>Multotec - BE03 DFS replication errors</t>
  </si>
  <si>
    <t>### Summary of Issue_x000D_
Multotec - BE03 DFS replication errors_x000D_
  _x000D_
### Details of Issue_x000D_
We need to check on the DFSR connectivity for Mutlotec again, and confirm that there is not any current issues with AD/DFS replication between us and the South African sites._x000D_
  _x000D_
### Have you opened a ticket about this issue before?  _x000D_
 No  _x000D_
  _x000D_
### How many users are impacted by this issue?  _x000D_
 Some  _x000D_
  _x000D_
### How would you classify this issue?  _x000D_
 Work Impacting</t>
  </si>
  <si>
    <t>Tim Cooper</t>
  </si>
  <si>
    <t>RE: Router - Ports after Update - Will Need the Techs</t>
  </si>
  <si>
    <t>Hey Tim,
Iâ€™ve copied MNP Technologies on this email to get some help with this.
MNP â€“ Can you guys please talk to Tim about looking at the port forwarding for our Fortigate? It seems some settings changed after an update and traffic is being disrupted. Iâ€™m authorizing the ticket and for you to take directions as well as discuss the matter with Tim.
Thanks,
James M. Hackett,B.A., J.D.
Barrister and Solicitor
Cooper &amp; Company
212 9714 Main Street
Fort McMurrayÂ  ABÂ  T9H 1T6
Phone: (780) 791-7787
Fax: (780) 791-0750
James@coopercompanylaw.com
This e-mail contains confidential information.Â  If you are not the intended recipient or have received this e-mail in error, please notify the sender immediately and destroy this e-mail.Â  Any unauthorized copying, disclosure or distribution of the e-mail or the information it contains, is strictly forbidden.
PPlease consider your environment before printing this e-mail
From: Tim Cooper &lt;timothy.scott.cooper@gmail.com&gt;
Sent: December 10, 2020 8:49 PM
To: James M Hackett &lt;James@coopercompanylaw.com&gt;
Subject: Router - Ports after Update - Will Need the Techs
Hey James,
Would you be able to put me in touch with the guys who are maintainingÂ the router.
Some of the policies related to port forwarding for games seem to have stopped working since the update.
I took a look around, but unfortunately the enterprise version of port forwarding is much more complex in fortinet than I'm used to.
So i'll need their help getting them set back up.
Thanks
All the best
Tim</t>
  </si>
  <si>
    <t>FW: Sterling Place - Reminder on EPCOR Power Shutdown</t>
  </si>
  <si>
    <t>FYI.
Â 
From: anosh.tavitian@gwlra.com [mailto:GWL.communication@com.ng1.angusanywhere.com]
Sent: Thursday, December 10, 2020 8:49 AM
To: Nora Decosemo &lt;Nora.Decosemo@nrcb.ca&gt;
Subject: Sterling Place - Reminder on EPCOR Power Shutdown
Good morning,
Please see attached reminder on an important activity taking place this weekend. Kindly ensure to inform all staff/patrons.
Thank you,
GWL Realty Advisors
The contents of this communication, including any attachment(s), are confidential and may be privileged. If you are not the intended recipient (or are not receiving this communication on behalf of the intended recipient), please notify the sender immediately and delete or destroy this communication without reading it, and without making, forwarding, or retaining any copy or record of it or its contents. Thank you. Note: We have taken precautions against viruses,but take no responÂ­sibility for loss or damage caused by any virus present.By giving us your email address, you agree to allowGWLRealty Advisors Inc.to contact you from time to time until you tell us otherwise. If you have any questions, please contact us atUnsubscribeCASL@gwlra.com.
Le contenu de la prÃ©sente communication, y compris tout fichier joint, est confiÂ­dentiel et peut Ãªtre privilÃ©giÃ©. Si vous nâ€™Ãªtes pas le destinataire visÃ© (ou si vous ne recevez pas la prÃ©sente communication au nom du destinataire visÃ©), veuillez en aviser immÃ©diatement lâ€™expÃ©diteur et supprimer ou dÃ©truire le prÃ©sent message sans le lire, en tirer des copies, le retransmettre ou en enregistrer le contenu. Merci. Ã€ noter : Nous avons pris des mesures de protection contre les virus, mais nous nâ€™assumons aucune responsabilitÃ© pour ce qui est de la perteou des domÂ­mages causÃ©s par la prÃ©sence dâ€™un virus. En nous donnant votre adresse de courriel, vous autorisezÂ La sociÃ©tÃ© Conseillersimmobiliers GWLÃ  communiquer avec vous de jusquâ€™Ã  indication contraire de votre part. Si vous avez des questions, veuillez communiquer avec nous pardesabonnementLCAP@gwlra.com.</t>
  </si>
  <si>
    <t>CW Manage Invoices Sending as do-not-reply@mnp.ca</t>
  </si>
  <si>
    <t>Apparently, when an invoice is being sent out of Connectwise, it is coming from ITMS announcements????
And the reply email indicatessupport@MNPtechnology.ca
When did the switch happen? I need all invoices to be sent frombilling@mnptechnology.ca Â and the email address for information or questions to be the same.
SEE below, this is an email that a client received.
Carly Dinan
Manager, Finance
PH.Â +1 7804246398       Ext 307
14505 114th Avenue NW
Edmonton,       AB
T5M2Y8
Carly.Dinan@mnp.ca
mnp.ca [image]
[image]
[image]
From: ITMS Announcements &lt;do-not-reply@mnp.ca&gt;
Sent: Thursday, December 3, 2020 1:04 PM
To: Rhonda Lafreniere &lt;rlafreniere@albertapulse.com&gt;
Subject: Invoice #47787 from MNP Technology Solutions Inc.
Please do not reply to this email, this inbox is not monitored. Please emailsupport@mnptechnology.ca and your request will be directed to the appropriate team.
[Image removed by sender. MNP]
Hello Rhonda,
Your invoiceÂ #47787 is attached.Â Please remit payment at your earliest convenience.
Thank you for your business.
Billing Inquiries
Edmonton: 780-424-6398
Toll Free: 1-888-224-5770
Email: billing@mnptechnology.ca
Payment Options
Cheque:
Please reference your invoice number, make cheques payable to MNP Technology Solutions Inc. and remit to:
MNP Technology Solutions Inc.
14505 114 Avenue NW
Edmonton, ABÂ Â T5M 2Y8
Credit Card:
Please phone the office to arrangement payment with your credit card.
Electronic Wire or EFT:
BMO
340 7th Avenue SW
Calgary, ABÂ Â T2P 0X4
Account Name: MNP Technology Solutions Inc
Bank Transit Number: 0010 (Wire) / 00109 (EFT)
Account: 1926865
Swift Code: BOFMCAM2
Email payment details, including invoice number and amount paid to:billing@mnptechnology.ca
This email and any accompanying attachments contain confidential information intended only for the individual or entity named above. Any dissemination or action taken in reliance on this email or attachments by anyone other than the intended recipient is strictly prohibited. If you believe you have received this message in error, please delete it and contact the sender by return email. In compliance with Canada's Anti-spam legislation (CASL), if you do not wish to receive further electronic communications from MNP, please reply to this email with "REMOVE ME" in the subject line.</t>
  </si>
  <si>
    <t>Jayde Tessier - Adobe Flash</t>
  </si>
  <si>
    <t>### Summary of Issue_x000D_
Adobe Flash_x000D_
  _x000D_
### Details of Issue_x000D_
I'm trying to enter hours on kronos-cloud-users on my desktop as i normally do but i am unable to because it requires adobe flash and im unable to download myself_x000D_
  _x000D_
### Have you opened a ticket about this issue before?  _x000D_
 No  _x000D_
  _x000D_
### How many users are impacted by this issue?  _x000D_
 One  _x000D_
  _x000D_
### How would you classify this issue?  _x000D_
 Work Impacting</t>
  </si>
  <si>
    <t>Nancy Vruwink</t>
  </si>
  <si>
    <t>May have been hacked</t>
  </si>
  <si>
    <t>Please see the below images that our client has received from someone posing as me
[image]
[image]
Michele (our AHS client) called me this afternoon and asked me about theses emails which I told her I didnâ€™t know what she was talking about. She tried to email them to me but I did not get them (so she took photos and texted them to me).Â 
Since 2:28 today I have not been able to receive emails from her at all. She tried to send new unrelated emails as well as replies to emails that I sent at 4:38 to her. None of these came to me.Â 
Have I been hacked or has she?
Sent from my iPhone
Nancy Vruwink</t>
  </si>
  <si>
    <t>ECF - Possible Trojan</t>
  </si>
  <si>
    <t>My antivirus is detecting something on the server when I remote in from home. Can you please take a look at this.
[image]
King Regards,
Yetayale Tekle
Grants Assistant
9910-103rd Street
Edmonton, AB T5K 2V7
780.426.0015 ext 122
www.ecfoundation.org</t>
  </si>
  <si>
    <t>Voicemail to email not working since the migration</t>
  </si>
  <si>
    <t>Hello,
Since our email migration, we do not appear to be getting our voicemails sent automatically to our email anymore.Â  Another staff mentioned this to me, so I left myself a voicemail on my work phone, but I did not get an email.Â  We really rely on this and need it to work.Â  Please look into this as soon as possible.Â  Because we have very few staff going in to their offices, they might be missing client calls which could be critical.
Thanks,
Joey
[image]
Joanne Chaloner
Accountant
T: 403-205-5270 | E: JoanneC@caryacalgary.ca|F: 403-205-5273
180, 839 5 Ave SW | Calgary, AB | T2P 3C8
[image]Â [image][instagram-1675670]Â [image]
carya (formerly Calgary Family Services)
Stay up to date with the latest carya news, programs, and events by signing up for ourmonthly newsletter.
In the spirit of our efforts to promote reconciliation, we acknowledge the traditional territories and oral practices of the Blackfoot, the Tsuut'ina, the Stoney Nakoda First Nations, the MÃ©tis Nation Region 3, and all people who make their homes in the Treaty 7 region of Southern Alberta. We also respectfully acknowledge that the province of Alberta is comprised of Treaty 6, Treaty 7, and Treaty 8 territory, the traditional lands of First Nations and MÃ©tis peoples.
No form of electronic communication is secure and may be intercepted by others. Carya cannot guarantee the receipt of electronic communication nor a timely response. Where communication is confidential or time sensitive we recommend you call 403-269-9888 during business hours (Monday-Friday, 8:30am-4:30pm). For immediate crisis response please contact the Distress Centre Crisis Line at 403-266-HELP (4537) and in case of an emergency dial 911.
This e-mail is intended solely for the person or entity to which it is addressed and may contain confidential and/or privileged information. Any review, dissemination, copying, printing, forwarding or other use of this e-mail by persons or entities other than the addressee is prohibited. If you have received this e-mail in error, please contact the sender immediately and delete the material from your computer.</t>
  </si>
  <si>
    <t>Mike Farhat - Blue Circle - NC-BCI-DB02\E: Drive expansion</t>
  </si>
  <si>
    <t>### Summary of Issue_x000D_
Blue Circle - NC-BCI-DB02\E: Drive expansion_x000D_
  _x000D_
### Details of Issue_x000D_
NC-BCI-DB02\E: Drive expansion by 30 GB_x000D_
  _x000D_
### Have you opened a ticket about this issue before?  _x000D_
 No  _x000D_
  _x000D_
### How many users are impacted by this issue?  _x000D_
 Everyone  _x000D_
  _x000D_
### How would you classify this issue?  _x000D_
 Work Impacting</t>
  </si>
  <si>
    <t>Ravi Kumar - I would like to use ACROBAT PRO DC (already available in my desktop) to edit my...</t>
  </si>
  <si>
    <t xml:space="preserve">Extended Summary_x000D_
Ravi Kumar - I would like to use ACROBAT PRO DC (already available in my desktop) to edit my pdf files in One Drive_x000D_
_x000D_
Description_x000D_
### Summary of Issue_x000D_
I would like to use ACROBAT PRO DC (already available in my desktop) to edit my pdf files in One Drive_x000D_
  _x000D_
### Details of Issue_x000D_
I receive many pdf files by email and would like to save them in my OneDrive and, the, to mark and edit them with Adobe Pro DC , which is already available on my desktop. However, when I click open a pdf file in OneDrive, it opens under some other app, not the  Acrobat PRO DC app. I do not see any tools for highlighting or comments._x000D_
  _x000D_
### Have you opened a ticket about this issue before?  _x000D_
 No  _x000D_
  _x000D_
### How many users are impacted by this issue?  _x000D_
 Some  _x000D_
  _x000D_
### How would you classify this issue?  _x000D_
 Work Impacting  _x000D_
  _x000D_
### If your callback number is different than what's on record, please provide it below._x000D_
780-913-3248_x000D_
</t>
  </si>
  <si>
    <t>Jerry Wilkinson - ND SMS Gateway not functional</t>
  </si>
  <si>
    <t>### Summary of Issue_x000D_
ND SMS Gateway not functional_x000D_
  _x000D_
### Details of Issue_x000D_
ND SMS Gateway not functional
-tried to use the number but the code never shows up in the email inbox_x000D_
  _x000D_
### Have you opened a ticket about this issue before?  _x000D_
 No  _x000D_
  _x000D_
### How many users are impacted by this issue?  _x000D_
 Some  _x000D_
  _x000D_
### How would you classify this issue?  _x000D_
 Minor Inconvenience</t>
  </si>
  <si>
    <t>David Brunton (Inactive)</t>
  </si>
  <si>
    <t>David Brunton - Need recovery of Document Folder from Back up of my server. Folder last used...</t>
  </si>
  <si>
    <t xml:space="preserve">Extended Summary_x000D_
David Brunton - Need recovery of Document Folder from Back up of my server. Folder last used Friday and was not available today when I went onto my computer remotely._x000D_
_x000D_
Description_x000D_
### Summary of Issue_x000D_
Need recovery of Document Folder from Back up of my server. Folder last used Friday and was not available today when I went onto my computer remotely._x000D_
  _x000D_
### Details of Issue_x000D_
Server 2k8 u Drive. 
All Word documents lost_x000D_
  _x000D_
### Have you opened a ticket about this issue before?  _x000D_
 No  _x000D_
  _x000D_
### How many users are impacted by this issue?  _x000D_
 Some  _x000D_
  _x000D_
### How would you classify this issue?  _x000D_
 Work Impacting  _x000D_
  _x000D_
### If your callback number is different than what's on record, please provide it below._x000D_
7809514231_x000D_
</t>
  </si>
  <si>
    <t>Check RAM of server -</t>
  </si>
  <si>
    <t>Guys, I have this message while opening one excel spreadsheet.Â  I didnâ€™t have much things opened, I shouldnâ€™t be having this.
Please get involved quickly as we cannot work under these conditions.
[image]
Martin
[Multotec-Canada-Signature-Portrait-small]Martin Jubinville Eng., M.A.Sc.
Commercial Manager
Multotec Canada
Office: (450) 651-5858 ext. 201
Mobile: (514) 772-3946
Email:martin@multotec.ca
Website:www.multotec.ca
â€œWarning/Disclaimer: This email, including any attachments, is subject to important warnings and disclaimers which are hereby incorporated into this email. The full text of the warnings and disclaimers together with the company particulars are available by clicking on: http://www.multotec.com/content/email-disclaimer"</t>
  </si>
  <si>
    <t>URGENT: Recover Global Folder</t>
  </si>
  <si>
    <t>Please recover the following folder: \ses-sage-ca\Timberline Office\9.5\ACCOUNTING\Global
Recover it to \ses-sage-ca\Timberline Office\9.5\ACCOUNTING and name it: GLOBAL_RECOVERY
Please set permissions to Everyone allowed
I need this done today
[image]Â Riccardo Francese
Business Process Manager
T:       +1 (780) 400-7487
C:       +1 (587) 990-0176
F:       +1 (780) 417-6496
E:       RFrancese@siterg.com
W:       WWW.SITERG.COM
#170, 120 Pembina Rd., Sherwood Park, AB, T8H 0M2
The information contained in this e-mail may       contain confidential or privileged material and is intended only for the       stated addressee(s). If you are not the valid addressee, the use,       disclosure, copying or distribution of this information is prohibited and       may be unlawful. If you have received this email message in error, please       notify the sender immediately and delete all copies of the message from       your computer. All information within or opinions expressed in this       message and/or any attachments are those of the author and are not       necessarily those of the Centurion Group.</t>
  </si>
  <si>
    <t>Kolyn Anderson - Unable to access Calgary and Nextcloud Subnets through the Forticlient VPN</t>
  </si>
  <si>
    <t>### Summary of Issue_x000D_
Unable to access Calgary and Nextcloud Subnets through the Forticlient VPN_x000D_
  _x000D_
### Details of Issue_x000D_
Unable to access Calgary and Nextcloud Subnets through the Forticlient VPN. I was able to do this before but it has since stopped. I have to log into the RDS to do anything with the cloud or accessing the Calgary network._x000D_
  _x000D_
### Have you opened a ticket about this issue before?  _x000D_
 No  _x000D_
  _x000D_
### How many users are impacted by this issue?  _x000D_
 One  _x000D_
  _x000D_
### How would you classify this issue?  _x000D_
 Minor Inconvenience</t>
  </si>
  <si>
    <t>Suzanne Rosko - Sage Update</t>
  </si>
  <si>
    <t>Hello,
Our bookkeeper would like to ensure that the Sage update has happened. It has been done for Edmonton Public but not for us as yet. She will be in to work this afternoon, is there a possibility that this can happen before then please?
[ECT Local 54 green-blue.jpg]Suzanne Rosko
Associate Executive Director
Edmonton Catholic Teachers
Local 54 of the Alberta Teachersâ€™ Association
W: (780) 451 1196
suzanne.rosko@ecteachers.ca</t>
  </si>
  <si>
    <t>Connie Catral</t>
  </si>
  <si>
    <t>Low Memory or disk space - on RDS</t>
  </si>
  <si>
    <t>Can't open attachments from email. Please refer to attached.  _x000D_
  _x000D_
_      _x000D_
 Attached files:  _x000D_
- Capture.PNG</t>
  </si>
  <si>
    <t>Gryphon Benefits and Insurance</t>
  </si>
  <si>
    <t>Patrik Foff</t>
  </si>
  <si>
    <t>Next Digital - Gryphon - Expired O365 Password</t>
  </si>
  <si>
    <t>To Whom it May Concern,
I just wanted to make someone aware that the O365 password for svc_o365@gryphonbenefits.comhas expired. As the reseller, I believe you have the ability to reset this password. Please reset this when you can, as the backup jobs will not run until it is reset. If the password needs to be changed, you will have to relay that information to me or HostedBizz directly. Let me know when it is reset and I will look out for these jobs completing successfully.
[image]
Thank you,
Rory Maguire
HostedBizz Inc.
www.hostedbizz.com
(O) +1.613.454.5810 x 184
(M) +1.613.447.6878
[signature_41634406]
[/Users/paulbutcher/Library/Containers/com.microsoft.Outlook/Data/Library/Caches/Signatures/signature_610490521][/Users/paulbutcher/Library/Containers/com.microsoft.Outlook/Data/Library/Caches/Signatures/signature_786649483][/Users/paulbutcher/Library/Containers/com.microsoft.Outlook/Data/Library/Caches/Signatures/signature_166302351]Â Â Â Â Â [Picture2]</t>
  </si>
  <si>
    <t>FW: siterg.com Secret Santa 2020</t>
  </si>
  <si>
    <t>Physhing?
[image]Â Ken Davies
Health, Safety &amp; Environmental Manager
T:       +1 (780) 400-7455
C:       +1 (780) 292-3413
F:       +1 (780) 417-6496
E:       KDavies@siterg.com
W:       WWW.SITERG.COM
#170, 120 Pembina Road, Sherwood Park, AB, T8H 0M2
The information contained in this e-mail may       contain confidential or privileged material and is intended only for the       stated addressee(s). If you are not the valid addressee, the use,       disclosure, copying or distribution of this information is prohibited and       may be unlawful. If you have received this email message in error, please       notify the sender immediately and delete all copies of the message from       your computer. All information within or opinions expressed in this       message and/or any attachments are those of the author and are not       necessarily those of the Centurion Group.
From: Cyber Santa &lt;cybersanta@siterg.com--not.co.uk&gt;
Sent: Thursday, December 3, 2020 5:08 AM
To: Ken Davies &lt;KDavies@siterg.com&gt;
Subject: siterg.com Secret Santa 2020
Hello everyone!
It's not long until Santa pays us all a visit andÂ siterg.com has been thinking of some Christmas cheer we can all have, and what better than a Secret Santa!
We are going to be sending a gift to all our staff members. All you need to do is sign up and our elves will take care of the rest:
Secret Santa sign-up form
Best Regards,
Cyber Santa!
[Image removed by sender.]</t>
  </si>
  <si>
    <t>Pat Walker</t>
  </si>
  <si>
    <t>FW: Phone system</t>
  </si>
  <si>
    <t>Hello there,
Please see the email below from Peter at Mint Health concerning their phone system over at their head office.
Please assign this ticket to Terry
Any questions as to what the issue is please contact Pat at the head office and she can be reached at 780-989-1282
Shawn Parks
Business Development
PH.Â +1 7804246398       Ext 321
14505 114th Avenue NW
Edmonton,       AB
T5M2Y8
Shawn.Parks@mnp.ca
mnp.ca [image]
[image]
[image]
From: Peter Poon &lt;peter.p@mintdrugs.com&gt;
Sent: December-02-20 10:42 PM
To: Pat Walker &lt;admin@mintdrugs.com&gt;
Cc: Shawn Parks &lt;sparks@gotel.ca&gt;
Subject: Phone system
CAUTION:This email originated from outside of the MNP network. Be cautious of any embedded links and/or attachments.
MISE EN GARDE:Ce courriel ne provient pas du rÃ©seau de MNP. MÃ©fiez-vous des liens ou piÃ¨ces jointes quâ€™il pourrait contenir.
Hi Pat, please work with Shawn to work out the bugs in our phone system with respect to secondary calls leading to fax lines, and please make the appropriate changes to directing our clients in our system
[image]
P: 780.989.1282
F: 780.989.1288
#202, 4103 97 St NW
Edmonton, AB
T6E 6E9
mintdrugs.com
[image]
PETER POON
Director, Finance and Strategy
[image][image][image]
[image][image][image][image][image][image]</t>
  </si>
  <si>
    <t>Ecko Marine Firewall</t>
  </si>
  <si>
    <t xml:space="preserve">Morning,
Steve Eckert from Ecko Marine is not renewing their firewall support which includes the UTM functionality. The firewall support expires on the Dec 6, 2020 - FGT61ETK18012056. Please disable the features on the firewall that will stop passing traffic through it before the unit expires. Steve has given the verbal about this and is fully aware of the risks that will come with this from the security side of things. Please have this completed by DECEMBER 5th and the work is billable.
Shawn
Shawn Kubiski
Partner
PH. +1       7804246398
14505 114th Avenue NW
Edmonton,       AB
T5M2Y8
Shawn.Kubiski@mnp.ca
mnp.ca 
[image]
[image]
[image]
</t>
  </si>
  <si>
    <t>Brad Dennis - SERVERS</t>
  </si>
  <si>
    <t>### Summary of Issue_x000D_
SERVERS_x000D_
  _x000D_
### Details of Issue_x000D_
Please have someone go into the two AX servers (AXAOS and AXDB) and reboot them bringing them back up in the proper order. I have made a point of this many times. When server updates are dropped, the way servers come back up is of vital importance. The AOS will not connect to the database and we are left with no connection. Currently no one is able to access the old AX system. Please fix the problem. Thanks._x000D_
  _x000D_
### Have you opened a ticket about this issue before?  _x000D_
 Yes  _x000D_
  _x000D_
### How many users are impacted by this issue?  _x000D_
 Everyone  _x000D_
  _x000D_
### How would you classify this issue?  _x000D_
 Work Impacting</t>
  </si>
  <si>
    <t>David Stevens - Kicked from RDS and unable to log back in!</t>
  </si>
  <si>
    <t>### Summary of Issue_x000D_
Kicked from RDS and unable to log back in!_x000D_
  _x000D_
### Details of Issue_x000D_
Hey Team, I was kicked from the RDS and I cannot log back in!
Please assist me, as I usually work within the RDS all day, every day.
I will use my laptop and what not locally.. currently onsite at Carya._x000D_
  _x000D_
### Have you opened a ticket about this issue before?  _x000D_
 No  _x000D_
  _x000D_
### How many users are impacted by this issue?  _x000D_
 One  _x000D_
  _x000D_
### How would you classify this issue?  _x000D_
 Work Impacting  _x000D_
  _x000D_
### If your callback number is different than what's on record, please provide it below._x000D_
call my cell plz</t>
  </si>
  <si>
    <t>Kathy Saunderson - Email Issues</t>
  </si>
  <si>
    <t>Hello. I have a number of issues to report and I am rolling them all into one email as they relate to one of our IT supports â€“ Intrinsic Design. Here are the issues:
 Zip files: The first 2 attempts by Intrinsic to send a zip file did not come through. Further, they didnâ€™t show up in my Sophos spam report. The 3rd attempt did come through and I am attaching that email. Why did this one come through?
 My emails to Intrinsic that include attachments are converted to winmail.dat files at Intrinsicâ€™s end. They ask why.
 The bigger issue today is that I have come across 2 instances where emails coming out of our Building Envelope course site have not made their way to my email account. This means that I am not getting notification that the member completed our course. Intrinsic Design looks after this course website and I have reached out to them with this question. They ask that I check with you to see if the emails are getting blocked/flagged somewhere and not making it through to me. To clarify, when members complete the course they are emailed a confirmation and a completion certificate. At the same time a system-generated email is sent to me at becourse@aaa.ab.ca. OnNovember 27th, member Chad Zyla completed the course, got his completion certificate emailed to his email address. However, I did not receive confirmation via the becourse email that Chad had completed the course. Here is a screenshot of that folder. You can see that I am getting other confirmations â€“ but not Chad Zylaâ€™s:
[image]
Intrinsic Designâ€™s comments:
Very interesting. Messages with .csv files appear to be consistently getting waylaid beforeÂ youÂ receive them. Thatâ€™s alsoÂ interestingÂ that the .zip didmake it through to you. I wonder ifÂ some changes have been made to your email restrictions recently that could be causing a number of these inconsistencies?
Can youÂ pleaseÂ take this up with your email hosts and see if the two student emails were filtered by your mail serverâ€™s anti-spam settings along with my Nov 25 and 26 messages? IfÂ youÂ send them the dates and sender email addresses, theyÂ should e able to check server logs to see if the messages come in and what happened to them once they did. This may be a matter of tweaking your rejection threshold or whitelisting certain addresses.
I wouldÂ likeÂ to confirm if those messages hit your server but werenâ€™t directed into your inbox before we try troubleshooting from the application itself. It would be very unusual for the system to simply fail to generate and send two emails when you are successfully receiving so many others.
Also,Â if youâ€™reÂ goingÂ to speak with your email hosts, I have an issue receiving emails from you that have attachments.Â Any of your emails that have attachments are always converted into a winmail.dat file. I am on a Mac and this has beenÂ happeningÂ for at least a year, from your account only. It didnâ€™t used to, but it is consistent now that all attachments come up like this. Please see the attached screenshot.
Kind regards,
Kathy
Kathy Saunderson, B.Comm
Professional Development OfficerÂ 
The Alberta Association of Architects
780.432.0224 ext. 218
Please note that AAA staff are working remotely due to the COVID situation. The Duggan House is closed to the public until further notice. We strive to maintain a high level of service and will respond within 3 business days. Please visit www.aaa.ab.ca for further updates and thank you for your patience during extraordinary times.</t>
  </si>
  <si>
    <t>Twin Dental</t>
  </si>
  <si>
    <t>Brian Wong</t>
  </si>
  <si>
    <t>Twin Dental ShoreTel System Down</t>
  </si>
  <si>
    <t>Hello there,
The ShoreTel phone system over at Twin Dental is down, please call Donna on her cell 780-660-4029
Shawn Parks
Business Development
PH.Â +1 7804246398       Ext 321
14505 114th Avenue NW
Edmonton,       AB
T5M2Y8
Shawn.Parks@mnp.ca
mnp.ca [image]
[image]
[image]</t>
  </si>
  <si>
    <t>Korden Huberdeau - Expand E Drive on NC-APG-BE01</t>
  </si>
  <si>
    <t>### Summary of Issue_x000D_
Expand E Drive on NC-APG-BE01_x000D_
  _x000D_
### Details of Issue_x000D_
Please add 20GB to the E Drive on NC-APG-BE01 for Alberta Pulse Growers Commision
My ticket is1320521, OPAL has already approved the change_x000D_
  _x000D_
### Have you opened a ticket about this issue before?  _x000D_
 No  _x000D_
  _x000D_
### How many users are impacted by this issue?  _x000D_
 Everyone  _x000D_
  _x000D_
### How would you classify this issue?  _x000D_
 Minor Inconvenience</t>
  </si>
  <si>
    <t>Jennifer Snelgrove - Printing .pdf</t>
  </si>
  <si>
    <t>### Summary of Issue_x000D_
Printing .pdf_x000D_
  _x000D_
### Details of Issue_x000D_
Printing is taking too long, is there a way to speed this up._x000D_
  _x000D_
### Have you opened a ticket about this issue before?  _x000D_
 Yes  _x000D_
  _x000D_
### How many users are impacted by this issue?  _x000D_
 Some  _x000D_
  _x000D_
### How would you classify this issue?  _x000D_
 Work Impacting</t>
  </si>
  <si>
    <t>Sterling Nordin</t>
  </si>
  <si>
    <t>FW: Undelivered Mail</t>
  </si>
  <si>
    <t>I can not email anyone at Trek, I do lots of business with them, how do we fix this?
Sterling Nordin |Vice President
sterling@edgeequipment.com
www.edgeequipment.com
Cell: 780-940-0023
[EDGE]
From: MAILER-DAEMON@prod.hydra.sophos.com &lt;MAILER-DAEMON@prod.hydra.sophos.com&gt;
Sent: November 30, 2020 11:00 AM
To: Sterling Nordin &lt;sterling@edgeequipment.com&gt;
Subject: Undelivered Mail
This is an automated message from mail system at hostMAILER-DAEMON@prod.hydra.sophos.com
[Warning!]
Message not delivered
Your message could not be delivered to one or more recipients. The details are attached below.
For further assistance, please contact your IT Administrator.
Message details
Failure reason:
&lt;adickinson@trekdirect.com&gt;: host mail.trekdirect.com[45.19.206.118] said: 554 rejecting banned content (in reply to end of DATA command)
From:
sterling@edgeequipment.com
To:
adickinson@trekdirect.com
Subject:
RE: Order SOC0010789 from Trek Canada
Sent:
2020-11-30T17:59:52.000Z</t>
  </si>
  <si>
    <t>Jorge Bustamante - Access to view site visit schedule for SS team leads</t>
  </si>
  <si>
    <t>### Summary of Issue_x000D_
Access to view site visit schedule for SS team leads_x000D_
  _x000D_
### Details of Issue_x000D_
Hey team,
Can we (the support specialist team leads) get access to view the site visit schedule located at N:\Technical Services\Support Team\Field Techs\Site Visit Schedule? Read-only please, no write needed._x000D_
  _x000D_
### Have you opened a ticket about this issue before?  _x000D_
 No  _x000D_
  _x000D_
### How many users are impacted by this issue?  _x000D_
 Some  _x000D_
  _x000D_
### How would you classify this issue?  _x000D_
 Work Impacting  _x000D_
  _x000D_
### If your callback number is different than what's on record, please provide it below._x000D_
Teams</t>
  </si>
  <si>
    <t>Doug Ramsey - D Ramsey System Hack</t>
  </si>
  <si>
    <t>### Summary of Issue_x000D_
D Ramsey System Hack_x000D_
  _x000D_
### Details of Issue_x000D_
My system has been hacked - an email is being generated from my address going out to my contacts.  Likely from the same email that hacked Gareth Leach's computer._x000D_
  _x000D_
### Have you opened a ticket about this issue before?  _x000D_
 No  _x000D_
  _x000D_
### How many users are impacted by this issue?  _x000D_
 One  _x000D_
  _x000D_
### How would you classify this issue?  _x000D_
 Work Impacting  _x000D_
  _x000D_
### If your callback number is different than what's on record, please provide it below._x000D_
780 884 9379</t>
  </si>
  <si>
    <t>Shaun Gierent - Mitel Softphone access to Mantralogix</t>
  </si>
  <si>
    <t>### Summary of Issue_x000D_
Mitel Softphone access to Mantralogix_x000D_
  _x000D_
### Details of Issue_x000D_
Hello we need mitel softphone access setup for Kris Szabo &lt;Kris.Szabo@mnp.ca&gt;; Donna Blyth &lt;Donna.Blyth@mnp.ca&gt;; Marc Cadranel &lt;Marc.Cadranel@mnp.ca&gt;; Kalyan Sivasubramanian &lt;K.Sivasubramanian@mnp.ca&gt; please. This is in preparation for their training on the system which will come later this week._x000D_
  _x000D_
### Have you opened a ticket about this issue before?  _x000D_
 No  _x000D_
  _x000D_
### How many users are impacted by this issue?  _x000D_
 Some  _x000D_
  _x000D_
### How would you classify this issue?  _x000D_
 Work Impacting</t>
  </si>
  <si>
    <t>Brad Dennis - We now require a procedure to allow employess remote access to thier work PC.</t>
  </si>
  <si>
    <t>### Summary of Issue_x000D_
We now require a procedure to allow employess remote access to thier work PC._x000D_
  _x000D_
### Details of Issue_x000D_
We currently have two employess with head colds that we will be sending home. I need to be able to set them up to utilize their desktop computers via remote desktop from their home computers. What I would like is a procedure for 1) loading the correct VPN and credentials to connect to Carry Steel. 2) Using or loading the remote desktop app and proper credentials. We also may need a variation for MAC users and Windows users._x000D_
  _x000D_
### Have you opened a ticket about this issue before?  _x000D_
 No  _x000D_
  _x000D_
### How many users are impacted by this issue?  _x000D_
 Some  _x000D_
  _x000D_
### How would you classify this issue?  _x000D_
 Minor Inconvenience</t>
  </si>
  <si>
    <t>Alberta Assessment Consortium - O365 Backup Password Expired</t>
  </si>
  <si>
    <t>Jerry Wilkinson
Senior Project Specialist
PH.Â +1 7804246398       Ext 309
14505 114th Avenue NW
Edmonton,       AB
T5M2Y8
Jerry.Wilkinson@mnp.ca
mnp.ca [image]
[image]
[image]
From: Rory Maguire &lt;Rory.Maguire@hostedbizz.com&gt;
Sent: Monday, November 30, 2020 6:51:51 AM
To: Jerry Wilkinson &lt;Jerry.Wilkinson@mnp.ca&gt;
Subject: Alberta Assessment Consortium - O365 Backup Password Expired
CAUTION: This email originated from outside of the MNP network. Be cautious of any embedded links and/or attachments.
MISE EN GARDE: Ce courriel ne provient pas du rÃ©seau de MNP. MÃ©fiez-vous des liens ou piÃ¨ces jointes quâ€™il pourrait contenir.
Good Morning Jerry,
I hope you had a nice weekend. I just wanted to bring to your attention that the password for svc_o365backups@aac.ab.cahas expired and the jobs are failing because of it. Can you please reset that password when you have a free minute?
Thank you Jerry,
Rory Maguire
HostedBizz Inc.
www.hostedbizz.com
[/Users/paulbutcher/Library/Containers/com.microsoft.Outlook/Data/Library/Caches/Signatures/signature_610490521][/Users/paulbutcher/Library/Containers/com.microsoft.Outlook/Data/Library/Caches/Signatures/signature_166302351]</t>
  </si>
  <si>
    <t>Teams Button not in Outlook for all users</t>
  </si>
  <si>
    <t>Now that we are using Teams and Outlook from Office 365, we should be able to create Teams meetings from our Outlook Calendars.Â  However, the buttons are missing â€“ not just for me â€“ for all users.
We do not have either of these buttons:
[image]
Please correct and advise.
Thanks,
Joey
[image]
Joanne Chaloner
Accountant
T: 403-205-5270 | E: JoanneC@caryacalgary.ca|F: 403-205-5273
180, 839 5 Ave SW | Calgary, AB | T2P 3C8
[image]Â [image][instagram-1675670]Â [image]
carya (formerly Calgary Family Services)
Stay up to date with the latest carya news, programs, and events by signing up for ourmonthly newsletter.
In the spirit of our efforts to promote reconciliation, we acknowledge the traditional territories and oral practices of the Blackfoot, the Tsuut'ina, the Stoney Nakoda First Nations, the MÃ©tis Nation Region 3, and all people who make their homes in the Treaty 7 region of Southern Alberta. We also respectfully acknowledge that the province of Alberta is comprised of Treaty 6, Treaty 7, and Treaty 8 territory, the traditional lands of First Nations and MÃ©tis peoples.
No form of electronic communication is secure and may be intercepted by others. Carya cannot guarantee the receipt of electronic communication nor a timely response. Where communication is confidential or time sensitive we recommend you call 403-269-9888 during business hours (Monday-Friday, 8:30am-4:30pm). For immediate crisis response please contact the Distress Centre Crisis Line at 403-266-HELP (4537) and in case of an emergency dial 911.
This e-mail is intended solely for the person or entity to which it is addressed and may contain confidential and/or privileged information. Any review, dissemination, copying, printing, forwarding or other use of this e-mail by persons or entities other than the addressee is prohibited. If you have received this e-mail in error, please contact the sender immediately and delete the material from your computer.</t>
  </si>
  <si>
    <t>Brian McBride - RDS Mime type issues</t>
  </si>
  <si>
    <t>Greetings,
One of my staff, Mo Smith, is hitting a continual issue with her RDS and accessing attachments properly.Â  The current issue is accessing PDF Files, when she receives PDF attachments to an email she is unable to preview the attachment and when trying to open the file it defaults to MS Word; this method does not actually open the file and simply gives her a string of errors and fails to open.
In the past I was able to force the mime type to open with Adobe Reader and it would work for a month or so before redoing it, however, that access has been restricted to administrative privileges.
The current process is forcing her to save each file to My Documents on RDS, right click and select â€œopen withâ€¦â€ and select acrobat reader.Â  This whole process has inherent risks.
1)Â Â Â Â Â Can we fix this particular issue for Mo (Maureen) SmithMSmith@Hallway.Cafe 780-413-8060
2)Â Â Â Â Â Can we setup a strict RDS Profile Setting that will keep each user across all servers operating the same way?Â  This inconsistency happens with default browsers, PDF Readers, some servers have MS Visio while others do not, number lock and scroll lock seem to be randomly left on a few times each week.Â  I am able to find a work around solution quicker than contacting support on each particular issue, however, light desktop support is not my trade and I cannot provide any long term solution for them.
Please let me know if there is anything I can do to assist with this process.Â  I am happy to assist with remote access to Moâ€™s system if needed.
Sincerely,
Brian McBride
Brian McBridee4c 
Director of Culinary / Program Manager
The Hallway CafÃ© Program
BMcBride@hallway.cafe
T: 780-413-8060
M: 780-499-0115
[image]
This message is intended for the use of the individual or entity to which it is addressed and may contain information that is privileged and confidential. If you are not the intended recipient or the employee responsible for delivery of the message to the intended recipient, please be advised that any dissemination, distribution or copying of this message is strictly prohibited. If you have received this message in error, please notify us immediately by telephone and return the original email to us or destroy this message.
[image]e4c supports environmental conservation - please print wisely.</t>
  </si>
  <si>
    <t>Nicole McKenna</t>
  </si>
  <si>
    <t>Nicole McKenna - Permissions Change for Q:\BisTrnf</t>
  </si>
  <si>
    <t>### Summary of Issue_x000D_
Give Access to Users of the Q/drive to a specific folder_x000D_
  _x000D_
### Details of Issue_x000D_
Right now, in the Q/drive as accounting tries to access a specific folder, they are getting an access denied message.  Can you please give all users who have access to Q/NPerfTrnf, the same access to Q/BisTrnf.  The new file was created for the purpose of Bistrack, and needs to be accessed by the Accounting Department.  Once again, this is only for the Accounting Department._x000D_
  _x000D_
### Have you opened a ticket about this issue before?  _x000D_
 No  _x000D_
  _x000D_
### How many users are impacted by this issue?  _x000D_
 Some  _x000D_
  _x000D_
### How would you classify this issue?  _x000D_
 Work Impacting</t>
  </si>
  <si>
    <t>Sage Consultant Access</t>
  </si>
  <si>
    <t>Want to inform MNP, and if someone can call me I can explain to support for future
Finance and I are working with our external sage consultant.
Step we follow:
We have enabled sage.admin
He connects to IBSGAZADMIN server from public IP direct
And have access to IBSGAZSQL01 and IBSGAZRDS02
He already has his sage application and SQL database password
When he starts the work, I will remove the session time out to never on RDS02 to never, and once he completes the work session time out will be back to normal
Once he finishes the work, we will disable his account
Amin Hirji</t>
  </si>
  <si>
    <t>Fidelis Uduehi - AD Password Expiry</t>
  </si>
  <si>
    <t>Urgent:
can someone from your change management I can discuss the password expire, which we are planning to extend and also never expire
whom I can talk about Â the below
[image]
[image]
Amin Hirji
Senior Manager, IT
Phone/Fax: 780.665.3275Â 
21421 111 Avenue NWÂ |Â Edmonton, ABÂ |Â T5S 1Y1
[image][image][image][image][image][image]</t>
  </si>
  <si>
    <t>Alissa Hildahl</t>
  </si>
  <si>
    <t>Set up ability to remote into work computers</t>
  </si>
  <si>
    <t>I am inquiring if the On Screen Take Off program that is on Fara Chris and Johns office computers can be put on the remote desktop for them to access?
Thank you,
Alissa Hildahl
R3 Deconstruction &amp; Demolition Inc.
RELATIONSHIPS â€“ RESULTS â€“ REPUTATION
#100-18215 114 Avenue NW, Edmonton
PH: 780-453-3326
Fax: 780-453-3313
www.r3demo.com
Instagram:@r3_demo__abatement
Facebook:R3 Deconstruction
[R3 Banner]</t>
  </si>
  <si>
    <t>Jason Branton - somewebsites are blocked</t>
  </si>
  <si>
    <t>### Summary of Issue_x000D_
somewebsites are blocked_x000D_
  _x000D_
### Details of Issue_x000D_
Some websites seem to be blocked, I need access to all websites_x000D_
  _x000D_
### Have you opened a ticket about this issue before?  _x000D_
 No  _x000D_
  _x000D_
### How many users are impacted by this issue?  _x000D_
 Some  _x000D_
  _x000D_
### How would you classify this issue?  _x000D_
 Work Impacting  _x000D_
  _x000D_
### If your callback number is different than what's on record, please provide it below._x000D_
780-665-3365</t>
  </si>
  <si>
    <t>Dene Tha' First Nation</t>
  </si>
  <si>
    <t>Jamie Natannah</t>
  </si>
  <si>
    <t>Whitelist</t>
  </si>
  <si>
    <t>Hello,
I need the link in the following email whitelisted, we need sort some billing issues with Telus.
Regards,
Jamie Natannah
Network Technician | Dene Tha First Nation
780.841.7587 | Jamie.Natannah@denetha.ca |http://www.denetha.ca</t>
  </si>
  <si>
    <t>Laptop passwords needed</t>
  </si>
  <si>
    <t>Hi Jeff,
Do you have any records of what password would have been used for the Mechanic laptops? If not, is there a way to reset the password to laptop entirely so we can set up a new password to get into the laptop? I believe these laptops are the ones that canâ€™t be connected to the server. 
Donalee - can you please let him know which laptop #s these are? You might as well keep them in your office :) Please try the following passwords:
Fall2019
Winter2019
Spring2020
Nexsource1
Nexsource 
NexGen
Generators 
Mechanic
Iâ€™m pretty sure I tried most of these already, but am not sure...
Thanks!
Guy
Sent from my iPhone</t>
  </si>
  <si>
    <t>Sophos issues</t>
  </si>
  <si>
    <t>I'm not sure if everyone is having an issue but steven@eckomarine.com and tara@eckomarine.com.
If we click on links in our emails the link comes up as blocked by Sophos.Â 
See the attached image.
Thanks
Steven Eckert
ph: 780-924-3255Â 
Ecko Marine and Powersports
www.eckomarine.com[image]</t>
  </si>
  <si>
    <t>RE: Ticket#1292792/PoundmakersLodge/Julie Nadeau - Credential -- has been updated</t>
  </si>
  <si>
    <t xml:space="preserve">Hi Darryl,
It appears these user names account have missing access, can this be adjusted as soon as possible â€“ thank you
e.g: Siobhan was added to the admin team which was completed but still has no access to the U dive or the admission email.
Karen Halfe added to the clinical team but was not added to the client care.
Julie Nadeau
Executive Assistant | (780) 983-5529
Poundmakerâ€™s Lodge Treatment Centre
</t>
  </si>
  <si>
    <t>All Staff - CW and O365 Calendar is Out of Sync</t>
  </si>
  <si>
    <t>### Summary of Issue_x000D_
CW and O365 Calendar is out of sync_x000D_
  _x000D_
### Details of Issue_x000D_
Hello, Its back again.. My calendar is not syncing to CW, there are mismatches and updates missing.
I have created appointments/meetings and they do not show in my CW calendar..
Makes scheduling of work take longer.. please assist!_x000D_
  _x000D_
### Have you opened a ticket about this issue before?  _x000D_
 Yes  _x000D_
  _x000D_
### How many users are impacted by this issue?  _x000D_
 One  _x000D_
  _x000D_
### How would you classify this issue?  _x000D_
 Work Impacting</t>
  </si>
  <si>
    <t>Tokens when using MNP client portal</t>
  </si>
  <si>
    <t>Please see the issue that Catherine had yesterday/today.
I have also had this happen and try to work around it.
Tracy
*******************************
[image]
Tracy Kuehnemuth
Office Coordinator
401-11010 142 St NW
Edmonton, ABÂ  T5N 2R1
780-455-2164
From:Catherine LeBlanc &lt;catherine.leblanc@edpub.org&gt; 
Sent: Tuesday, November 24, 2020 9:30 AM
To: Tracy Kuehnemuth &lt;tracy.kuehnemuth@edpub.org&gt;
Subject: Phone number for MNP
There tokens are going into the quarantined message area and so I cannot see the latest token just the tokens from yesterday which are no longer valid. I had 3 in the â€œdo not reply@cloud...â€ but all were from yesterday. â˜¹
Catherine LeBlanc
Executive Staff Officer
She/Her
[EPT_Local37_Prim_RGB_S]
401 Barnett House,
11010 â€“ 142 Street NW, Edmonton AB T5N 2R1
Phone:Â  780-454-3481Â  Fax:Â  780-453-1407
catherine.leblanc@edpub.org</t>
  </si>
  <si>
    <t>Jorge Bustamante - NextCloud Drive Expansion - NC-PMKR-BE02 P drive</t>
  </si>
  <si>
    <t>### Summary of Issue_x000D_
NextCloud Drive Expansion - NC-PMKR-BE02 P drive_x000D_
  _x000D_
### Details of Issue_x000D_
Please expand P drive by 20 GBs. Approved by OPAL via ticket #1317314._x000D_
  _x000D_
### Have you opened a ticket about this issue before?  _x000D_
 No  _x000D_
  _x000D_
### How many users are impacted by this issue?  _x000D_
 Everyone  _x000D_
  _x000D_
### How would you classify this issue?  _x000D_
 Work Impacting</t>
  </si>
  <si>
    <t>Martin Jubinville - Local Printer not available on cloud -Suspect thinPrint issue</t>
  </si>
  <si>
    <t>Hello,
The local printer sfor Simina and myself are not available through the cloud, I guess ThinPrint isnâ€™t working properly.
Would you please call Simina (userSiminaI@multotec.com) on her cell phone 514 868-1122 and myself (user martinju@multotec.com) on my cell phone (514) 772-3946
Thanks
Martin
[Multotec-Canada-Signature-Portrait-small]Martin Jubinville Eng., M.A.Sc.
Commercial Manager
Multotec Canada
Office: (450) 651-5858 ext. 201
Mobile: (514) 772-3946
Email:martin@multotec.ca
Website:www.multotec.ca
â€œWarning/Disclaimer: This email, including any attachments, is subject to important warnings and disclaimers which are hereby incorporated into this email. The full text of the warnings and disclaimers together with the company particulars are available by clicking on: http://www.multotec.com/content/email-disclaimer"</t>
  </si>
  <si>
    <t>Sara-Jean Jodoin - Web Site Content Blocked</t>
  </si>
  <si>
    <t>### Summary of Issue_x000D_
No Access/ Content Blocked_x000D_
  _x000D_
### Details of Issue_x000D_
I need acces to websites such as Lowes and home depot. I can get on the site but cannot access certain things due to it suddenly being blocked. Did not have this problem yesterday. I need to access these sites fully for price comparison_x000D_
  _x000D_
### Have you opened a ticket about this issue before?  _x000D_
 No  _x000D_
  _x000D_
### How many users are impacted by this issue?  _x000D_
 Some  _x000D_
  _x000D_
### How would you classify this issue?  _x000D_
 Unable to Work  _x000D_
  _x000D_
### If your callback number is different than what's on record, please provide it below._x000D_
6136627817</t>
  </si>
  <si>
    <t>Leanna Craig - FW: W Drive</t>
  </si>
  <si>
    <t>Hi MNP!Â  Can I please ask for the following changes to our W drive â€˜pageâ€™â€¦
1.Â Â Â Â Â Â Rename 1-on call to Shared â€“ On Call
2.Â Â Â Â Â Â Rename Family Resource Network to Shared â€“ Family Resource Network
3.Â Â Â Â Â Â Rename FSII to Shared â€“ FSII
4.Â Â Â Â Â Â Rename IT to Shared â€“ IT
5.Â Â Â Â Â Â Whoever had access to them before will still have accessâ€¦.as they will have only been renamed.
6.Â Â Â Â Â Â Please restrict the ability to save to the â€˜main pageâ€™ of the W drive
Please let me know if you have any questions.
Thanks!
Leanna
[image]
This will enable us to the advise more clearly to MNP the path that staff need access to.
As this is Susanâ€™s folks, I connected with her, and she is ok with this change.
Leanna
[image]
Leanna Craig, MA, CCC, CPHR
HR Manager
T: 403.205.5243 | E: LeannaC@caryacalgary.ca| C: 403.830.3569
180, 839 5 Ave SW | Calgary, AB | T2P 3C8
[image]Â [image][instagram-1675670]Â [image]
carya (formerly Calgary Family Services)
Stay up to date with the latest carya news, programs, and events by signing up for ourmonthly newsletter.
In the spirit of our efforts to promote reconciliation, we acknowledge the traditional territories and oral practices of the Blackfoot, the Tsuut'ina, the Stoney Nakoda First Nations, the MÃ©tis Nation Region 3, and all people who make their homes in the Treaty 7 region of Southern Alberta. We also respectfully acknowledge that the province of Alberta is comprised of Treaty 6, Treaty 7, and Treaty 8 territory, the traditional lands of First Nations and MÃ©tis peoples.
No form of electronic communication is secure and may be intercepted by others. Carya cannot guarantee the receipt of electronic communication nor a timely response. Where communication is confidential or time sensitive we recommend you call 403-269-9888 during business hours (Monday-Friday, 8:30am-4:30pm). For immediate crisis response please contact the Distress Centre Crisis Line at 403-266-HELP (4537) and in case of an emergency dial 911.
This e-mail is intended solely for the person or entity to which it is addressed and may contain confidential and/or privileged information. Any review, dissemination, copying, printing, forwarding or other use of this e-mail by persons or entities other than the addressee is prohibited. If you have received this e-mail in error, please contact the sender immediately and delete the material from your computer.</t>
  </si>
  <si>
    <t>Total Communication Chris Lucyshyn</t>
  </si>
  <si>
    <t>Calmont Edmonton Leasing - Port forwarding</t>
  </si>
  <si>
    <t>Hi,
At Total Comm, we support Calmont Leasingâ€™s PBX. Iâ€™m writing to ask if the port forwarding for our RDP connection for Calmont Edmonton Leasing is still in place.
Calmont used to have the public IP 72.13.166.157 external TCP port 3394 forwarded to internal IP 192.168.101.13 on port TCP 3389 (regular RDP).
It was source IP locked to Total Comm public IP 68.145.14.208.
Can you check to see if this is till in place? I was trying it and it doesnâ€™t seem to work anymore.
Thank you,
Chris Lucyshyn| Senior Support Specialist |Total Communication Services Inc.
tf. 1-877-801-3337 | o. 403-291-3337
c.lucyshyn@totalcomm.ca |www.totalcomm.ca |support@totalcomm.ca
Calgary | Edmonton | Red Deer | Vancouver | Saskatoon | Winnipeg | Toronto | Ottawa
[COMPANY LOGO - Total Communication Services - Medium]Â [FB]Â Â Â [t2]Â Â Â [In]Â Â Â [YT]</t>
  </si>
  <si>
    <t>Andrea Brandt - staff computer at weac needs to be able to search the internet</t>
  </si>
  <si>
    <t>### Summary of Issue_x000D_
staff computer at weac needs to be able to search the internet_x000D_
  _x000D_
### Details of Issue_x000D_
The front staff computer at WEAC, does not have the ability to search some required sites on the internet.  Need to be able to access online banking for women, resources, print forms, etc._x000D_
  _x000D_
### Have you opened a ticket about this issue before?  _x000D_
 No  _x000D_
  _x000D_
### How many users are impacted by this issue?  _x000D_
 Everyone  _x000D_
  _x000D_
### How would you classify this issue?  _x000D_
 Work Impacting</t>
  </si>
  <si>
    <t xml:space="preserve"> Microsoft Windows Virtual Desktop</t>
  </si>
  <si>
    <t>Hello Support,
Can someone from your team who worked on Microsoft Windows Virtual Desktop call me to discuss this.
sooner, we will start deploying the WVD in parallel with RDS and want to make sure MNP Is ready for Support and helping us in deploying the clients through connectwise automate
Amin Hirji</t>
  </si>
  <si>
    <t>Sage 50 update to 2021.0</t>
  </si>
  <si>
    <t>Good afternoon,
Can you please install the Sage 50 update for 2021 for both Edmonton Public Teachers and Edmonton Catholic Teachers.Â  Thanks!
Sharon Thorn
Edmonton Public Teachers</t>
  </si>
  <si>
    <t>Duplicate E-transfer notification emails</t>
  </si>
  <si>
    <t>Hello,
Regarding our conversation today, here is a list of the recent E-transfer notification emails which have come through in duplicate.
The payments themselves have only come through once, however the notification emails have come through twice, to the same email inbox.
Nov 11.20 Mr. Curtis Bailey $120.00
Nov 12.20 Chris Martin $548.67
Nov 13.20 Cindy Moore $450.00
Nov 13.20 Tyler Homonko $88.00
Nov 13.20 Cameron $250.75
Nov 18.20 Leeanna S Micklich St John $163.82
Nov 18.20 Lisa Plintz $423.74
Nov 18.20 Kendra Brynn Swan $335.63
I have also attached a screen shot of some E-transfer emails, showing the duplicates.Â  As well I have attached a copy of both the first and second email of one the of duplicates.
Thank you.
~Anna
[image]Anna Stakenvicius|Controller, 6 Degrees Finance Corp.
BlueCircle Insurance Brokers
Suite 200, 3402-8 Street SE | Calgary, AB T2G 5S7
Office: 403-770-4949 | Direct: 403-770-4957
anna@gobluecircle.com |gobluecircle.com
[cid:image002.png@01D4C20B.77450DB0]
[cid:image003.png@01D4C20B.77450DB0]Â Â Â [cid:image004.png@01D4C20B.77450DB0]Â Â Â [cid:image005.png@01D4C20B.77450DB0]
__________________________________________________________
[cid:image007.png@01D4C20B.77450DB0][cid:image008.png@01D4C20B.77450DB0][cid:image009.png@01D4C20B.77450DB0][cid:image010.png@01D4C20B.77450DB0][cid:image011.png@01D4C20B.77450DB0] [cid:image022.jpg@01D4C212.369807C0]
Because of customers like YOU, we exist!
This email and any files transmitted with it are confidential and intended solely for the use of the individual or entity to whom they are addressed. If you have received this email in error, please notify the system manager. You are receiving this email based on disclosure and consent of contact information on your personal account. Please note that any views or opinions presented in this email are solely those of the author and do not necessarily represent those of the organization. Finally, the recipient should check this email and any attachments for the presence of viruses. The organization accepts no liability for any damage caused by any virus transmitted by this email.</t>
  </si>
  <si>
    <t>Shawn Smith - Unable to log into Exchange Admin in Pulse Vet's O365 Tennant</t>
  </si>
  <si>
    <t>### Summary of Issue_x000D_
Unable to log into Exchange Admin in Pulse Vet's O365 Tennant_x000D_
  _x000D_
### Details of Issue_x000D_
I have tried to log into Exchange Admin from Pulse vet's 365 tenant and keep getting Can't sign you in message_x000D_
  _x000D_
### Have you opened a ticket about this issue before?  _x000D_
 No  _x000D_
  _x000D_
### How many users are impacted by this issue?  _x000D_
 Some  _x000D_
  _x000D_
### How would you classify this issue?  _x000D_
 Work Impacting</t>
  </si>
  <si>
    <t>Automate not working - all devices showing offline</t>
  </si>
  <si>
    <t>MachineName: NDDC-RDS03
 IP Address: 172.20.1.92_x000D_
_x000D_
_    _x000D_
 Attached files:_x000D_
- screenshot_1605890305.jpeg</t>
  </si>
  <si>
    <t>Emergency</t>
  </si>
  <si>
    <t>Please blockÂ 
micjanee.k@gmail.comÂ from our servers and all emails except Matt Miller.
Sent from iPhone.</t>
  </si>
  <si>
    <t>Connie Olson - NEW FOLDER REQUIRED ON N:\Special Projects called CSSBP HR Project</t>
  </si>
  <si>
    <t>### Summary of Issue_x000D_
NEW FOLDER REQUIRED ON N:\Special Projects called CSSBP HR Project_x000D_
  _x000D_
### Details of Issue_x000D_
I need a folder created on the N drive under special projects please. Folder name is: CSSBP HR Project that has read and write acceess for the following:
Kelly Bickford, Leanna Andrews, Steve McGean, Catherine Parent, Amanda Tam and Connie Olson
This folder is needed asap. thank you._x000D_
  _x000D_
### Have you opened a ticket about this issue before?  _x000D_
 No  _x000D_
  _x000D_
### How many users are impacted by this issue?  _x000D_
 Some  _x000D_
  _x000D_
### How would you classify this issue?  _x000D_
 Work Impacting  _x000D_
  _x000D_
### If your callback number is different than what's on record, please provide it below._x000D_
780-913-5662</t>
  </si>
  <si>
    <t>Amin Esmaeili - AMP - Firewall Web Filtering</t>
  </si>
  <si>
    <t>### Summary of Issue_x000D_
AMP - Firewall Web Filtering_x000D_
  _x000D_
### Details of Issue_x000D_
Some time ago AMP faced difficulties with FW web filter blocking sites that they go to as part of their work. This had become frustrating for staff members and a review was initiated to make changes to the filter categories, to reduce # of blocked sites.
Some categories were removed and that seems to have been okay so far, however they're also noticing blocked pages for the "unrated" category. 
Screenshot attached: in this case sophiegrace.ca was blocked.
Please review to consider removing the unrated category, or take measures to reduce # of sites blocked and also ensure sophiegrace.ca is unblocked.
Please share the updates and information with Claire Rosenau.
Thank you,_x000D_
  _x000D_
### Have you opened a ticket about this issue before?  _x000D_
 No  _x000D_
  _x000D_
### How many users are impacted by this issue?  _x000D_
 Everyone  _x000D_
  _x000D_
### How would you classify this issue?  _x000D_
 Work Impacting</t>
  </si>
  <si>
    <t>James Anderson - Alberta Pulse Growers Commission - Expand drive further</t>
  </si>
  <si>
    <t>### Summary of Issue_x000D_
Alberta Pulse Growers Commission - Expand drive further_x000D_
  _x000D_
### Details of Issue_x000D_
Need to add another 60Gb to the E: drive for NC-APG-BE01 to get it past the 10% and out of the red.
C-APG-BE01Existing ticket 1314704 , OPAL approved change_x000D_
  _x000D_
### Have you opened a ticket about this issue before?  _x000D_
 Yes  _x000D_
  _x000D_
### How many users are impacted by this issue?  _x000D_
 Everyone  _x000D_
  _x000D_
### How would you classify this issue?  _x000D_
 Work Impacting</t>
  </si>
  <si>
    <t>Group2 - Deltek Mail Flagged as Spam</t>
  </si>
  <si>
    <t>There has recently been a change somewhere along the way that has impacted our ability to receive emails in our regular inbox from Deltek Vision.Â  I understand that once a user receives an email that has been placed in their junkmail they can make the sender â€˜safeâ€™ but Iâ€™m hoping there is a global approach we can make to ensure this doesnâ€™t continue.
The emails we first experienced this issue from where sent from CarmenÂ  Davis &lt;DeltekAdmin_carmen.davis@group2.ca&gt; and they went straight to Junk Mailâ€¦
Thanks in advance.
-jg
Jon Gulayets, Associate
Group2
Architecture Interior Design Ltd.
200, 4706 Â 48th Â Avenue Red Deer AB T4N 6J4
T +1Â 403 340 2200 x 422
C +1 403 872 7422
group2.ca</t>
  </si>
  <si>
    <t>Shawn Smith - Palmer Ortho - Wireless at edmonton Office not working</t>
  </si>
  <si>
    <t>### Summary of Issue_x000D_
Palmer Ortho - Wireless at edmonton Office not working_x000D_
  _x000D_
### Details of Issue_x000D_
Neal And Brenda report that WiFi has not worked in the office since Tuesday Nov 17_x000D_
  _x000D_
### Have you opened a ticket about this issue before?  _x000D_
 No  _x000D_
  _x000D_
### How many users are impacted by this issue?  _x000D_
 Everyone  _x000D_
  _x000D_
### How would you classify this issue?  _x000D_
 Work Impacting</t>
  </si>
  <si>
    <t>Dinesh Witharana</t>
  </si>
  <si>
    <t>Dinesh Witharana - Sophos Access (Quarantined Emails)</t>
  </si>
  <si>
    <t>### Summary of Issue_x000D_
Sophos Access (Quarantined Emails)_x000D_
  _x000D_
### Details of Issue_x000D_
I would like access to Sophos.com so I can edit my preferences for quarantined emails. It seems many emails from external sources are being hidden until I get a report the next day.  I would like to be able to check for these quarantined emails sooner than the next day.  Screenshot from Outlook attached, and link to manage quarantined emails leads to Sophos.com but I am not able to login using my Microsoft credentials and it says to contact my central Sophos account manager._x000D_
  _x000D_
### Have you opened a ticket about this issue before?  _x000D_
 No  _x000D_
  _x000D_
### How many users are impacted by this issue?  _x000D_
 Everyone  _x000D_
  _x000D_
### How would you classify this issue?  _x000D_
 Minor Inconvenience  _x000D_
  _x000D_
### If your callback number is different than what's on record, please provide it below._x000D_
780-982-3963 or via email: dineshw@pilgrimshospice.com</t>
  </si>
  <si>
    <t>Marie Bryce</t>
  </si>
  <si>
    <t>Zoom Unavailable from Carya East Still</t>
  </si>
  <si>
    <t>Just wanting to follow up that we cannot get on zoom while at carya East Still.
I was wondering if there have been any resolutions to this?
Thanks so much
Marie
[image]
Marie Bryce
Pronouns: She/Her
Supervisor of carya East
T: 403-472-8189 |E: Marieb@caryacalgary.ca| F: 403.205.5281
180, 839 5 Ave SW | Calgary, AB | T2P 3C8
[image]Â [image][instagram-1675670]Â [image]
carya (formerly Calgary Family Services)
Stay up to date with the latest carya news, programs, and events by signing up for ourmonthly newsletter.
In the spirit of our efforts to promote reconciliation, we acknowledge the traditional territories and oral practices of the Blackfoot, the Tsuut'ina, the Stoney Nakoda First Nations, the MÃ©tis Nation Region 3, and all people who make their homes in the Treaty 7 region of Southern Alberta. We also respectfully acknowledge that the province of Alberta is comprised of Treaty 6, Treaty 7, and Treaty 8 territory, the traditional lands of First Nations and MÃ©tis peoples.
No form of electronic communication is secure and may be intercepted by others. Carya cannot guarantee the receipt of electronic communication nor a timely response. Where communication is confidential or time sensitive we recommend you call 403-269-9888 during business hours (Monday-Friday, 8:30am-4:30pm). For immediate crisis response please contact the Distress Centre Crisis Line at 403-266-HELP (4537) and in case of an emergency dial 911.
This e-mail is intended solely for the person or entity to which it is addressed and may contain confidential and/or privileged information. Any review, dissemination, copying, printing, forwarding or other use of this e-mail by persons or entities other than the addressee is prohibited. If you have received this e-mail in error, please contact the sender immediately and delete the material from your computer.</t>
  </si>
  <si>
    <t>ISP problems - Network connectivity</t>
  </si>
  <si>
    <t>Hello Gents,
Could you please call the providers, open some tickets and monitor the status?
It looks like Calmont Edmonton Truck Centre, Leasing, and Volvo are facing severe network issues.
Thanks,
Flavio Soares
Strategic Advisor
PH.Â +1 7804246398       Ext 325
14505 114th Avenue NW
Edmonton,       AB
T5M2Y8
Flavio.Soares@mnp.ca
mnp.ca [image]
[image]
[image]
From: Courtney Holick &lt;Courtney.Holick@calmont.ca&gt;
Sent: Thursday, November 19, 2020 9:15 AM
To: Flavio Soares &lt;Flavio.Soares@mnp.ca&gt;; Chris Ippolito &lt;Chris.Ippolito@mnp.ca&gt;
Subject: FW: Remote access
CAUTION:This email originated from outside of the MNP network. Be cautious of any embedded links and/or attachments.
MISE EN GARDE:Ce courriel ne provient pas du rÃ©seau de MNP. MÃ©fiez-vous des liens ou piÃ¨ces jointes quâ€™il pourrait contenir.
Hi,
Weâ€™re having some major issues.
Leasing is still super slow and the TC is slooooow too.
I need someone from WiBand at our locations today please if we believe it is an internet issue.
Courtney Holick, CPA, CMA
CFO
Calmont
780-409-3359
From: Sandra Bianchini
Sent: Thursday, November 19, 2020 9:13 AM
To: Courtney Holick &lt;Courtney.Holick@calmont.ca&gt;
Subject: FW: Remote access
Thanks, Sandra
Accounts Payable Manager
[cid:image002.jpg@01D5B199.DA411A70]
From: David Caudron | TotalComm &lt;d.caudron@totalcomm.ca&gt;
Sent: November 19, 2020 9:11 AM
To: Sandra Bianchini &lt;Sandra.Bianchini@calmont.ca&gt;
Subject: Remote access
Hi Sandra,
Our remote access via a computer at Truck Centre doesnâ€™t seem to be working properly anymore. I just wanted to confirm if your IT was still Next Digital or another company as I see some management software from an MNP IT company.
Thank you, 
David Caudron |Senior Support Specialist |Total Communication Services Inc.
tf. 1-877-801-3337 | o. 403-291-3337
d.caudron@totalcomm.ca |www.totalcomm.ca| support@totalcomm.ca
Calgary | Edmonton | Red Deer | Vancouver | Saskatoon | Winnipeg | Toronto | Ottawa
[COMPANY LOGO - Total Communication Services - Medium]Â [FB]Â Â Â [t2]Â Â Â [In]Â Â Â [YT]
Support Requests:Â  Please emailsupport@totalcomm.ca, call or fax the office location of your choice to reach our award winning support team.</t>
  </si>
  <si>
    <t>Kelly Blackwood - Accidently deleted a folder</t>
  </si>
  <si>
    <t>### Summary of Issue_x000D_
Accidently deleted a folder_x000D_
  _x000D_
### Details of Issue_x000D_
I accidently deleted a folder titled Website Manual fronm the Shared Drive
Can that be recovered and placed back in to the Shared Drive?_x000D_
  _x000D_
### Have you opened a ticket about this issue before?  _x000D_
 No  _x000D_
  _x000D_
### How many users are impacted by this issue?  _x000D_
 Some  _x000D_
  _x000D_
### How would you classify this issue?  _x000D_
 Work Impacting</t>
  </si>
  <si>
    <t>James Anderson - Alberta Pulse Growers Commission - Expand E: drive</t>
  </si>
  <si>
    <t>### Summary of Issue_x000D_
Alberta Pulse Growers Commission - Expand E: drive_x000D_
  _x000D_
### Details of Issue_x000D_
Expand the E: drive on NC-APG-BE01
ticket# 1314704. Opal approval already received_x000D_
  _x000D_
### Have you opened a ticket about this issue before?  _x000D_
 No  _x000D_
  _x000D_
### How many users are impacted by this issue?  _x000D_
 Everyone  _x000D_
  _x000D_
### How would you classify this issue?  _x000D_
 Work Impacting</t>
  </si>
  <si>
    <t>Nexsource - Sylvan Lake ISP Investigation</t>
  </si>
  <si>
    <t>Speedtests on Nexsourceâ€™s TS1 server show 3 Mbps Download and Upload: their ISP speeds should be around 25 Down/5 Up. Need to walk someone at Nexsource through connecting a laptop to either the modem or port2 on the Fortigate to try a demarc speedtest. Alternately we could perform a test when next onsite. Will likely need to followup with Telus: we should also see if they are eligible for any better speeds now.
Jeff Meadows
Field Services Technician
PH.Â 587.273.5062
4922 - 53 St.
Red Deer,       AB
T4N2E9
Jeff.Meadows@mnp.ca
mnp.ca [image]
[image]
[image]</t>
  </si>
  <si>
    <t>David Caudron</t>
  </si>
  <si>
    <t>Calmont Truck Centre Zultys Archiving PC network problems</t>
  </si>
  <si>
    <t>Hello,
We are having issues with our remote access to the Zultys equipment via the Archiving PC at Calmont Truck Centre. I can RDP into the machine but it seems like there is a firewall blocking some ports or some other network problem as I can ping the various Zultys equipment but I cannot connect with the admin software and the system web pages are not loading. I am also unable to RDP into any of the other archiving PCs from the one at Truck Centre despite also being able to ping them. Can someone please look into this as we are unable to manage the telephone equipment without it? The IP for the PC is 192.168.100.13.
Thank you,
David Caudron|Senior Support Specialist |Total Communication Services Inc.
tf.1-877-801-3337 | o. 403-291-3337
d.caudron@totalcomm.ca | www.totalcomm.ca | support@totalcomm.ca
Calgary | Edmonton | Red Deer | Vancouver | Saskatoon | Winnipeg | Toronto | Ottawa
[COMPANY LOGO - Total Communication Services - Medium]Â [FB]Â Â Â [t2]Â Â Â [In]Â Â Â [YT]
Support Requests:Â  Please emailsupport@totalcomm.ca, call or fax the office location of your choice to reach our award winning support team.</t>
  </si>
  <si>
    <t>Swagelok</t>
  </si>
  <si>
    <t>Luke Fortier</t>
  </si>
  <si>
    <t>Luke Fortier - Swagelok Red Deer Phones</t>
  </si>
  <si>
    <t>Raimund Schwind
Process Manager - Incidents
PH.Â +1 7804246398       Ext 365
14505 114th Avenue NW
Edmonton,       AB
T5M2Y8
Raimund.Schwind@mnp.ca
mnp.ca [image]
[image]
[image]
From: Shawn Parks &lt;Shawn.Parks@mnp.ca&gt;
Sent: November 18, 2020 2:44 PM
To: Raimund Schwind &lt;Raimund.Schwind@mnp.ca&gt;
Subject: FW: Swagelok Red Deer Phones
Raimund,
See below, can you have someone have a look into this for the client.
I will be out of the office for the rest of the afternoon returning tomorrow morning
Shawn Parks
Business Development
PH.Â +1 7804246398 Ext 321
14505 114th Avenue NW
Edmonton, AB
T5M2Y8
Shawn.Parks@mnp.ca
mnp.ca
[image]
[image]
[image]
From: Fortier, Luke &lt;Luke.Fortier@Swagelok.com&gt;
Sent: November-18-20 11:42 AM
To: SParks@nextdigital.ca
Subject: Swagelok Red Deer Phones
CAUTION:This email originated from outside of the MNP network. Be cautious of any embedded links and/or attachments.
MISE EN GARDE:Ce courriel ne provient pas du rÃ©seau de MNP. MÃ©fiez-vous des liens ou piÃ¨ces jointes quâ€™il pourrait contenir.
Hello Shawn,
Our Shoretel phones are down in Red Deer, are you able to troubleshoot? I know we donâ€™t have a contract with ND anymore, Iâ€™m guessing weâ€™d go hourly?
Thanks,
Luke Fortier
Swagelok Calgary</t>
  </si>
  <si>
    <t>Carya - Teams Access for all staff</t>
  </si>
  <si>
    <t>Need to provide MS Teams access to all Carya staff.Â  Initial group was a small subset, but now all Carya users should be provided with access to MS Teams.
Need to complete by Thursday before 10 AM.
Matt Patrick
Manager, Operational Alignment
PH.Â +1 4036864357       Ext 402
310 - 4000 4 St SE
Calgary,       AB
T2G2W3
Matt.Patrick@mnp.ca
mnp.ca [image]
[image]
[image]
From: Joanne Chaloner &lt;JoanneC@caryacalgary.ca&gt;
Sent: November 18, 2020 1:54 PM
To: Matt Patrick &lt;Matt.Patrick@mnp.ca&gt;
Subject: RE: Teams
CAUTION:This email originated from outside of the MNP network. Be cautious of any embedded links and/or attachments.
MISE EN GARDE:Ce courriel ne provient pas du rÃ©seau de MNP. MÃ©fiez-vous des liens ou piÃ¨ces jointes quâ€™il pourrait contenir.
Hi Matt,
Lets proceed with everyoneâ€™s Teams access for tomorrow.Â  If it doesnâ€™t happen, please let me know prior to 10:00am â€“ that is when my all staff email will be sent out.
Letâ€™s plan two Virtual training sessions.Â  Can you do one next Wednesday and maybe one the following week on Tuesday or Thursday?Â  Mondays and Fridays are not great as we have a lot of part time staff and those are the most popular days off.Â  We also have a lot of staff that have been directed to take vacation prior to year end, so I want to catch as many as possible.Â  Â Â If we need another after that, we can let you know â€“ or they can watch the recorded session or go to Lynda.com.Â  Â Sound OK?
Thanks!!
Joey
[image]
Joanne Chaloner
Accountant
T: 403-205-5270 | E: JoanneC@caryacalgary.ca|F: 403-205-5273
180, 839 â€“ 5 Avenue SW | Calgary, AB | T2P 3C8
From: Matt Patrick &lt;Matt.Patrick@mnp.ca&gt;
Sent: Wednesday, November 18, 2020 1:37 PM
To: Joanne Chaloner &lt;JoanneC@caryacalgary.ca&gt;
Subject: RE: Teams
Hey Joey, Â  We could do this training virtually.Â  I can do a virtual presentation and training session that we can record as you suggested.Â  It can also be used for future employees whe
Caution! This message was sent from outside your organization.
Allow sender | Block sender
sophospsmartbannerend
Hey Joey,
We could do this training virtually.Â  I can do a virtual presentation and training session that we can record as you suggested.Â  It can also be used for future employees when they start with Carya.
What are you looking at for timeline?Â  We can enable teams for everyone tomorrow, but the teams creation is limited.Â  There is little risk to providing access to teams immediately since only a select number of people can create teams.
I have availability as early as next week, Monday afternoon, Wednesday morning or anytime Friday.
Let me know what you think.
Thanks,
Matt
Matt Patrick
Manager, Operational Alignment
PH.Â +1 4036864357 Ext 402
310 - 4000 4 St SE
Calgary, AB
T2G2W3
Matt.Patrick@mnp.ca
mnp.ca
[image]
[image]
[image]
From: Joanne Chaloner &lt;JoanneC@caryacalgary.ca&gt;
Sent: November 17, 2020 5:20 PM
To: Matt Patrick &lt;Matt.Patrick@mnp.ca&gt;
Subject: Teams
CAUTION:This email originated from outside of the MNP network. Be cautious of any embedded links and/or attachments.
MISE EN GARDE:Ce courriel ne provient pas du rÃ©seau de MNP. MÃ©fiez-vous des liens ou piÃ¨ces jointes quâ€™il pourrait contenir.
Hi Matt,
The decision was made today to push out Microsoft Teams out to all of the users.Â  This will require us to do more training with staff.Â  Would you do this virtually?Â  If it could be recorded we could also play it for staff that start later or miss it. Â Following the roll out, Â I will also send out the links and instructions for Lynda.com.
Linda will be sending out another list shortly of more staff that can create teams.
Please let me know what works for you for the training.
Thanks,
Joey
[image]
Joanne Chaloner
Accountant
T: 403-205-5270 | E: JoanneC@caryacalgary.ca|F: 403-205-5273
180, 839 5 Ave SW | Calgary, AB | T2P 3C8
[image]Â [image][instagram-1675670]Â [image]
carya (formerly Calgary Family Services)
Stay up to date with the latest carya news, programs, and events by signing up for ourmonthly newsl...</t>
  </si>
  <si>
    <t>Brian Ryu - Client: Joseph A. Nagy Professional Corporation - Server \\NC-DSKE-BE01  Drive G...</t>
  </si>
  <si>
    <t xml:space="preserve">Extended Summary_x000D_
Brian Ryu - Client: Joseph A. Nagy Professional Corporation - Server \NC-DSKE-BE01  Drive G:  is steadily filling up. Out of 73 GB, there is 1.97 GB (3%) left._x000D_
_x000D_
Description_x000D_
### Summary of Issue_x000D_
Client: Joseph A. Nagy Professional Corporation - Server \NC-DSKE-BE01  Drive G:  is steadily filling up. Out of 73 GB, there is 1.97 GB (3%) left._x000D_
  _x000D_
### Details of Issue_x000D_
Server \NC-DSKE-BE01 
(Drive G): is steadily filling up. 
Out of 73 GB, there is 1.97 GB (3%) left.
This is a virtual disc I do not have access to, it is on NextCloud.
Please increase space for this drive?_x000D_
  _x000D_
### Have you opened a ticket about this issue before?  _x000D_
 No  _x000D_
  _x000D_
### How many users are impacted by this issue?  _x000D_
 Some  _x000D_
  _x000D_
### How would you classify this issue?  _x000D_
 Minor Inconvenience  _x000D_
  _x000D_
### If your callback number is different than what's on record, please provide it below._x000D_
780-424-6398, Ask for Brian_x000D_
</t>
  </si>
  <si>
    <t>Spam / Malware E-Mail Filter Change Out *TIME SENSITIVE*</t>
  </si>
  <si>
    <t>Hey Guys,
We are going to be changing out our e-mail filter from Proofpoint to the company owned Barracuda systemâ€¦
I need the followingâ€¦
Can you let me know all the domains that need added? Iâ€™ll then add them. Weâ€™ll then need to apply a TXT record to each of those domains to verify against Barracuda. Once weâ€™ve done that, weâ€™ll be issued the MX records to use
Thanks,
[image]Â Riccardo Francese
Business Process Manager
T:       +1 (780) 400-7487
C:       +1 (587) 990-0176
F:       +1 (780) 417-6496
E:       RFrancese@siterg.com
W:       WWW.SITERG.COM
#170, 120 Pembina Rd., Sherwood Park, AB, T8H 0M2
The information contained in this e-mail may       contain confidential or privileged material and is intended only for the       stated addressee(s). If you are not the valid addressee, the use,       disclosure, copying or distribution of this information is prohibited and       may be unlawful. If you have received this email message in error, please       notify the sender immediately and delete all copies of the message from       your computer. All information within or opinions expressed in this       message and/or any attachments are those of the author and are not       necessarily those of the Centurion Group.</t>
  </si>
  <si>
    <t>Jerry Wilkinson - Virtual machine has disk snapshots for a long time</t>
  </si>
  <si>
    <t>### Summary of Issue_x000D_
Virtual machine has disk snapshots for a long time_x000D_
  _x000D_
### Details of Issue_x000D_
NDEDM-TEL01 
NDEDM-TEL02_x000D_
  _x000D_
### Have you opened a ticket about this issue before?  _x000D_
 No  _x000D_
  _x000D_
### How many users are impacted by this issue?  _x000D_
 Some  _x000D_
  _x000D_
### How would you classify this issue?  _x000D_
 Work Impacting</t>
  </si>
  <si>
    <t>Jerry Wilkinson - High CPU - NC-E4C-RDS02</t>
  </si>
  <si>
    <t>### Summary of Issue_x000D_
High CPU - NC-E4C-RDS02_x000D_
  _x000D_
### Details of Issue_x000D_
Virtual machine CPU usage_x000D_
  _x000D_
### Have you opened a ticket about this issue before?  _x000D_
 No  _x000D_
  _x000D_
### How many users are impacted by this issue?  _x000D_
 Some  _x000D_
  _x000D_
### How would you classify this issue?  _x000D_
 Work Impacting</t>
  </si>
  <si>
    <t>Amin Esmaeili - Mount Calvary Lutheran Church - Server going offline</t>
  </si>
  <si>
    <t>### Summary of Issue_x000D_
Mount Calvary Lutheran Church - Server going offline_x000D_
  _x000D_
### Details of Issue_x000D_
MCLCRD-SRV seems to generate "offline" notifications due to failed heartbeats.
Some of the heartbeats show success after a few minutes of the ticket being created.
#1262158 doesn't have notes.
Please investigate what is causing the failed heartbeats and how it can be corrected to avoid any future failures._x000D_
  _x000D_
### Have you opened a ticket about this issue before?  _x000D_
 No  _x000D_
  _x000D_
### How many users are impacted by this issue?  _x000D_
 One  _x000D_
  _x000D_
### How would you classify this issue?  _x000D_
 Minor Inconvenience</t>
  </si>
  <si>
    <t>David Stevens - Please Expand c: of NC-CARYA-RDS07 by 10 gb</t>
  </si>
  <si>
    <t>### Summary of Issue_x000D_
Please Expand c: of NC-CARYA-RDS05 by 10 gb_x000D_
  _x000D_
### Details of Issue_x000D_
Please Expand c: of NC-CARYA-RDS05 by 10 gb
I've already ran through cleanup, and cannot free any additional space.
thank you_x000D_
  _x000D_
### Have you opened a ticket about this issue before?  _x000D_
 No  _x000D_
  _x000D_
### How many users are impacted by this issue?  _x000D_
 Everyone  _x000D_
  _x000D_
### How would you classify this issue?  _x000D_
 Minor Inconvenience</t>
  </si>
  <si>
    <t>Metal Fabricators Disk space low - Drive C on NC-MF-DB01</t>
  </si>
  <si>
    <t>### Summary of Issue_x000D_
Metal Fabricators Disk space low - Drive C on NC-MF-DB01_x000D_
  _x000D_
### Details of Issue_x000D_
Disk space low - Drive C on NC-MF-DB01
Free space below 10% and is at 5GB free.
Tried to clear files but not much to get rid of from what I can see. 
Some old Sages files but not sure if they could be moved or not. (playing safe)
Looking to add a bit more storage capacity._x000D_
  _x000D_
### Have you opened a ticket about this issue before?  _x000D_
 No  _x000D_
  _x000D_
### How many users are impacted by this issue?  _x000D_
 Some  _x000D_
  _x000D_
### How would you classify this issue?  _x000D_
 Other</t>
  </si>
  <si>
    <t>Jerry Wilkinson - CX not part of client team distros</t>
  </si>
  <si>
    <t>### Summary of Issue_x000D_
CX not part of client team distros_x000D_
  _x000D_
### Details of Issue_x000D_
ive come across quite a few client team distro's where the CX is not a member. 
please audit all client team distros and get the CX added_x000D_
  _x000D_
### Have you opened a ticket about this issue before?  _x000D_
 No  _x000D_
  _x000D_
### How many users are impacted by this issue?  _x000D_
 One  _x000D_
  _x000D_
### How would you classify this issue?  _x000D_
 Minor Inconvenience</t>
  </si>
  <si>
    <t>Riccardo Francese - Aatrix Software</t>
  </si>
  <si>
    <t>We are receiving the errors belowâ€¦can you help us out with thisâ€¦here are the install guidelinesâ€¦we may have to call Sage
https://www.aatrix.com/info/updates/tech-info#
[image]Â Riccardo Francese
Business Process Manager
T:       +1 (780) 400-7487
C:       +1 (587) 990-0176
F:       +1 (780) 417-6496
E:       RFrancese@siterg.com
W:       WWW.SITERG.COM
#170, 120 Pembina Rd., Sherwood Park, AB, T8H 0M2
The information contained in this e-mail may       contain confidential or privileged material and is intended only for the       stated addressee(s). If you are not the valid addressee, the use,       disclosure, copying or distribution of this information is prohibited and       may be unlawful. If you have received this email message in error, please       notify the sender immediately and delete all copies of the message from       your computer. All information within or opinions expressed in this       message and/or any attachments are those of the author and are not       necessarily those of the Centurion Group.
From: Connie Stang &lt;CStang@siterg.com&gt;
Sent: Tuesday, November 17, 2020 7:38 AM
To: Riccardo Francese &lt;RFrancese@siterg.com&gt;
Cc: Lori Hoeksema &lt;LHoeksema@siterg.com&gt;
Subject: RE: Aatrix Software
Good Morning Ricardo,
When I choose â€œNew reportâ€, there isnâ€™t anything to select:
[image]
When I choose â€œSaved reportsâ€, this is what happens:
[image]
Please advise how to proceed.
Thank you,
[image]
Connie Stang
Payroll Manager
T: +1 (780) 400-7478
E:CStang@siterg.com
W:WWW.SITERG.COM
#170 - 120 Pembina Rd., Sherwood Park, AB, T8H0M2
The information contained in this e-mail may contain confidential or privileged material and is intended only for the stated addressee(s). If you are not the valid addressee, the use, disclosure, copying or distribution of this information is prohibited and may be unlawful. If you have received this email message in error, please notify the sender immediately and delete all copies of the message from your computer. All information within or opinions expressed in this message and/or any attachments are those of the author and are not necessarily those of the Centurion Group.
From: Riccardo Francese &lt;RFrancese@siterg.com&gt;
Sent: Monday, November 16, 2020 6:26 PM
To: Connie Stang &lt;CStang@siterg.com&gt;
Cc: Lori Hoeksema &lt;LHoeksema@siterg.com&gt;
Subject: Aatrix Software
This has now been installedâ€¦let me know how it works?
[image]
Riccardo Francese
Business Process Manager
T: +1 (780) 400-7487
C: +1 (587) 990-0176
F: +1 (780) 417-6496
E:RFrancese@siterg.com
W:WWW.SITERG.COM
#170, 120 Pembina Rd., Sherwood Park, AB, T8H 0M2
The information contained in this e-mail may contain confidential or privileged material and is intended only for the stated addressee(s). If you are not the valid addressee, the use, disclosure, copying or distribution of this information is prohibited and may be unlawful. If you have received this email message in error, please notify the sender immediately and delete all copies of the message from your computer. All information within or opinions expressed in this message and/or any attachments are those of the author and are not necessarily those of the Centurion Group.</t>
  </si>
  <si>
    <t>0Anna Stakenvicius - Scan folders on the print/scan machines on site Calgary</t>
  </si>
  <si>
    <t>### Summary of Issue_x000D_
Scan folders on the print/scan machines on site Calgary_x000D_
  _x000D_
### Details of Issue_x000D_
Hello.  We all have access to scan directly to our folders in the N Drive, as well as scan to email through the 3 print/scan/copy machines on site in Calgary.
Erin Hilman's email is set up WRONG.  Invalid email.  On Next site visit, please fix to go to: erin.hilman@gobluecircle.com
There are also multiple scan folders that should be removed from the machine, as some folks are no longer employed here.
Thank you!_x000D_
  _x000D_
### Have you opened a ticket about this issue before?  _x000D_
 Yes  _x000D_
  _x000D_
### How many users are impacted by this issue?  _x000D_
 Some  _x000D_
  _x000D_
### How would you classify this issue?  _x000D_
 Work Impacting  _x000D_
  _x000D_
### If your callback number is different than what's on record, please provide it below._x000D_
403-770-4957</t>
  </si>
  <si>
    <t>Jeffrey Leung</t>
  </si>
  <si>
    <t>FW: Computers showing black Desktop, missing icons, garbled display, etc.</t>
  </si>
  <si>
    <t>For ticket creation, please see if Helpdesk can assist with this. (see email chain below)
Darryl Burkhardt
Field Services Technician
PH.Â +1 7804246398
14505 114th Avenue NW
Edmonton,       AB
T5M2Y8
Darryl.Burkhardt@mnp.ca
mnp.ca [image]
[image]
[image]
From: Darryl Burkhardt
Sent: November 17, 2020 1:49 PM
To: 'Jeff Leung' &lt;Jeff@lifeguidefinancial.com&gt;
Subject: RE: Site Visit - November 17, 2020
Okay thanks for the information Jeff.
This is going to require some deeper investigation and time, so I am going to forward this to our Helpdesk to have a closer look. I have included a link below, including a few things that you can try, that may help to determine where the problem lies. Feel free to try them out. I will send this to our Helpdesk to investigate further.
https://www.windowscentral.com/how-fix-black-screen-problems-windows-10
Regards
From: Jeff Leung &lt;Jeff@lifeguidefinancial.com&gt;
Sent: November 17, 2020 1:39 PM
To: Darryl Burkhardt &lt;Darryl.Burkhardt@mnp.ca&gt;
Subject: Re: Site Visit - November 17, 2020
CAUTION:This email originated from outside of the MNP network. Be cautious of any embedded links and/or attachments.
MISE EN GARDE:Ce courriel ne provient pas du rÃ©seau de MNP. MÃ©fiez-vous des liens ou piÃ¨ces jointes quâ€™il pourrait contenir.
The issue happens even in-person without any sort of remote desktop usage though. Restarting the computer works although we've found that restarting explorer.exe task manager works as well and is faster than a full on reboot. The normal wallpaper returns and everything works again immediately after restarting explorer.exe. The issue has never happened while actively using the desktop or after short breaks, like if we've just gotten up for half an hour for lunch, etc. It seems to need an extended period of idling time for it to trigger.
Jeffrey Leung
Licensed Assistant
[image]
1000 Energy Square
10109 - 106 Street
Edmonton, AB T5J 3L7
Tel: 780-702-0522 Ext. 105; Fax: 780-702-0523
http://www.lifeguidefinancial.com/
Mutual funds provided through LP Financial Planning Services Ltd.
To unsubscribe from receiving commercial electronic messages from Jeffrey Leung and LifeGuide Financial Inc., please reply to this email with â€œUNSUBSCRIBEâ€ in the subject line.
From: Darryl Burkhardt &lt;Darryl.Burkhardt@mnp.ca&gt;
Sent: November 17, 2020 1:32 PM
To: Jeff Leung &lt;Jeff@lifeguidefinancial.com&gt;
Subject: RE: Site Visit - November 17, 2020
It appears that the black Desktop is when you are connecting across the Internet to your computers in the office. This is a common issue when there is some bandwidth and memory shortage at the time. If you try to reboot the computer at that time (the work one), do you noticed is the black screen goes away and then the computer works as required. (Windows button, etc)? Does the Desktop background eventually go back to normal after some use?
Regards
Darryl Burkhardt
Field Services Technician
PH.Â +1 7804246398
14505 114th Avenue NW
Edmonton, AB
T5M2Y8
Darryl.Burkhardt@mnp.ca
mnp.ca
[image]
[image]
[image]
From: Jeff Leung &lt;Jeff@lifeguidefinancial.com&gt;
Sent: November 17, 2020 1:25 PM
To: Darryl Burkhardt &lt;Darryl.Burkhardt@mnp.ca&gt;
Subject: Re: Site Visit - November 17, 2020
CAUTION:This email originated from outside of the MNP network. Be cautious of any embedded links and/or attachments.
MISE EN GARDE:Ce courriel ne provient pas du rÃ©seau de MNP. MÃ©fiez-vous des liens ou piÃ¨ces jointes quâ€™il pourrait contenir.
Hi Darryl,
For the most part we are working off of laptops that we've taken home from the office and accessing everything online. There are a couple exceptions where there are some network shares set up specifically between the office desktops and our head office. In these cases, we're remoting into the office desktops to access them.
Jeffrey Leung
Licensed Assistant
[image]
1000 Energy Square
10109 - 106 Street
Edmonton, AB T5J 3L7
Tel: 780-702-0522 Ext. 105; Fax: 780-702-0523
http://www.lifeguidefinancial.com/
Mutual funds provided through LP Fin...</t>
  </si>
  <si>
    <t>Tracy Kuehnemuth - Assistance Setting up Auto Receptionist through Telus</t>
  </si>
  <si>
    <t>### Summary of Issue_x000D_
Assistance Setting up Auto Receptionist through Telus_x000D_
  _x000D_
### Details of Issue_x000D_
We are going to moving back to remote work and I need help setting up the phone system so that when a person calls they get a menu to choose the person they wish to speak with or leave a message. Then I want the user to be able to forward their calls to their cell and/or home phone. I'm going through the help pages but am not getting it..._x000D_
  _x000D_
### Have you opened a ticket about this issue before?  _x000D_
 No  _x000D_
  _x000D_
### How many users are impacted by this issue?  _x000D_
 Everyone  _x000D_
  _x000D_
### How would you classify this issue?  _x000D_
 Work Impacting</t>
  </si>
  <si>
    <t>IP-IT MS Teams Issue experiencing issues with adding an external team member to MS Teams.</t>
  </si>
  <si>
    <t>We are experiencing issues with adding an external team member to MS Teams.Â  We have never experienced this before, but Iâ€™m not sure if the issue lies with us or themâ€¦.?Â  I have attached correspondence explaining the issue and some of the tests weâ€™ve done.Â  There is also a message in the attached that suggests there may be a requirement to make adjustments to Azure AD to correct it.Â  See below:
Iâ€™ve been researching this problem and from what I can find it seems it could be an issue on your end with Microsoft Azure (that connects it all) . Â Iâ€™ve copied a screen shot below that seems to explain it. Any chance you have your IT support that can take a look into it? Â Iâ€™ve sent a request to our IT support too to see if they have any answers.
Let me know if thereâ€™s anything we can do to try and make it go.
If you want I can send the entire link to the online discussion I found on this.
Thanks,
Greg
[image]
Thanks!
-jg
Jon Gulayets, Associate
Group2
Architecture Interior Design Ltd.
200, 4706 Â 48th Â Avenue Red Deer AB T4N 6J4
T +1Â 403 340 2200 x 422
C +1 403 872 7422
group2.ca</t>
  </si>
  <si>
    <t>James Anderson - Carya Expand C:</t>
  </si>
  <si>
    <t>### Summary of Issue_x000D_
Carya Expand C:_x000D_
  _x000D_
### Details of Issue_x000D_
The C: drive on NC-CARYA-RDS05 needs to be expanded. Unable to recover any space.
ticket 1313261_x000D_
  _x000D_
### Have you opened a ticket about this issue before?  _x000D_
 No  _x000D_
  _x000D_
### How many users are impacted by this issue?  _x000D_
 Everyone  _x000D_
  _x000D_
### How would you classify this issue?  _x000D_
 Work Impacting</t>
  </si>
  <si>
    <t>URGENT: Install Aatrix</t>
  </si>
  <si>
    <t>Hello,
Please install the file called sto.exe at: S:\Information Technology\
On these RDSâ€™
Ses-2016-rds02
Ses-2016-rds03
I have installed them on every otherâ€¦
[image]Â Riccardo Francese
Business Process Manager
T:       +1 (780) 400-7487
C:       +1 (587) 990-0176
F:       +1 (780) 417-6496
E:       RFrancese@siterg.com
W:       WWW.SITERG.COM
#170, 120 Pembina Rd., Sherwood Park, AB, T8H 0M2
The information contained in this e-mail may       contain confidential or privileged material and is intended only for the       stated addressee(s). If you are not the valid addressee, the use,       disclosure, copying or distribution of this information is prohibited and       may be unlawful. If you have received this email message in error, please       notify the sender immediately and delete all copies of the message from       your computer. All information within or opinions expressed in this       message and/or any attachments are those of the author and are not       necessarily those of the Centurion Group.</t>
  </si>
  <si>
    <t>Armand Lowe</t>
  </si>
  <si>
    <t>Armand Lowe - FortiAnalyzer Demo for Senior SS Team</t>
  </si>
  <si>
    <t>### Summary of Issue_x000D_
FortiAnalyzer Demo for Senior SS Team_x000D_
  _x000D_
### Details of Issue_x000D_
We have a handful of clients who use FortiAnalyzer, but most of our Senior SS team has never seen it before. Myself included. 
Could we please schedule a quick training demo? 
How to sign in, major features, common issues/pitfalls. 
Braden mentioned that it's part of NSE5, but most of us are still trying to find time for NSE4. 
This request is motivated by a problem ticket for Calmont's FAZ, #1311687
Their SSL VPN log report keeps breaking and we have needed to reboot their Nisku firewall to fix it._x000D_
  _x000D_
### Have you opened a ticket about this issue before?  _x000D_
 No  _x000D_
  _x000D_
### How many users are impacted by this issue?  _x000D_
 Some  _x000D_
  _x000D_
### How would you classify this issue?  _x000D_
 Work Impacting</t>
  </si>
  <si>
    <t>FW: Website CRM:0006180055127</t>
  </si>
  <si>
    <t>Hi Guys, can you have a look at the below. We are getting a new page from a new company and they are asking for the below. Donâ€™t worry we are not looking to change IP companies or anything like that
Sterling Nordin | Vice President
sterling@edgeequipment.com
www.edgeequipment.com
Cell: 780-940-0023
[EDGE]
From: Cole Weihe &lt;cole-weihe@sandhills.com&gt; 
Sent: November 16, 2020 3:04 PM
To: Sterling Nordin &lt;sterling@edgeequipment.com&gt;
Cc: Matt Lepchuk &lt;Sales@edgeequipment.com&gt;
Subject: Website CRM:0006180055127
Hey Guys,
Can you please send over the MX records so we can move forward to get the website started? I need these for EdgeEquipment.com.
Cheers,
Cole Weihe | Western Canada Sales Executive
402.458.4777 (Direct) | 402.304.8259 (Cell) |Â www.sandhills.com
120 West Harvest Drive |Â  Lincoln, NE 68521 |  www.marketbook.com
[image]</t>
  </si>
  <si>
    <t>Riccardo Francese - team backgrounds</t>
  </si>
  <si>
    <t>Hello,
Can you please add these as global backgrounds for SITE so that they can be used in Teams for anyone that is with SITE.
[image]Â Riccardo Francese
Business Process Manager
T:       +1 (780) 400-7487
C:       +1 (587) 990-0176
F:       +1 (780) 417-6496
E:       RFrancese@siterg.com
W:       WWW.SITERG.COM
#170, 120 Pembina Rd., Sherwood Park, AB, T8H 0M2
The information contained in this e-mail may       contain confidential or privileged material and is intended only for the       stated addressee(s). If you are not the valid addressee, the use,       disclosure, copying or distribution of this information is prohibited and       may be unlawful. If you have received this email message in error, please       notify the sender immediately and delete all copies of the message from       your computer. All information within or opinions expressed in this       message and/or any attachments are those of the author and are not       necessarily those of the Centurion Group.</t>
  </si>
  <si>
    <t>Telus - VOIP Phone</t>
  </si>
  <si>
    <t>A ticket was going to be started with Telus as to why our phones are still displaying the temporary numbers and have not been switched over to our vanity numbers. Can you please provide me with an update on this?
*******************************
[image]
Tracy Kuehnemuth
Office Coordinator
401-11010 142 St NW
Edmonton, ABÂ  T5N 2R1
780-455-2164</t>
  </si>
  <si>
    <t>Gina Williams</t>
  </si>
  <si>
    <t>FW: Detailed Proposition and Contract Agremment from ALBERTA CONSTRUCTION SAFETY ASSOCIATION</t>
  </si>
  <si>
    <t>Hello,
I just got a call from my wife saying for got a email from the ACSA (Gina Williams). My wife has no affiliation with the ACSA nor has she had any communication with Gina. This looks to be some sort of a spoof email that is being sent on behave of the ACSA. the email chain for investigation is listed below.
Kind regards,
MATTHEW NASBY, CRSP, CSP, P. GSCÂ |Â COR Manager
Alberta Construction Safety Association
225 Parsons Road SW |Â Edmonton ABÂ |Â T6X 0W6
TÂ 780.453.3311 ext. 1855 |Â FÂ 780.455.1120 |Â TFÂ 1.800.661.ACSA (2272)
www.youracsa.ca
[cid:image001.png@01D3E2E9.BD9014B0][cid:image002.png@01D3E2E9.BD9014B0][cid:image004.png@01D3E2E9.BD9014B0][cid:image005.png@01D3E2E9.BD9014B0]
From: Melanie &lt;melanie_0726@yahoo.ca&gt;
Sent: November 16, 2020 10:24 AM
To: Matthew Nasby &lt;mnasby@youracsa.ca&gt;
Subject: Fwd: Detailed Proposition and Contract Agremment from ALBERTA CONSTRUCTION SAFETY ASSOCIATION
Sent from my iPhone
Begin forwarded message:
From: Gina Williams &lt;gwilliams@youracsa.ca&gt;
Date: November 16, 2020 at 10:20:29 AM MST
To: Gina Williams &lt;gwilliams@youracsa.ca&gt;
Subject: Detailed Proposition and Contract Agremment from ALBERTA CONSTRUCTION SAFETY ASSOCIATIONï»¿
Please see the attachedÂ  proposal/referenced budget numbers in the link below for the above referenced project, Should there be any question or concerns, please let me know.
https://web.tresorit.com/l/0WfiQ#HxLtK1sUOiRyAbDGa9KTPw
Best Regards,
GINA WILLIAMSÂ B.Ed., CRSPÂ , NCSO
Alberta Construction Safety Association
225 Parsons Road SW |Â Edmonton ABÂ |Â T6X 0W6
TÂ 780.453.3131 ext. 1840 |Â FÂ 780.455.1102 |Â TFÂ 1.800.616.ACSA (2272)
www.youracsa.ca
[image][image][image][image]
[image]</t>
  </si>
  <si>
    <t>Nimble Alarm on NDDC-N-GRP01 / NDDC-N-SAN01 - WARNING: Power supply failed</t>
  </si>
  <si>
    <t>Time: Sun Nov 15 22:24:08 2020
Type: 2022
ID: 622
Message: Attempting failover to active role because controller A has better IP network connectivity.
Group Name: NDDC-N-GRP01
Array name: NDDC-N-SAN01
Serial: AF-211983
Version: 5.2.1.400-796142-opt
Arrays in the group:
---------------------+-----------------+-----------+----------------
Name                  Serial            Model       Version         
---------------------+-----------------+-----------+----------------
NDDC-N-SAN01          AF-211983         HF40        5.2.1.400-796142-opt</t>
  </si>
  <si>
    <t>Tina Fagan - Printer down</t>
  </si>
  <si>
    <t>Hi Richard,
The printer in finance on the new side is completely down again.
Please help asap.
Best Regards,
[image]
Tina Fagan | Executive Assistant | Lexus of Edmonton 
Tel: 780-466-8300 | tfagan@lexusofedmonton.caÂ  |www.lexusofedmonton.ca
[image]
Lexus of Edmonton family member since 2014</t>
  </si>
  <si>
    <t>Laura Friend - Laptop Status</t>
  </si>
  <si>
    <t>### Summary of Issue_x000D_
Laptop Status_x000D_
  _x000D_
### Details of Issue_x000D_
Inquiring on the status of my laptop delivery. Need it for a hearing test session on Nov. 17_x000D_
  _x000D_
### Have you opened a ticket about this issue before?  _x000D_
 No  _x000D_
  _x000D_
### How many users are impacted by this issue?  _x000D_
 Some  _x000D_
  _x000D_
### How would you classify this issue?  _x000D_
 Work Impacting</t>
  </si>
  <si>
    <t>Jack Thomson</t>
  </si>
  <si>
    <t>Difficulty installing software MS SQL Server Maagement Studio with Azure Data Studio</t>
  </si>
  <si>
    <t>our Software developer is trying to install the software on Server name IRIS
I am adding @Jack Thomsonin a loop; you can talk to him directly for the install, whichever is needed
Contact Detail:
jack.thomson@igloo.ca
(780) 665-3190 Ext:3190
Amin Hirji</t>
  </si>
  <si>
    <t>Software installation issue on IRIS Server</t>
  </si>
  <si>
    <t>Upgrade our vmware usage meter</t>
  </si>
  <si>
    <t>I believe Jerry may have done this last time. Regardless we need to upgrade again.
Andrew Jackson
Partner
PH. +1       7804246398
14505 114th Avenue NW
Edmonton,       AB
T5M2Y8
Andrew.Jackson@mnp.ca
mnp.ca [image]
[image]
[image]
From: VCPP Usage Help Team &lt;usage-insight-help@groups.vmware.com&gt;
Sent: November 12, 2020 7:24 AM
To: Andrew Jackson &lt;ajackson@nextdigital.ca&gt;
Subject: Usage Meter 4.3 is now Available!
CAUTION:This email originated from outside of the MNP network. Be cautious of any embedded links and/or attachments.
MISE EN GARDE:Ce courriel ne provient pas du rÃ©seau de MNP. MÃ©fiez-vous des liens ou piÃ¨ces jointes quâ€™il pourrait contenir.
[image]
Usage Meter 4.3 is Now Available!
Hey there!
We are reaching out to partners to let them know that a new Usage Meter version is available. Usage Meter 4.3 is a BIG update, because it brings product collector parity with Usage Meter 3.6.1! With 3.6.1 going end-of-life on March 31, 2021, VMware recommends that partners upgrade now.
[image]
If you'd like to know more about the UM 4.3, take a look at theÂ blog post:
https://blogs.vmware.com/cloudprovider/2020/11/usage-meter-4-3-is-now-available.html
For partners that are running Usage Meter 4.X already, its even easier! Download the upgrade file and perform an in-place upgrade. No need to replace the entire appliance!
Partners on Usage Meter 3.6.X will need to deploy a new appliance but you can use the migration script built into the UM 4.3 to automatically transfer your configuration!
Please Note:Â Usage Meter 4.XÂ requires partners to use the Automatic Reporting Service called Usage Insight, as well asÂ signing up for the Flex Pricing Model. Check out the following videos to help you get started with both of those:
 Automatic Reporting Video
 Sign Up for Flex Pricing Model
If you have any questions about this, please email us at:
usage-insight-help@groups.vmware.com
Thank you,
vCloud Usage Insight Team
VMware Cloud Provider Program
[Facebook]
[Twitter]
[LinkedIn]
[YouTube]
Copyright Â© 2020 VMware, All rights reserved.
You are a Vmware Commerce Portal user. 
Our mailing address is:
VMware
3401 Hillview Ave
Palo Alto,CA 94304-1320
Add us to your address book
Want to change how you receive these emails?
You can update your preferences or unsubscribe from this list. 
[Email Marketing Powered by Mailchimp]
[image]</t>
  </si>
  <si>
    <t>Reception 2 Call routing issue</t>
  </si>
  <si>
    <t>Hi Dave,
Our ShoreTel switch lost connectivity this morning and needed a restart. Since, Kristin at Reception 2 is having call routing issue when she sets to Primary. Everything on the server seems correct from what I can see.
Would you be able to verify settings?
Thanks.
Brent SchneiderB.Sc, PMP, CISSP, CISA, CRISC, CISMÂ |Â Manager, Information Systems (IS)
Alberta Construction Safety Association
225 Parsons Road SW |Â Edmonton ABÂ |Â T6X 0W6
TÂ 780.453.3311 ext. 7719 |Â FÂ 780.455.1120 |Â TFÂ 1.800.661.ACSA (2272)
www.youracsa.ca
[image][image][image][image]
[image]</t>
  </si>
  <si>
    <t>Korden Huberdeau - NC-PMKR-BE02 P: Drive almost out of space</t>
  </si>
  <si>
    <t>### Summary of Issue_x000D_
NC-PMKR-BE02 P: Drive almost out of space_x000D_
  _x000D_
### Details of Issue_x000D_
The P: Drive on NC-PMKR-BE02 is almost out of space (Around 1 GB left) This drive hosts the RDS profiles. My ticket (#1307675) was approved by OPAL to add 20 GB to the P: drive. Please make the change_x000D_
  _x000D_
### Have you opened a ticket about this issue before?  _x000D_
 No  _x000D_
  _x000D_
### How many users are impacted by this issue?  _x000D_
 Everyone  _x000D_
  _x000D_
### How would you classify this issue?  _x000D_
 Work Impacting</t>
  </si>
  <si>
    <t>Wilson Cheng - Printer Access</t>
  </si>
  <si>
    <t>### Summary of Issue_x000D_
Printer Access_x000D_
  _x000D_
### Details of Issue_x000D_
Cannot print when using RDS. Could you please set to allow redirection to client deault printer. I attempted to perform myself, but do not have access to it. 
This is impacting Dalton McMann and my PC. 
Alternatively installing the printer driver on the RDS connection should also work. The printer we are trying to connect is the IOR KEARL - Sharp MX-4070N PLC 6 printer._x000D_
  _x000D_
### Have you opened a ticket about this issue before?  _x000D_
 No  _x000D_
  _x000D_
### How many users are impacted by this issue?  _x000D_
 Some  _x000D_
  _x000D_
### How would you classify this issue?  _x000D_
 Work Impacting</t>
  </si>
  <si>
    <t>Ben Hsu - Annual Power Shutdown at Sterling Place</t>
  </si>
  <si>
    <t>### Summary of Issue_x000D_
Annual Power Shutdown at Sterling Place_x000D_
  _x000D_
### Details of Issue_x000D_
Annual power shutdown will take place on Sunday, November 15, 2020 from 7:00 AM to 3:00 PM. IT needs to shut down and then power on the server and AC unit in the NRCB Edmonton server room. Please let me know who will do this._x000D_
  _x000D_
### Have you opened a ticket about this issue before?  _x000D_
 No  _x000D_
  _x000D_
### How many users are impacted by this issue?  _x000D_
 Everyone  _x000D_
  _x000D_
### How would you classify this issue?  _x000D_
 Work Impacting</t>
  </si>
  <si>
    <t>FW: Daily VPN Usage Report-2020-11-12-0100</t>
  </si>
  <si>
    <t>Hi
This report is coming up again with nothing on it.
Could you please fix again?
With Thanks,
Cheryl Trenchard, PCP
Human Resources &amp; Payroll Manager
14610 Yellowhead Trail NW Edmonton, AB, T5L 3C5
Branch: 780-482-0281Â Â Â  Cell: 587-930-2091Â Â  Fax: 780-482-0278
Email: cheryl.trenchard@calmont.ca 
Website: www.calmont.ca
This email, and any files transmitted with it, are confidential and are intended solely for the use of the individual or entity to which they are addressed. Any unauthorized use or disclosure is prohibited. Please notify the sender if you have received this email in error. Thank you for your co-operation.
-----Original Message-----
From: FAZ@calmont.ca &lt;FAZ@calmont.ca&gt; 
Sent: November 12, 2020 1:00 AM
To: Cheryl Trenchard &lt;Cheryl.Trenchard@calmont.ca&gt;
Subject: Daily VPN Usage Report-2020-11-12-0100
Hello,
Attached is the daily VPN usage report.</t>
  </si>
  <si>
    <t>Mark Bigam</t>
  </si>
  <si>
    <t>PHONE MESSAGE</t>
  </si>
  <si>
    <t>Good Afternoon,
We just found out that our phones are automatically directed to a message saying we are closed for our â€œstaff Christmas partyâ€.
Please let us know why that is happening, we are in fact open regular business hours today and obviously people think we are closed, and worse it is a very outdated message.
Can someone please correct this right away and also make sure this is not an issue going forward.
Thank you,
MarkÂ Bigam
OfficeÂ Manager
EstateÂ &amp;Â TrustÂ Accounting
[image]
5807 â€“ 104 Street, Edmonton, AB T6H 2K4
DÂ 780.431.8514
EÂ mbigam@faberinc.ca
T 780.944.1177TF 1.877.944.1177F 780.944.6979Â faber.ca
[image]
The information transmitted, including attachments, is intended only for the person(s) or entity to which it is addressed and may contain confidential and/or privileged material. Any review, retransmission, dissemination or other use of, or taking of any action in reliance upon this information by persons or entities other than the intended recipient is prohibited. If you received this in error, please contact the sender and destroy any copies of this information.</t>
  </si>
  <si>
    <t>Albert Leblanc - Mitchel Database Problem - case #7242812</t>
  </si>
  <si>
    <t>Hi, I have a Mitchell database failure.  Mitchell needs to be connected to the server to remedy this error.  Pls contact them &amp; give the the case number &amp; access to the server.
Thx...Albert
Sent from my iPhone</t>
  </si>
  <si>
    <t>Undelivered emails</t>
  </si>
  <si>
    <t>Hello,
Our building manager is trying to send me emails from an accountnoreply@allied.com to enable me to create an account to manage suite maintenance and building requests in a newly created portal.
Despite numerous attempts to send, I have yet to receive an email and they are not in my junk folder. Any ideas on what to try next?
Thank you.
Claire Rosenau
AMP Financial Inc.
Suite 401, 322 â€“ 11th Avenue SW, Calgary, Alberta, T2R 0C5
O: (403) 930-2152 | C: (403) 828-7518</t>
  </si>
  <si>
    <t>Two Issues:</t>
  </si>
  <si>
    <t>Hello!
How are you today?
I am having trouble receiving Emails from another CMLC staff. I now receive oneâ€™s from Joanna Pesta but it seems Amanda Evesonâ€™s will not come through Amanda Eveson AEveson@calgarymlc.ca
I tried going on to Sophos but I canâ€™t get access.
Secondly, myself and other staff have not been able to use Zoom properly from our carya East Location. It works well from my home, however when at carya East it forces us to use it through the browser and that does not work very well. Would you be able to support with this.?
Thanks so much
Marie
[image]
Marie Bryce
Pronouns: She/Her
Supervisor of carya East
T: 403-472-8189 |E: Marieb@caryacalgary.ca| F: 403.205.5281
180, 839 5 Ave SW | Calgary, AB | T2P 3C8
[image]Â [image][instagram-1675670]Â [image]
carya (formerly Calgary Family Services)
Stay up to date with the latest carya news, programs, and events by signing up for ourmonthly newsletter.
In the spirit of our efforts to promote reconciliation, we acknowledge the traditional territories and oral practices of the Blackfoot, the Tsuut'ina, the Stoney Nakoda First Nations, the MÃ©tis Nation Region 3, and all people who make their homes in the Treaty 7 region of Southern Alberta. We also respectfully acknowledge that the province of Alberta is comprised of Treaty 6, Treaty 7, and Treaty 8 territory, the traditional lands of First Nations and MÃ©tis peoples.
No form of electronic communication is secure and may be intercepted by others. Carya cannot guarantee the receipt of electronic communication nor a timely response. Where communication is confidential or time sensitive we recommend you call 403-269-9888 during business hours (Monday-Friday, 8:30am-4:30pm). For immediate crisis response please contact the Distress Centre Crisis Line at 403-266-HELP (4537) and in case of an emergency dial 911.
This e-mail is intended solely for the person or entity to which it is addressed and may contain confidential and/or privileged information. Any review, dissemination, copying, printing, forwarding or other use of this e-mail by persons or entities other than the addressee is prohibited. If you have received this e-mail in error, please contact the sender immediately and delete the material from your computer.</t>
  </si>
  <si>
    <t>Melody Baldry - Review Printers at Hewes OHI</t>
  </si>
  <si>
    <t>### Summary of Issue_x000D_
Melody Baldry - Review Printers at Hewes OHI_x000D_
  _x000D_
### Details of Issue_x000D_
Mel wants us to review the configurations for the printers located at the Hewes OHI workstation.  They don't seem to be consistently functional._x000D_
  _x000D_
### Have you opened a ticket about this issue before?  _x000D_
 No  _x000D_
  _x000D_
### How many users are impacted by this issue?  _x000D_
 Some  _x000D_
  _x000D_
### How would you classify this issue?  _x000D_
 Work Impacting</t>
  </si>
  <si>
    <t>printer not working</t>
  </si>
  <si>
    <t>The printer suddenly fails to work. I have checked the control panel and the default printer settings is correct.  _x000D_
please tak a look at it.  thanks  _x000D_
  _x000D_
Lina</t>
  </si>
  <si>
    <t>FRAP_Fort_McMurray_Site _ IT_Issues_List</t>
  </si>
  <si>
    <t>Dear Support Team,
We are currently encountered several issues in our the remote site Fort_McMurray, we need your attention and support for assisting us to solve them.
Issues
Description
Comments
Internet connections Issue
 Internet is too slow and Users are challenging to connect
 Users are using cable port in desktop and Wifi in the laptop
 The site has 02 users on site
Below are the bandwidth offering by SHAW in Fort McMurray
Download/Upload: 300/20Mbps, Usage: Unlimited/
Includes a modem and up to 3 access points/
ShawGo Access: 30/
Business emails: 10/
Static IP included
MS Office 365 is not installed
 Our User with email melchisedek.i@frap.ca doesnâ€™t haveÂ  the office365 installed in his PC
Thanks for your support.
Best Regards
Samuel D. Noubissie Ngadeu
IT Support
Tel: 780 540 8675/Fax: 780-540-8684Â Cell: 587-596-0159Â Â Courriel:Â samuel.n@frap.ca
Adresse:#108-8627, rue Marie-Anne-Gaboury,Â Edmonton, AB T6C 3N1Â Â Site web: |Â www.frap.ca</t>
  </si>
  <si>
    <t>Courtesy Chrysler</t>
  </si>
  <si>
    <t>Justine Firmeza</t>
  </si>
  <si>
    <t>Justine Firmeza -  unable to park or transfer calls</t>
  </si>
  <si>
    <t>### Summary of Issue_x000D_
Justine at Courtesy Chrystler - unable to park or transfer calls_x000D_
  _x000D_
### Details of Issue_x000D_
same issue as yesterday which was temp fixed by server reboot.  let's get it rebooted and then to Dave to investigate._x000D_
  _x000D_
### Have you opened a ticket about this issue before?  _x000D_
 No  _x000D_
  _x000D_
### How many users are impacted by this issue?  _x000D_
 Everyone  _x000D_
  _x000D_
### How would you classify this issue?  _x000D_
 Work Impacting</t>
  </si>
  <si>
    <t>Igloo Building Supplies Group - enable 100 GB mailbox archive setting</t>
  </si>
  <si>
    <t>Whom I can discuss first: Mostly, sales people are more than 100 GB mailboxes, and they want to keep the email. Currently, they are deleting the because of limitation
Amin Hirji</t>
  </si>
  <si>
    <t>Printers not working</t>
  </si>
  <si>
    <t>Good morning,
Unfortunately our printers are not working â€“ may we request some assistance?
Thanks!
Amy Hope | Concierge | Lexus of Edmonton 
Tel: 780-466-8300 | concierge@lexusofedmonton.ca Â |www.lexusofedmonton.ca
[cid:image012.png@01D418FF.37D54D80]
Lexus of Edmonton family member since 2019</t>
  </si>
  <si>
    <t>Blocked Website</t>
  </si>
  <si>
    <t>Good Morning,
I am not able to access the below website, and I need to be able to. Itâ€™s saying that our organization blocks it.
Can you please assist?
https://clientzone.westrock.com.
Thanks,
Barbara Morgan
Regards,
Rhonda Strybosch
Capital Paper Recycling Ltd.
10595 50 Street SE
Calgary, AB T2C 3E3
http://www.capital-paper.com/
Phone: (403) 543-3322
Fax: (403) 543-3325
Email:billing@capital-paper.com
"Leaders in paper recovery"
From: Derrick Chapman &lt;derrick.chapman@westrock.com&gt;
Sent: Thursday, November 5, 2020 6:23 AM
To: Dana Williams &lt;dana.williams@westrock.com&gt;
Subject: SCTASK1062412
Dana,
Client Zone Credentials
The Client Zone account for your contact has been created and the login information is as follows. Please let me know if you need any further information.
User ID:Â barbaramorgan
Password: Password!
Accessing Client Zone
You can find Client Zone athttps://clientzone.westrock.com. Enter the credentials provided. You will be required to change your password. Once you have changed your password follow the link to Client Zone again. There will be an error message displayed saying Invalid credentials entered. Ignore it. Enter your new password and you will be presented with your account options.
If a password reset is needed please contact the IT Helpdesk at 844.978.7625 or submit an INC via ServiceNow to WRK/IT/Norcross Service Desk.
Derrick Chapman Jr. 
System Access Administrator
This electronic message contains information from WestRock Company (www.westrock.com) or its subsidiaries, which may be confidential, privileged or otherwise protected from disclosure. The information is intended to be disclosed to and used by only the named recipient(s). If you are not the intended recipient, then your review, use, disclosure, printing, copying, or distribution of this message or its contents is prohibited. If you have received this message in error, please notify WestRock immediately atpostmaster@westrock.com, and delete the message from your system. For information about WestRock's privacy practices, including how WestRock collects, processes, transfers, and stores Personally Identifiable Information shared with us, please visitWestRock Privacy Policy. Unless previously authorized in writing, this message does not constitute an offer, acceptance, or agreement of any kind. Sender is not liable for damage, errors or omissions related to or caused by transmission of this message.
(c) WestRock Company.
Effective immediately, due to the unsecured nature, we cannot accept Interac E-Transfers. *Unless Authorized by Kim Burns.
The information in this email and any attachments is sent by Capital Paper Recycling LTD. and is intended to be confidential and for the use of only the individual or entity named above. The information may be protected by solicitor-client privilege, work product immunity or other legal principles. If the reader of this message is not the intended recipient, you are notified that unauthorized review, retention, dissemination, distribution, copying or other use of or taking any action in reliance upon this information is strictly prohibited. 
If you received this email in error, please notify us immediately by email reply and delete or destroy this message and any copies.</t>
  </si>
  <si>
    <t>Leeanne Tucker - Missing email accounts</t>
  </si>
  <si>
    <t>Both our AP and Orders emails under â€œGroupsâ€ both these email addresses are crucial to our business. They canâ€™t disappear!!!!! 
Monday is our biggest fulfilment day. Someone call me now
Travis Blake
Business Development | WBS 
T: 780.991.7914
www.wbsgroup.ca</t>
  </si>
  <si>
    <t>FW: Calmont Group Telephone Computers</t>
  </si>
  <si>
    <t>Hi,
See the email chain below. I was working with Flavio beginning of this year to upgrade/replace the current archive/Maintenance computers that Total Comm uses for the phone system at each of the Calmont sites.
Please read the email chain below.
The issue Iâ€™m having currently is the computer at Edmonton Truck Center seems to be corrupted and I cannot get on the internet, cannot use my PBX maintenance application or RDP to connect to other Calmont sites. It is also running Windows 7 which was the main driver behind the upgrades too.
Can we please get a ticket opened, approved by Calmont to replace these computers? We are in need of the Edmonton Truck Center one at the very least as soon as possible â€“ again, as that is the main one we use and it seems to have issues with networking in Windows currently.
Please contact me if you need to discuss anything on this.
Thank you,
Chris Lucyshyn| Senior Support Specialist |Total Communication Services Inc.
tf. 1-877-801-3337 | o. 403-291-3337
c.lucyshyn@totalcomm.ca |www.totalcomm.ca |support@totalcomm.ca
Calgary | Edmonton | Red Deer | Vancouver | Saskatoon | Winnipeg | Toronto | Ottawa
[COMPANY LOGO - Total Communication Services - Medium]Â [FB]Â Â Â [t2]Â Â Â [In]Â Â Â [YT]
From: Chris Lucyshyn - Total Comm 
Sent: Thursday, February 13, 2020 4:55 PM
To: 'Flavio Soares' &lt;fsoares@nextdigital.ca&gt;
Subject: RE: Calmont Group Telephone Computers
Would you be doing virtual machines locally at each site? Or what was your thoughts on that? It wouldnâ€™t be an issue with a virtual machine from my end but the archiving would need to have a fair amount of disk space assigned to it. I would say around 1TB or 2TB. Or at least start off with 1TB and have the ability to increase it if necessary.
Also, these archiving PCs were only on the VOIP Network and had the IP x.x.x.13Â Â  (Ex. Calgary VOIP Archiving PC IP: 192.168.102.13).
Thank you,
Chris Lucyshyn| Senior Support Specialist |Total Communication Services Inc.
tf. 1-877-801-3337 | o. 403-291-3337
c.lucyshyn@totalcomm.ca |www.totalcomm.ca |support@totalcomm.ca
Calgary | Edmonton | Red Deer | Vancouver | Saskatoon | Winnipeg | Toronto | Ottawa
[COMPANY LOGO - Total Communication Services - Medium]Â [FB]Â Â Â [t2]Â Â Â [In]Â Â Â [YT]
From: Flavio Soares &lt;fsoares@nextdigital.ca&gt; 
Sent: Thursday, February 13, 2020 4:46 PM
To: Chris Lucyshyn - Total Comm &lt;c.lucyshyn@totalcomm.ca&gt;
Subject: RE: Calmont Group Telephone Computers
Thank you! Virtual machines would be an option, though?
[Logo]
Flavio SoaresÂ |Â Strategic Account ManagerÂ |Â p-780.424.NEXT-(6398)Â |Â Â tf-1.888.224.5770Â |Â Â nextdigital.ca
From: Chris Lucyshyn - Total Comm &lt;c.lucyshyn@totalcomm.ca&gt; 
Sent: Thursday, February 13, 2020 4:20 PM
To: Flavio Soares &lt;fsoares@nextdigital.ca&gt;
Subject: RE: Calmont Group Telephone Computers
Flavio,
All the PCs are archiving data from the PBX. So if they failed they would lose all existing archived data as well as all future data until the PC is replaced. (old data would still be lost if the HDD failed).
It would NOT prohibit their PBX from working â€“ their systems would remain operational.
We use Edmonton Truck Center PC as a central management PC to jump to all PBXs at Calmont. So in reality, if that one failed, we would have a harder time trying to manage these sites.
Braden mentioned that Calmont Calgary has a 500Mbps connection â€“ if that is the case, I will be relocating our central management PC to Calgary from Edmonton Truck Center. Â This is just an FYI for you.
Thank you,
Chris Lucyshyn| Senior Support Specialist |Total Communication Services Inc.
tf. 1-877-801-3337 | o. 403-291-3337
c.lucyshyn@totalcomm.ca |www.totalcomm.ca | support@totalcomm.ca
Calgary | Edmonton | Red Deer | Vancouver | Saskatoon | Winnipeg | Toronto | Ottawa
[COMPANY LOGO - Total Communication Services - Medium]Â [FB]Â Â Â [t2]Â Â Â [In]Â Â Â [YT]
From: Flavio Soares &lt;fsoares@nextdigital.ca&gt; 
Sent: Thursday, February 13, 2020 4:02 PM
To: Chris Lucyshyn - Total Comm &lt;c.lucyshyn@totalcomm.ca&gt;
...</t>
  </si>
  <si>
    <t>Sarah Sinclair</t>
  </si>
  <si>
    <t>RE: Power Broker Annual Support Renewal Key File</t>
  </si>
  <si>
    <t>Hi there,
Can I please get confirmation that this renewal key has been applied?
We appear to be having an issue with Pathway and I want to make sure that this has been completed so I can eliminate this as the cause.
Thank you!
[image]
Sarah Sinclair | Interface Project Manager &amp; Data Management Team Lead
BlueCircle Insurance Brokers
Suite 200, 3402-8 Street SE | Calgary, AB T2G 5S7
Office: 403-770-0131 | Fax: 403-770-4953
sarah@gobluecircle.com | gobluecircle.com
[cid:image002.png@01D4C20B.77450DB0]
[cid:image003.png@01D4C20B.77450DB0]Â Â Â [cid:image004.png@01D4C20B.77450DB0]Â Â Â [cid:image005.png@01D4C20B.77450DB0]
__________________________________________________________
[cid:image007.png@01D4C20B.77450DB0][cid:image008.png@01D4C20B.77450DB0][cid:image009.png@01D4C20B.77450DB0][cid:image010.png@01D4C20B.77450DB0][cid:image011.png@01D4C20B.77450DB0]Â  [cid:image022.jpg@01D4C212.369807C0]
Because of customers like YOU, we exist!
This email and any files transmitted with it are confidential and intended solely for the use of the individual or entity to whom they are addressed. If you have received this email in error, please notify the system manager. You are receiving this email based on disclosure and consent of contact information on your personal account. Please note that any views or opinions presented in this email are solely those of the author and do not necessarily represent those of the organization. Finally, the recipient should check this email and any attachments for the presence of viruses. The organization accepts no liability for any damage caused by any virus transmitted by this email.
From: Kelly Blackwood 
Sent: Wednesday, October 07, 2020 10:38 AM
To: 'support@mnptechnology.ca' &lt;support@mnptechnology.ca&gt;
Cc: Dirk Bruggencate &lt;Dirk@gobluecircle.com&gt;; Sarah Sinclair &lt;Sarah@gobluecircle.com&gt;
Subject:FW: Power Broker Annual Support Renewal Key File
From: tammyfox@power-broker.com [mailto:tammyfox@power-broker.com] 
Sent: Monday, October 05, 2020 11:50 AM
To: Kelly Blackwood &lt;Kelly@gobluecircle.com&gt;; Matt Patrick &lt;mpatrick@nextdigital.ca&gt;
Cc: 'Accounting Power Broker' &lt;accounting@power-broker.com&gt;
Subject:Power Broker Annual Support Renewal Key File
Hi Kelly â€¦ hope everyone is doing well ðŸ˜Š
Attached is your renewal key extending Power Broker support and providing software upgrades for another year.
Save the attached KEY.ZIP to BRO folder on server.
Browse to BRO folder using Windows Explorer and locate KEY.ZIP. Double click to open and Extract KEY.APP to BRO.Â  Confirm to replace existing file.
See on-line video for key installation instructions 
http://www.youtube.com/watch?v=eMTvGY2b3qU
Here are your Power Broker software license parameters
[image]
Please feel free to reach out should you require further assistance.
Tammy Fox
Technical Support Analyst
[image]
[location]
209 -  1497 Admirals Road Victoria BC V9A 2P8
[phone]
778-433-2477
[email]
tammyfox@power-broker.com</t>
  </si>
  <si>
    <t>Lyle Clifford</t>
  </si>
  <si>
    <t>Lyle Clifford - Unable to Access Teams</t>
  </si>
  <si>
    <t>Hello,
I was in Teams earlier today and was kicked out a couple of times.Â  I am now no longer able to get into Teams.Â  I just checked with Luc and he is having the same issue.
Thank you,
[image]
Lyle Clifford
Senior Client SpecialistÂ 
Mobile: 204.979.8795
16255 County Rd #2Â |Â Long Sault, ONÂ |Â K0C 1P0
[image]Â Â [image]Â Â [image] [image]Â [image]</t>
  </si>
  <si>
    <t>Please update Applied Rating services  to Version 2020.1</t>
  </si>
  <si>
    <t>Hi There,
Our software Applied Policy Works needs to be updated.Â  Can you please arrange this and complete it?
Thanks
Dirk
[image]
Dirk Bruggencate|Partner, COO
BlueCircle Insurance Brokers
Suite 200, 3402-8 Street SE | Calgary, AB T2G 5S7
Office: 403-770-2796 | Fax: 403-770-4953
dirk@gobluecircle.com | gobluecircle.com
[cid:image002.png@01D4C20B.77450DB0]
[cid:image003.png@01D4C20B.77450DB0]Â Â Â [cid:image004.png@01D4C20B.77450DB0]Â Â Â [cid:image005.png@01D4C20B.77450DB0]
__________________________________________________________
[cid:image007.png@01D4C20B.77450DB0][cid:image008.png@01D4C20B.77450DB0][cid:image009.png@01D4C20B.77450DB0][cid:image010.png@01D4C20B.77450DB0][cid:image011.png@01D4C20B.77450DB0] [cid:image022.jpg@01D4C212.369807C0]
Because of customers like YOU, we exist!
This email and any files transmitted with it are confidential and intended solely for the use of the individual or entity to whom they are addressed. If you have received this email in error, please notify the system manager. You are receiving this email based on disclosure and consent of contact information on your personal account. Please note that any views or opinions presented in this email are solely those of the author and do not necessarily represent those of the organization. Finally, the recipient should check this email and any attachments for the presence of viruses. The organization accepts no liability for any damage caused by any virus transmitted by this email.</t>
  </si>
  <si>
    <t>Riccardo Francese - Printer Issues</t>
  </si>
  <si>
    <t>Both Ron Yoneda and I (Riccardo Francese) default on the server to print to Adobe PDF, can we do it so it goes to the local printer??
[image]Â Riccardo Francese
Business Process Manager
T:       +1 (780) 400-7487
C:       +1 (587) 990-0176
F:       +1 (780) 417-6496
E:       RFrancese@siterg.com
W:       WWW.SITERG.COM
#170, 120 Pembina Rd., Sherwood Park, AB, T8H 0M2
The information contained in this e-mail may       contain confidential or privileged material and is intended only for the       stated addressee(s). If you are not the valid addressee, the use,       disclosure, copying or distribution of this information is prohibited and       may be unlawful. If you have received this email message in error, please       notify the sender immediately and delete all copies of the message from       your computer. All information within or opinions expressed in this       message and/or any attachments are those of the author and are not       necessarily those of the Centurion Group.</t>
  </si>
  <si>
    <t>emails are bouncing back as spam and not delivered that are external since the migration</t>
  </si>
  <si>
    <t>Tim Clark - Internet speed</t>
  </si>
  <si>
    <t>### Summary of Issue_x000D_
Internet speed_x000D_
  _x000D_
### Details of Issue_x000D_
Our internet speed test shows roughly 12MB download speeds, our shaw service is 150 with dual lines_x000D_
  _x000D_
### Have you opened a ticket about this issue before?  _x000D_
 Yes  _x000D_
  _x000D_
### How many users are impacted by this issue?  _x000D_
 Everyone  _x000D_
  _x000D_
### How would you classify this issue?  _x000D_
 Work Impacting</t>
  </si>
  <si>
    <t>Problem - MNP Technology Services - Auto-setting Team in newly queued tickets is more unreli...</t>
  </si>
  <si>
    <t xml:space="preserve">Extended Summary_x000D_
Problem - MNP Technology Services - Auto-setting Team in newly queued tickets is more unreliable than a Range Rover_x000D_
_x000D_
Description_x000D_
### Problems are the causes of incidents. This form is intended to collect identified problems and known issues that exist for a Client. Examples include systemic ISP problems, and reoccurring issues.  _x000D_
  _x000D_
### Which Client has this problem?_x000D_
MNP Technology Services_x000D_
  _x000D_
### Summarize the nature of the problem?_x000D_
Auto-setting Team in newly queued tickets is more unreliable than a Range Rover_x000D_
  _x000D_
### Provide below as many ticket numbers of related incidents or service requests as you can_x000D_
Lots of them, see screenshot_x000D_
  _x000D_
### Provide a full description of the problem and any applicable history relating to it_x000D_
Hey team,
Just today we've had a lot of tickets get stuck in the UNSET team black hole, and today we've unfortunately had a P1 get stuck there.
My current fix is to simply re-add the company and contact info, but today that doesn't seem to work on the first try anymore.
Can you guys take a look?_x000D_
</t>
  </si>
  <si>
    <t>Faizel Janmohamed - NC-CARYA-RDS04 C drive needs to be expanded</t>
  </si>
  <si>
    <t>### Summary of Issue_x000D_
NC-CARYA-RDS04 C drive needs to be expanded_x000D_
  _x000D_
### Details of Issue_x000D_
NC-CARYA-RDS04 C drive needs to be expanded, currently Drive is at 8.83 GB of 219GB free (see screenshot)_x000D_
  _x000D_
### Have you opened a ticket about this issue before?  _x000D_
 No  _x000D_
  _x000D_
### How many users are impacted by this issue?  _x000D_
 Some  _x000D_
  _x000D_
### How would you classify this issue?  _x000D_
 Work Impacting</t>
  </si>
  <si>
    <t>Printer Issue - Urgent</t>
  </si>
  <si>
    <t>Hello!
Our printer is reprinting the same document over and over. It has happened more than twenty times already this morning.
Thank you!
[image]
Esi Adokowa Aidoo
Project Manager | Flooring Specialist
Phone/Fax: 780.665.3303|Â Mobile: 780.619.8024
12832 184 Street NWÂ |Â Edmonton, ABÂ |Â T5V 1T4
[image][image][image]Â  Â Â [image]</t>
  </si>
  <si>
    <t>Suzanne Leshchyshyn</t>
  </si>
  <si>
    <t>Red deer server is down; and although I am told it shouldn't affect remote server; it is</t>
  </si>
  <si>
    <t>I work on remote and it is freezing up and bumping me off the remote continually.</t>
  </si>
  <si>
    <t>Tori Carpenter</t>
  </si>
  <si>
    <t>FW: Undelivered Mail - untrusted IP</t>
  </si>
  <si>
    <t>Justin Wiebe
Project Specialist
PH.Â +1 7804246398
14505 114th Avenue NW
Edmonton,       AB
T5M2Y8
Justin.Wiebe@mnp.ca
mnp.ca [image]
[image]
[image]
From: Tori Carpenter &lt;tori@advancecoating.com&gt;
Sent: November 4, 2020 12:22 PM
To: Justin Wiebe &lt;Justin.Wiebe@mnp.ca&gt;
Subject: Fwd: Undelivered Mail
CAUTION:This email originated from outside of the MNP network. Be cautious of any embedded links and/or attachments.
MISE EN GARDE:Ce courriel ne provient pas du rÃ©seau de MNP. MÃ©fiez-vous des liens ou piÃ¨ces jointes quâ€™il pourrait contenir.
Hi there,
How do I get emails from Kevin? It seems to be blocking them.
Get Outlook for Android
From:MAILER-DAEMON@prod.hydra.sophos.com &lt;MAILER-DAEMON@prod.hydra.sophos.com&gt;
Sent: Wednesday, November 4, 2020, 11:32 a.m.
To: Tori Carpenter
Subject: Undelivered Mail
This is an automated message from mail system at host MAILER-DAEMON@prod.hydra.sophos.com
[Warning!]
Message not delivered
Your message could not be delivered to one or more recipients. The details are attached below. 
For further assistance, please contact your IT Administrator.
Message details
Failure reason:
&lt;kevin@solidbiz.ca&gt;: host mx1.emailsrvr.com[184.106.54.1] said: 451 4.7.1 Received too many messages from a new or untrusted IP: 18.216.13.113 (Z27/4A256E9) (G28) (in reply to RCPT TO command)
From:
tori@advancecoating.com
To:
kevin@solidbiz.ca
Subject:
RE: Sage back up
Sent:
2020-11-04T18:32:38.000Z</t>
  </si>
  <si>
    <t>Anita Stuart</t>
  </si>
  <si>
    <t>Anita Stuart - New Printer in COR</t>
  </si>
  <si>
    <t>Good Afternoon,
We have a new printer in the COR den Â but currently we cannot print or scan.Â  How can we find or get the map so that we can use the printer via our computers.
Please help.
ANITA STUART. HSA, NCSO|Â COR Audit Review Analyst
Alberta Construction Safety Association
225 Parsons Road SW |Â Edmonton ABÂ |Â T6X 0W6
TÂ 780.453.3311 ext. 1864 |Â FÂ 780.455.1120 |Â TFÂ 1.800.661.ACSA (2272)
youracsa.ca
[cid:image005.png@01D301FC.038F36A0][cid:image007.png@01D301FC.038F36A0][cid:image009.png@01D301FC.038F36A0][cid:image011.png@01D301FC.038F36A0][HelpPreventTheSpread]
https://www.alberta.ca/prevent-the-spread.aspx</t>
  </si>
  <si>
    <t>Re-instate Hewes OHI Workstation &amp; Records</t>
  </si>
  <si>
    <t>Hello MNP,
Corey our past COO, used the Hewes â€œRecordsâ€ room as his office. As a result, we used and reallocated the hardware from this room, which hosted the â€œOHIâ€ workstation and â€œRecordsâ€ workstation.
We will be re-instating this room and require some additional hardware to complete the set up. The room has 2 workstations, OHI and Records
OHI:
PC â€“ complete
1 â€“ 22â€ monitor â€“ complete
1 â€“ 24â€ monitor â€“ Quote just requested with 3 new monitors approved for SHPK
Keyboard/Mouse â€“ complete
Dymo â€“ complete
HP Laser printer â€“ complete
Scan snap â€“ Quote
Records:
PC â€“ Quote (used for Ortho Exams)
Keyboard â€“ replace with unit on-site (spare is in Melâ€™s office)
Mouse â€“ complete
Could this be coordinated asap?
Thanks,
Mel
Melody Baldry
Manager Align Orthodontics
Edmonton, Alberta, Canada
Direct: 780.395.2999
Edmonton Main: 780.463.5141
Sherwood Park Main: 780.449.6597
www.alignortho.com
[Email Logo Template]
Confidentiality Notice: This message and any attachments are solely for the intended recipient and may contain confidential or privileged information. If you are not the intended recipient, any disclosure, copying, use, or distribution of the information included in this message and any attachment is prohibited. If you have received this communication in error, please notify myself, by reply email and immediately and permanently delete this message and any attachments.</t>
  </si>
  <si>
    <t>Ancizar Ossa</t>
  </si>
  <si>
    <t>Group2 Architecture - Printer is not working</t>
  </si>
  <si>
    <t>Hi there,
Our printing is not working in our Calgary Studio. There is message in the screen saying â€œprinter is offline â€“ printer status is not available at this timeâ€
Could you please help us at your earliest convenience?
Thanks.
Ancizar Ossa, Associate
Group2
Architecture Interior Design Ltd.
505-237 8th Avenue SE Calgary AB Â T2G 5C3
D +1 403 984 9621
T +1 403 212 0960 ext. 221
C +1 403 463 0732
group2.ca
Group2 is committed to being both responsive and responsible in navigating these extraordinary times with everyoneâ€™s safety in mind. Since the outset of the COVID-19 situation, we have enabled our employees to work remotely, allowing us to continue business operations and maintain our client commitments.
This email and any files transmitted with it are confidential and intended solely for the use of the individual or entity to whom they are addressed. If you have received this email in error please notify the system manager. This message contains confidential information and is intended only for the individual named. If you are not the named addressee you should not disseminate, distribute or copy this e-mail.</t>
  </si>
  <si>
    <t>Cheque machine - COnnies Computers</t>
  </si>
  <si>
    <t>I need to install the cheque scanning machine on Connieâ€™s new computer..
We canâ€™t put money in the bank without it.
Here are the instructions that the bank gave me.
I canâ€™t for the life of me figure it out.
I will email the credentials to get in to who ever gets assigned the ticket.
Carly Dinan
Manager, Finance
PH.Â +1 7804246398       Ext 307
14505 114th Avenue NW
Edmonton,       AB
T5M2Y8
Carly.Dinan@mnp.ca
mnp.ca [image]
[image]
[image]</t>
  </si>
  <si>
    <t>Alison Mapp</t>
  </si>
  <si>
    <t>Alison Mapp - Questionable email and attachment</t>
  </si>
  <si>
    <t>We were forwarded the attached application for a student placement.Â  The curious thing is that the sender email address name and the name listed in the CV are different.Â  We have a Stephanie Oliphant that works at the agency, and a Stephanie Stevens who was a practicum student earlier in the year, however neither of them report applying.Â  Since a number of us have opened up the attachment I thought perhaps we should alert you to this questionable email.
Please advise regarding additional steps needed.
Thanks
[image]
Alison Mapp
Pronouns: she/her
Supervisor
T: 403-537-3383 |E: alisonm;@caryacalgary.ca|F: 403.205.5281
180, 839 5 Ave SW | Calgary, AB | T2P 3C8
[image][image][instagram-1675670][image]
carya (formerly Calgary Family Services)
Stay up to date with the latest carya news, programs, and events by signing up for ourmonthly newsletter.
In the spirit of our efforts to promote reconciliation, we acknowledge the traditional territories and oral practices of the Blackfoot, the Tsuut'ina, the Stoney Nakoda First Nations, the MÃ©tis Nation Region 3, and all people who make their homes in the Treaty 7 region of Southern Alberta. We also respectfully acknowledge that the province of Alberta is comprised of Treaty 6, Treaty 7, and Treaty 8 territory, the traditional lands of First Nations and MÃ©tis peoples.
From: Shelagh Dunlop &lt;shelaghd@caryacalgary.ca&gt;
Sent: Tuesday, October 13, 2020 10:28 AM
To: Alison Mapp &lt;alisonm@caryacalgary.ca&gt;; Shannon Loynachan &lt;sloynachan@caryacalgary.ca&gt;
Subject: FW: Practicum Student
From: stephanie oliphant &lt;oliphantstephanie@gmail.com&gt;
Sent: Thursday, October 1, 2020 1:55 PM
To: Shelagh Dunlop &lt;shelaghd@caryacalgary.ca&gt;
Subject: Practicum Student
Dear Shelagh Dunlop,Â Â  Please accept the following cover letter and resume as my application for a counselling practicum to start for either January or May. If you have any questions p
Caution! This message was sent from outside your organization.
Allow sender |Block sender
sophospsmartbannerend
Dear Shelagh Dunlop,
Please accept the following cover letter and resume as my application for a counselling practicum to start for either January or May. If you have any questions please contact me.
I look forward to hearing from you,
Sincerely,
Stephanie Stevens
No form of electronic communication is secure and may be intercepted by others. Carya cannot guarantee the receipt of electronic communication nor a timely response. Where communication is confidential or time sensitive we recommend you call 403-269-9888 during business hours (Monday-Friday, 8:30am-4:30pm). For immediate crisis response please contact the Distress Centre Crisis Line at 403-266-HELP (4537) and in case of an emergency dial 911.
This e-mail is intended solely for the person or entity to which it is addressed and may contain confidential and/or privileged information. Any review, dissemination, copying, printing, forwarding or other use of this e-mail by persons or entities other than the addressee is prohibited. If you have received this e-mail in error, please contact the sender immediately and delete the material from your computer.</t>
  </si>
  <si>
    <t>Matt Patrick - Calgary Office Server Fan Going Crazy</t>
  </si>
  <si>
    <t>### Summary of Issue_x000D_
Calgary Office Server Fan Going Crazy_x000D_
  _x000D_
### Details of Issue_x000D_
The Calgary office server fan is increasing in intensity throughout the day.  It comes in waves but it is fairly consistently being "noticed" because of it's loud noise.  No amber lights or any warning indicators but the fans are going crazy.
Not impacting anyone's performance, but could be an indicator of an issue._x000D_
  _x000D_
### Have you opened a ticket about this issue before?  _x000D_
 No  _x000D_
  _x000D_
### How many users are impacted by this issue?  _x000D_
 One  _x000D_
  _x000D_
### How would you classify this issue?  _x000D_
 Other</t>
  </si>
  <si>
    <t>Scott Yester - missing email</t>
  </si>
  <si>
    <t xml:space="preserve">Hi there,
I have confirmed that several people in our organization were sent this monthly email again in the last couple days, but none of us received it nor can we see it in our quarantine.Â  It appears allowing the polaramp.com domain did not resolve the issue.Â  As a reminder, it comes with an excel workbook as an attachment and that workbook contains a macro that might be tripping the antivirus.Â  Can someone please follow up?
Thanks,
Scott Yester, CFA | w: 587.393.6620 | c: 403.970.9746
Suite 3230, First Canadian Centre
350 â€“ 7th Avenue SW
Calgary, AB, T2P 3N9
[image]
</t>
  </si>
  <si>
    <t>Mike Smith-Knutsen</t>
  </si>
  <si>
    <t>URGENT: Firewall restricting access to sites</t>
  </si>
  <si>
    <t>Hello. We have our Firewall at Canada West Ltd. restricting access to various websites. Our user first noticed it this morning with https://secure.bluepay.com/, however another user said she no longer has access to Shawâ€™s secure page, nor CWB Bank. They get this result:
[image]
I have tested it at Canada ICI, one floor above Canada West at our Manulife location, and they are able to see this website without any issues.
Can you please coordinate with Betty Wang (bwang@canadawestltd.com, 587-773-3047) to see if there is something specific with our Firewall, or itâ€™s only certain websites? This is a time-sensitive matter, as we have many things that need to get done today.
Thank you,
Mike SK
[Logo]
Mike Smith-Knutsen
Support Analyst
P[Spacer]780-702-8005Â CÂ 250-995-1286
#3540 Manulife Place, 10180-101 Street,
Edmonton, AB T5J 3S4
canadaici.com
Toronto â€¢ Calgary â€¢ Edmonton â€¢ Ottawa â€¢ Winnipeg
[Spacer]
This message and any attachments are confidential. If the reader is not the intended recipient, you are hereby notified that any dissemination, distribution or copying of this email is strictly prohibited. If you have received this email in error, please notify the sender immediately by return email. Internet communications cannot be guaranteed to be secure or error-free as information could be intercepted, corrupted, lost arrive late or contain viruses. The sender does not accept liability for any errors or omissions in the context of this message.</t>
  </si>
  <si>
    <t>Saskatoon Internet Issues</t>
  </si>
  <si>
    <t>Hi,
Weâ€™ve had an ongoing issue with our internet for quite a few weeks now. Iâ€™m not sure what the existing ticket # is but this issue is starting to affect our work processes. Please let us know if this in being looked at currently or what the status is on this issue. We donâ€™t have access to websites like dropbox, outlook web is not working properly, thesaurus, etc. this doesnâ€™t make much sense.
Best,
Nyle Segovia, Marketing / Urban Planner
Group2
Architecture Interior Design Ltd.
630c-10th Street E Saskatoon SK S7H 0G9
T +1Â 306 979 2935 ext. 607
group2.ca
Group2 is committed to being both responsive and responsible in navigating these extraordinary times with everyoneâ€™s safety in mind. Since the outset of the COVID-19 situation, we have enabled our employees to work remotely, allowing us to continue business operations and maintain our client commitments.
This email and any files transmitted with it are confidential and intended solely for the use of the individual or entity to whom they are addressed. If you have received this email in error please notify the system manager. This message contains confidential information and is intended only for the individual named. If you are not the named addressee you should not disseminate, distribute or copy this e-mail.</t>
  </si>
  <si>
    <t>Server room clean up and proper destruction of old equipment</t>
  </si>
  <si>
    <t>Hello All,
We currently have a large pile of items in the server room that needs to be properly disposed of.Â  Due to the nature of our work, we need to ensure that any items like hard drives or other equipment that might contain carya information are properly disposed of.Â  During the next two weeks while I am off, could you please go through the destruction pile and inventory the items that we are wanting to get rid of.Â  The list should contain the quantity, Asset ID, make, model and serial number.
Once I am back, I would like to go through the list to ensure that the items are removed from my inventory, and to ensure that nothing went into the pile that should not have.Â  **Pleasedo not send for destruction before I have seen the list.
Following that, we can proceed with moving the items out.Â  Our insurance, auditors, and accreditors all require us to have a certificate of destruction.Â  I trust that the company that performs the destruction can provide this for our records.
Thanks,
Joey
[image]
Joanne Chaloner
Accountant
T: 403-205-5270 | E: JoanneC@caryacalgary.ca|F: 403-205-5273
180, 839 5 Ave SW | Calgary, AB | T2P 3C8
[image]Â [image][instagram-1675670]Â [image]
carya (formerly Calgary Family Services)
Stay up to date with the latest carya news, programs, and events by signing up for ourmonthly newsletter.
In the spirit of our efforts to promote reconciliation, we acknowledge the traditional territories and oral practices of the Blackfoot, the Tsuut'ina, the Stoney Nakoda First Nations, the MÃ©tis Nation Region 3, and all people who make their homes in the Treaty 7 region of Southern Alberta. We also respectfully acknowledge that the province of Alberta is comprised of Treaty 6, Treaty 7, and Treaty 8 territory, the traditional lands of First Nations and MÃ©tis peoples.
No form of electronic communication is secure and may be intercepted by others. Carya cannot guarantee the receipt of electronic communication nor a timely response. Where communication is confidential or time sensitive we recommend you call 403-269-9888 during business hours (Monday-Friday, 8:30am-4:30pm). For immediate crisis response please contact the Distress Centre Crisis Line at 403-266-HELP (4537) and in case of an emergency dial 911.
This e-mail is intended solely for the person or entity to which it is addressed and may contain confidential and/or privileged information. Any review, dissemination, copying, printing, forwarding or other use of this e-mail by persons or entities other than the addressee is prohibited. If you have received this e-mail in error, please contact the sender immediately and delete the material from your computer.</t>
  </si>
  <si>
    <t>Claudia Barata</t>
  </si>
  <si>
    <t>Claudia Barata - Need Hosting Info for drreidfriesen.com</t>
  </si>
  <si>
    <t>### Summary of Issue_x000D_
Need Hosting Info for drreidfriesen.com_x000D_
  _x000D_
### Details of Issue_x000D_
Need Hosting Info for drreidfriesen.com
See screen shot_x000D_
  _x000D_
### Have you opened a ticket about this issue before?  _x000D_
 No  _x000D_
  _x000D_
### How many users are impacted by this issue?  _x000D_
 Everyone  _x000D_
  _x000D_
### How would you classify this issue?  _x000D_
 Unable to Work  _x000D_
  _x000D_
### If your callback number is different than what's on record, please provide it below._x000D_
780-395-2993</t>
  </si>
  <si>
    <t>Shaw Business - Installation</t>
  </si>
  <si>
    <t>Hello Darryl &amp; Crew
Please be advised that SHAW will be onsite November 2 from 0900-1100 hours switching a modem
Please advise what actions need to be taken before / after.
Thanks.
Regards,
Dean Hengel
Executive Director
Hockey Edmonton
10618 124 St
Edmonton, AB T5N 1S3
(780) 413-3498 ext 106
From: Mairaj Anwar Hussain &lt;mairaj.anwarhussain@sjrb.ca&gt; 
Sent: Thursday, October 29, 2020 5:09 PM
To: Dean Hengel &lt;dean.hengel@hockeyedmonton.ca&gt;
Subject:Shaw Business - Pending Installation Notification
Attn:Â Edmonton Minor Hockey Association
HelloÂ Dean Hengel,
Thank you for choosing Shaw Business.
We are emailing to inform you of a pending  install that is set forÂ November 02, 2020 (between 9am-11am).
Install Location Details
Service Location 1
10618 124 St nw
Edmonton
AB
T5N 1S3
Canada
Install Location
Product
Account Number
Work Order Number
Service Location 1
Business Internet 300/125
030-8563-2256
20207592
Service Location 1
Discounted Internet Rate
030-8563-2256
20207592
Please kindly confirm the following:
Confirm: Yes/No
Are you available during the entire arrival &amp; installation timeframe?
Staff are on site
Are your renovations / building construction fully completed?
NA
Is there electrical power for our equipment?
Yes
Do you have access to the electrical room/work area for our technicians?
Yes
If you have a phone system or network that requires an onsite IT technician, has this been arranged?
IT company advised
Have you advised your alarm company of our upcoming installation?
Alarms not active during office hours, but advised
If you have answered "No" to any of the above or in the event that this appointment needs to be rescheduled for a different time, please reply to this email or contact me directly.
Alternately, our toll free technical service line is 1-877-742-9249 .Â 
Kind Regards,
Mairaj Anwar Hussain
NTL BUS SALES ADVISOR - Shaw Communications Inc.
T: (778) 373-6812Â  Â E:Â mairaj.anwarhussain@sjrb.ca
[cid:2F813FE5-9B0E-441E-AD14-3267523962FF]
This message is sent to you by Shaw Telecom G.P. which carries on business as Shaw Business
Our national address is 3636 23 Avenue NE, Calgary, Alberta, T2E 8Z5
For general inquiries, you can reach us by phone anytime at 1-877-SHAWBIZ (1-877-742-9249)
Privacy Policy |  Contact Us |  Terms Of Use 
Â© 2017 Shaw Communications Inc. All Rights Reserved.
[image]</t>
  </si>
  <si>
    <t>James Anderson - Carya - expand drive</t>
  </si>
  <si>
    <t>### Summary of Issue_x000D_
Carya - expand drive_x000D_
  _x000D_
### Details of Issue_x000D_
Need to expand the C: drive on NC-CARYA-RDS04._x000D_
  _x000D_
### Have you opened a ticket about this issue before?  _x000D_
 No  _x000D_
  _x000D_
### How many users are impacted by this issue?  _x000D_
 Everyone  _x000D_
  _x000D_
### How would you classify this issue?  _x000D_
 Minor Inconvenience</t>
  </si>
  <si>
    <t>Neil Mackie</t>
  </si>
  <si>
    <t>Neil Mackie - Fortigate SSL inspection issue?</t>
  </si>
  <si>
    <t>### Summary of Issue_x000D_
Fortigate SSL inspection issue?_x000D_
  _x000D_
### Details of Issue_x000D_
Quite a few websites are not loading up from our RDS server. All of these sites are working external to our network. Sites like : ATB.com, dropbox, amazon, UPS, Canada post and even our public webpage (dentalhealthalberta.ca) would get various errors like "Connection Refused", "Pr_end_of_file", "Err_connection_closed". 
I tried turning off various security features in the fotigate (Antivirus, IPS, WEbfilter) but I couldn't turn off SSL inspection as it wasn't an option. 
I suspect it is an SSL inspection error as when the browser gives an error the site isn't showing that it has a certificate.
I did find a work around - that I don't understand why it works yet. But if you got the problem website in the old internet explorer browser it will load correctly. Then after this both firefox and chrome will load the website correctly. Maybe IE is installing a certificate??
I talked with Exdol as he had just updated our firewall's firmware last night but he thinks this is caused by somethign else as he heard of other clients having the same issue. And he thinks there is a work around.
Here's hoping you have one !_x000D_
  _x000D_
### Have you opened a ticket about this issue before?  _x000D_
 No  _x000D_
  _x000D_
### How many users are impacted by this issue?  _x000D_
 Everyone  _x000D_
  _x000D_
### How would you classify this issue?  _x000D_
 Work Impacting</t>
  </si>
  <si>
    <t>Earl - B Drive Access</t>
  </si>
  <si>
    <t>Good morning,
Can someone assist Earl with getting back on the B drive????
Please give him a call when you canâ€¦â€¦his number is: 403-895-2475 (cell).
Thank you.
Nora
From: Earl Graham
Sent: October 29, 2020 9:57 AM
To: Nora Decosemo &lt;Nora.Decosemo@nrcb.ca&gt;
Subject: RE: Timesheets and Expenses
Morning Noraâ€¦ this morning I cannot access B drive. I could when I Â was set up on Mondayâ€¦..Thanks Earl
From: Nora Decosemo
Sent: Wednesday, October 28, 2020 11:36 AM
To: Peter Woloshyn &lt;Peter.Woloshyn@nrcb.ca&gt;; John Brown &lt;John.Brown@nrcb.ca&gt;; Page Stuart &lt;Page.Stuart@nrcb.ca&gt;; Sandi Roberts &lt;Sandi.Roberts@nrcb.ca&gt;; Daniel Heaney &lt;Daniel.Heaney@nrcb.ca&gt;; Earl Graham &lt;Earl.Graham@nrcb.ca&gt;; Indra Maharaj &lt;Indra.Maharaj@nrcb.ca&gt;; Keith Leggat &lt;Keith.Leggat@nrcb.ca&gt;
Subject: Timesheets and Expenses
[Long month - quickmeme]
Greetings
Yesâ€¦â€¦â€¦â€¦..month end approachesâ€¦â€¦â€¦â€¦â€¦â€¦
I will be working on timesheets and expenses on Friday. Please get me your receipts and hours by then pleaseâ€¦â€¦â€¦â€¦.and thank you!!!
Nora
Nora Decosemo
Board Secretary
Natural Resources Conservation Board
4th Floor, Sterling Place
9940 - 106 Street
Edmonton, ABÂ Â  T5K 2N2
Tel: 780-422-2834
This communication is intended for the use of the recipient to which it is addressed and may contain confidential, personal, or privileged information. Please contact us immediately if you are not the intended recipients of this communication and do not copy, distribute or take action relying on it. Any communication received in error or subsequent reply should be deleted or destroyed.</t>
  </si>
  <si>
    <t>ATTENTION DAVE, cas issues.</t>
  </si>
  <si>
    <t>Hi Dave,
Our phones are displaying this message in the Calgary office. Can you Please look into this.
[image]
Roger Lam
Helpdesk Support
Address |vCardÂ Â 
Â Â Â 
T 1-844-483-4353
F 
rlam@fieldlaw.com
400 â€“ 444 7 AVE SW
Calgary Alberta T2P 0X8 Â Â Â Â  
fieldlaw.com
[Field Law]
Location, Location, Location: Pursuant to the reopening plans in Alberta and NWT, Field Law has implemented a phased return to our offices. Our lawyers and staff are able to assist at our offices (with appropriate measures now in place), or by phone, video or email. As trusted business advisors, we care about the health and safety as well as the business needs of our clients and guests.
This message (including any attachments) is for the addressee(s) only and may contain information that is privileged, confidential or exempt from disclosure. If you have received this message in error please immediately notify the sender and delete this email message and any attachments.
"Field Law," the logo andÂ â€œBecause Clarity Mattersâ€ are registered trademarks of Field LLP.Â  "Field Law" is a registered trade name of Field LLP</t>
  </si>
  <si>
    <t>Leanna Andrews</t>
  </si>
  <si>
    <t>Leanna Andrews - Password change on 3 e4c email accounts</t>
  </si>
  <si>
    <t>### Summary of Issue_x000D_
Password change on 3 e4c email accounts_x000D_
  _x000D_
### Details of Issue_x000D_
I need to change the password for 3 school's e4c email. The email passwords that need to be changed are for e4cbelmead@e4calberta.org, e4csherwood@e4calberta.org  and e4cprinceton@e4calberta.org_x000D_
  _x000D_
### Have you opened a ticket about this issue before?  _x000D_
 No  _x000D_
  _x000D_
### How many users are impacted by this issue?  _x000D_
 Some  _x000D_
  _x000D_
### How would you classify this issue?  _x000D_
 Work Impacting</t>
  </si>
  <si>
    <t>Alicia Lewis - Alicia Lewis - Can't open urgent files in N drive?</t>
  </si>
  <si>
    <t>### Summary of Issue_x000D_
Alicia Lewis - Can't open urgent files in N drive?_x000D_
  _x000D_
### Details of Issue_x000D_
I have some urgent Word files from interviews last week that I cannot open.
I get a message saying file name is too long but cannot reslove the issue.
I also cannot attach these files to emails I get the same message.
I need help
Thankyou_x000D_
  _x000D_
### Have you opened a ticket about this issue before?  _x000D_
 No  _x000D_
  _x000D_
### How many users are impacted by this issue?  _x000D_
 Some  _x000D_
  _x000D_
### How would you classify this issue?  _x000D_
 Work Impacting  _x000D_
  _x000D_
### If your callback number is different than what's on record, please provide it below._x000D_
7806993253</t>
  </si>
  <si>
    <t>Edith Bornau</t>
  </si>
  <si>
    <t>Edith Bornau - XCharge Hewes Way not loading</t>
  </si>
  <si>
    <t>### Summary of Issue_x000D_
XCharge Hewes Way not loading_x000D_
  _x000D_
### Details of Issue_x000D_
Not loading_x000D_
  _x000D_
### Have you opened a ticket about this issue before?  _x000D_
 Yes  _x000D_
  _x000D_
### How many users are impacted by this issue?  _x000D_
 Some  _x000D_
  _x000D_
### How would you classify this issue?  _x000D_
 Work Impacting  _x000D_
  _x000D_
### If your callback number is different than what's on record, please provide it below._x000D_
780 463 5141 Edith</t>
  </si>
  <si>
    <t>CDA Practice Support - Chrome Align Bookmarks</t>
  </si>
  <si>
    <t>Hello MNP IT,
I have a new link I would like to have added to all Chrome users at Align Orthodontics. This would be for local workstation users and for both Hewes and SHPK RDS users.
The link is
https://services.cda-adc.ca/Login
It is for the CDA (Canadian Dental Association) Practice Support Services Website. We will be now using this secure portal to exchange patient referral data between any dental practice in Canada.
Please let me know when this has been added to the â€œAlign Bookmarksâ€ in Chrome.
Thanks,
Mel
Melody Baldry
Manager Align Orthodontics
Edmonton, Alberta, Canada
Direct: 780.395.2999
Edmonton Main: 780.463.5141
Sherwood Park Main: 780.449.6597
www.alignortho.com
[Email Logo Template]
Confidentiality Notice: This message and any attachments are solely for the intended recipient and may contain confidential or privileged information. If you are not the intended recipient, any disclosure, copying, use, or distribution of the information included in this message and any attachment is prohibited. If you have received this communication in error, please notify myself, by reply email and immediately and permanently delete this message and any attachments.</t>
  </si>
  <si>
    <t>FW: ShoreWare Event Notification: Switch:  (1342)</t>
  </si>
  <si>
    <t>Raimund,
This should be an incident. I need someone to call Telus repair and open a ticket. This is the 3rd or fourth time that this has gone down between the 2 PRIâ€™s. the last time the Telus tech replaced the card at the CO for PRI 2. Iâ€™m thinking he needs to do the same for PRI 1.
Any questions I can help via texting or Teams.
Regards,
Dave Beharrell
Senior Project Specialist
PH.Â +1 7804246398       Ext 328
14505 114th Avenue NW
Edmonton,       AB
T5M2Y8
Dave.Beharrell@mnp.ca
mnp.ca [image]
[image]
[image]
From: Jaishil Prasad &lt;Jaishil.Prasad@lvs1.com&gt;
Sent: October 28, 2020 11:21 AM
To: Dave Beharrell &lt;Dave.Beharrell@mnp.ca&gt;; Kyle Myck &lt;KMyck@fieldlaw.com&gt;; Ivan Lam &lt;Ivan.Lam@lvs1.com&gt;; Roger Lam &lt;RLam@fieldlaw.com&gt;; Paul Rwankole &lt;Paul.Rwankole@lvs1.com&gt;
Subject: RE: ShoreWare Event Notification: Switch: (1342)
CAUTION:This email originated from outside of the MNP network. Be cautious of any embedded links and/or attachments.
MISE EN GARDE:Ce courriel ne provient pas du rÃ©seau de MNP. MÃ©fiez-vous des liens ou piÃ¨ces jointes quâ€™il pourrait contenir.
No luck.
Light is still red, in the snap below, it shows orange.
[image]
Kind Regards,
Jaishil R Prasad
[Long View Systems]
Edmonton MITS System Consultant
..................................................................
Mobile: 825.993.4190 |Main: 587.773.7167
Email:Jaishil.Prasad@lvs1.com
From: Jaishil Prasad
Sent: Wednesday, October 28, 2020 11:13 AM
To: Dave Beharrell &lt;Dave.Beharrell@mnp.ca&gt;; Kyle Myck &lt;KMyck@fieldlaw.com&gt;; Ivan Lam &lt;Ivan.Lam@lvs1.com&gt;; Roger Lam &lt;RLam@fieldlaw.com&gt;; Paul Rwankole &lt;Paul.Rwankole@lvs1.com&gt;
Subject: RE: ShoreWare Event Notification: Switch: (1342)
On site tech will be doing this in a minute.
Kind Regards,
Jaishil R Prasad
[Long View Systems]
Edmonton MITS System Consultant
..................................................................
Mobile: 825.993.4190 |Main: 587.773.7167
Email:Jaishil.Prasad@lvs1.com
From: Dave Beharrell &lt;Dave.Beharrell@mnp.ca&gt;
Sent: Wednesday, October 28, 2020 11:10 AM
To: Kyle Myck &lt;KMyck@fieldlaw.com&gt;; Ivan Lam &lt;Ivan.Lam@lvs1.com&gt;; Roger Lam &lt;RLam@fieldlaw.com&gt;; Paul Rwankole &lt;Paul.Rwankole@lvs1.com&gt;; Jaishil Prasad &lt;Jaishil.Prasad@lvs1.com&gt;
Subject: RE: ShoreWare Event Notification: Switch: (1342)
Email from outside LVS. Donâ€™t click links or open attachments unless sender is recognized and content is safe.
Thanks Kyle,
@Jaishil Prasad
Jaishil,
I need you to unplug the cable from the T1 connection. Not sure which one it is one of the two on the top, but the lights will be RED on the T1 port. See photo attached.
Unplug it for a couple of minutes and then plug it back in, if the lights donâ€™t turn green then I will have to open another ticket with Telus.
Thanks,
Dave Beharrell
Senior Project Specialist
PH.Â +1 7804246398 Ext 328
14505 114th Avenue NW
Edmonton, AB
T5M2Y8
Dave.Beharrell@mnp.ca
mnp.ca
[image]
[image]
[image]
From: Kyle Myck &lt;KMyck@fieldlaw.com&gt;
Sent: October 28, 2020 11:05 AM
To: Dave Beharrell &lt;Dave.Beharrell@mnp.ca&gt;; Ivan Lam (LVS) &lt;ivan.lam@lvs1.com&gt;; Roger Lam &lt;RLam@fieldlaw.com&gt;; Paul Rwankole &lt;Paul.Rwankole@lvs1.com&gt;; Jaishil Prasad &lt;Jaishil.Prasad@lvs1.com&gt;
Subject: RE: ShoreWare Event Notification: Switch: (1342)
CAUTION:This email originated from outside of the MNP network. Be cautious of any embedded links and/or attachments.
MISE EN GARDE:Ce courriel ne provient pas du rÃ©seau de MNP. MÃ©fiez-vous des liens ou piÃ¨ces jointes quâ€™il pourrait contenir.
Hi Dave,
We do have someone onsite today, but @Jaishil Prasadcan help coordinate any necessary actions.
Thanks,
Kyle
From: Dave Beharrell &lt;Dave.Beharrell@mnp.ca&gt;
Sent: October 28, 2020 10:36 AM
To: Ivan Lam (LVS) &lt;ivan.lam@lvs1.com&gt;; Roger Lam &lt;RLam@fieldlaw.com&gt;; Paul Rwankole &lt;Paul.Rwankole@lvs1.com&gt;; Jaishil Prasad &lt;Jaishil.Prasad@lvs1.com&gt;
Cc: Kyle Myck &lt;KMyck@fieldlaw.com&gt;
Subject: FW: ShoreWare Event Notification: Switch: (1342)
Guys,
PRI 1 is showing D-Channel down. is anyone on site today to try and reset the...</t>
  </si>
  <si>
    <t>EDGE Reminders messages go to Junk Mail</t>
  </si>
  <si>
    <t>Hello MNP IT,
Could you please look into reasons why manyâ€¦majorityâ€¦ of our Align EDGE Reminders appointment reminder email messages are going to contacts â€œJunk Mailâ€ folder.
Are there any settings that we can change on our network, or is this exclusively with the IOS and Android users set up on their personal device?
Many are saying that they tell their email to allow emails from Align Orthodontics, but every time they have an update, our emails go to their junk folders again. This is becoming an issue as patients are not receiving the reminders for attendance of their appointments and then no showing. This is wasting their time and our Doctors time.
Thanks,
Mel
[Email Logo Template]
From: Shawna Hall &lt;Shawna.Hall@alignortho.com&gt;
Sent: October 27, 2020 6:35 AM
To: Melody Baldry &lt;Melody.Baldry@alignortho.com&gt;
Subject: RE: Confirming Recalls
Good morning
Brian had several recall no show last week
Our patients are saying, â€œthey are not getting our reminders or the email is going to junkâ€ which is causing frustration for our patients and wasting time for the doctors
Thank you
Shawna
[Email Logo Template]
From: Melody Baldry
Sent: Monday, October 26, 2020 4:48 PM
To: Shawna Hall
Subject: RE: Confirming Recalls
Hi Shawna,
Can you tell me about this initiative? What was the reason for this confirmation email to the team?
Mel
[Email Logo Template]
From: Shawna Hall &lt;Shawna.Hall@alignortho.com&gt;
Sent: October 21, 2020 11:28 AM
To: Bailey Stevens &lt;Bailey.S@alignortho.com&gt;; Candace Bowen &lt;candace.b@alignortho.com&gt;; Emilee Wry &lt;Emilee.Wry@alignortho.com&gt;; Kathy Bleau &lt;Kathy.Bleau@alignortho.com&gt;; Shandra Kovacs &lt;Shandra.Kovacs@alignortho.com&gt;; Shawna Hall &lt;Shawna.Hall@alignortho.com&gt;
Cc: Melody Baldry &lt;Melody.Baldry@alignortho.com&gt;
Subject: Confirming Recalls
Good morning team
Effective immediately all recalls, all doctors, Â need to be confirmed the day before by a personal phone call and then place a Â note in the notepad
Thank you
Shawna Hall
Scheduling Coordinator
Edmonton, Alberta, Canada
780-463-5141
Shawna.hall@alignortho.com
[Email Logo Template]
Confidentiality Notice: This message and any attachments are solely for the intended recipient and may contain confidential or privileged information. If you are not the intended recipient, any disclosure, copying, use, or distribution of the information included in this message and any attachment is prohibited. If you have received this communication in error, please notify myself, by reply email and immediately and permanently delete this message and any attachments.</t>
  </si>
  <si>
    <t>Lance Molnar</t>
  </si>
  <si>
    <t>Lance Molnar - E4C- Need drive space added</t>
  </si>
  <si>
    <t>### Summary of Issue_x000D_
E4C- Need drive space added_x000D_
  _x000D_
### Details of Issue_x000D_
=FS01 needs 50 GBS added to data drive
-RDS02 needs 10GBS added to C drive
-RDS02 needs 20 GBS added to C drive_x000D_
  _x000D_
### Have you opened a ticket about this issue before?  _x000D_
 No  _x000D_
  _x000D_
### How many users are impacted by this issue?  _x000D_
 Everyone  _x000D_
  _x000D_
### How would you classify this issue?  _x000D_
 Other</t>
  </si>
  <si>
    <t>Melody Baldry - RDS - ViewPoint - PLQ Capture</t>
  </si>
  <si>
    <t>### Summary of Issue_x000D_
RDS - ViewPoint - PLQ Capture_x000D_
  _x000D_
### Details of Issue_x000D_
Several Align TC's have been shown a tip by a previous Next Digital Tech:
Multiple letters in the Print Later Queue (PLQ) in ViewPoint (VP) should be able to "Capture" to each patients respective Correspondence History. However, when selecting multiple letters and capture, VP is erroring. The trick they were shown was to "sign out of Windows" while VP is running and Windows will ask, "are you sure?". The TC then selects "No" and all the letters will then finish capturing. Can you provide an explanation why this is the case and how to resolve?_x000D_
  _x000D_
### Have you opened a ticket about this issue before?  _x000D_
 Yes  _x000D_
  _x000D_
### How many users are impacted by this issue?  _x000D_
 Some  _x000D_
  _x000D_
### How would you classify this issue?  _x000D_
 Work Impacting</t>
  </si>
  <si>
    <t>Corrie Tetreau</t>
  </si>
  <si>
    <t>Corrie Tetreau - Can not use dolphin imaging in Hewes</t>
  </si>
  <si>
    <t>### Summary of Issue_x000D_
Can not use dolphin imaging in Hewes_x000D_
  _x000D_
### Details of Issue_x000D_
Can not use dolphin imaging in hewes. All computers affected. See photo of error message_x000D_
  _x000D_
### Have you opened a ticket about this issue before?  _x000D_
 No  _x000D_
  _x000D_
### How many users are impacted by this issue?  _x000D_
 Everyone  _x000D_
  _x000D_
### How would you classify this issue?  _x000D_
 Unable to Work  _x000D_
  _x000D_
### If your callback number is different than what's on record, please provide it below._x000D_
7804637011</t>
  </si>
  <si>
    <t>Daniel Shaw - Increase Size of E Drive in ESXi for NC-APG-BE01</t>
  </si>
  <si>
    <t>### Summary of Issue_x000D_
Increase Size of E Drive in ESXi for NC-APG-BE01_x000D_
  _x000D_
### Details of Issue_x000D_
I have received permission from OPAL to increase the E Drive size for Alberta Pulse Growers by 20GB. I need someone to increase the VMs size of the E Drive that is currently ~700GB in size._x000D_
  _x000D_
### Have you opened a ticket about this issue before?  _x000D_
 No  _x000D_
  _x000D_
### How many users are impacted by this issue?  _x000D_
 Everyone  _x000D_
  _x000D_
### How would you classify this issue?  _x000D_
 Work Impacting</t>
  </si>
  <si>
    <t>Kristin Bell</t>
  </si>
  <si>
    <t>RE: Shortel not working</t>
  </si>
  <si>
    <t>I believe the phones may have just crashed. Kim tried calling and is just getting a busy signal. A lot of people have white icons for Shortel. No calls coming thrugh.
[image]
KRISTIN BELL |ReceptionAdministrator
Alberta Construction Safety Association
225 Parsons Road SW |Â Edmonton ABÂ |Â T6X 0W6
TÂ 780.453.3311 |Â FÂ 780.455.1120 |Â TFÂ 1.800.661.ACSA (2272)
www.youracsa.ca
[cid:image002.png@01D2E5E4.CB6517F0][cid:image004.png@01D2E5E4.CB6517F0][cid:image006.png@01D2E5E4.CB6517F0][cid:image008.png@01D2E5E4.CB6517F0]
[image]</t>
  </si>
  <si>
    <t>Edmonton Public Teachers Local 37 - Internet connections issues</t>
  </si>
  <si>
    <t>### Summary of Issue_x000D_
Edmonton Public Teachers Local 37 - Internet connections issues_x000D_
  _x000D_
### Details of Issue_x000D_
Need to investigate Internet connections issues since moving to the Cloud. Determine if faster speeds are required. Bring the results to Vito._x000D_
  _x000D_
### Have you opened a ticket about this issue before?  _x000D_
 No  _x000D_
  _x000D_
### How many users are impacted by this issue?  _x000D_
 Everyone  _x000D_
  _x000D_
### How would you classify this issue?  _x000D_
 Work Impacting</t>
  </si>
  <si>
    <t>Jorge Bustamante - AMP Financial SPF record pointing to null record</t>
  </si>
  <si>
    <t>### Summary of Issue_x000D_
AMP Financial SPF record pointing to null record_x000D_
  _x000D_
### Details of Issue_x000D_
SPF record for AMP Financial has a null DNS lookup (spam.nextcloud.ca)._x000D_
  _x000D_
### Have you opened a ticket about this issue before?  _x000D_
 No  _x000D_
  _x000D_
### How many users are impacted by this issue?  _x000D_
 One  _x000D_
  _x000D_
### How would you classify this issue?  _x000D_
 Minor Inconvenience</t>
  </si>
  <si>
    <t>[Warning][Network &amp; Virtual Switch] Notification from your device: NRCB-QNAP02</t>
  </si>
  <si>
    <t>[Network &amp; Virtual Switch] Failed to connect to the internet. System default gateway "Adapter 4" and all adapters failed to connect to the internet after checking NCSI.
[Notification Center]
[Warning][Network &amp; Virtual Switch] Notification from your device: NRCB-QNAP02
NAS Name: NRCB-QNAP02
Severity: Warning
Date/Time: 2020/10/26 12:29:57
App Name: Network &amp; Virtual Switch
Category: Infrastructure
Message: [Network &amp; Virtual Switch] Failed to connect to the internet. System default gateway "Adapter 4" and all adapters failed to connect to the internet after checking NCSI.
To configure notification rules, log in to your device and go to                Notification Center &gt; System Notification Rules
Â©2020 QNAP Systems, Inc.</t>
  </si>
  <si>
    <t>Sabrina Sheaves - Receiving excel documents via email</t>
  </si>
  <si>
    <t>### Summary of Issue_x000D_
Receiving excel documents via email_x000D_
  _x000D_
### Details of Issue_x000D_
Hello 
over the last three months I have been sending excel documents to the following email addresses (karen.richards@gov.ab.ca and CS.Reg6GC@gov.ab.ca). They have not received any of the emails. 
Today was informed that I was sent an email from the karen email above which has an excel attachement that I have not received._x000D_
  _x000D_
### Have you opened a ticket about this issue before?  _x000D_
 No  _x000D_
  _x000D_
### How many users are impacted by this issue?  _x000D_
 One  _x000D_
  _x000D_
### How would you classify this issue?  _x000D_
 Work Impacting  _x000D_
  _x000D_
### If your callback number is different than what's on record, please provide it below._x000D_
7806680181</t>
  </si>
  <si>
    <t>FRAP Email - Automatically routed in the SPAM Folder #Urgent Actions Required</t>
  </si>
  <si>
    <t>Dear Support Team,
Following the deployment of SOPHOS, we just noticed all the email sent and received Â from @frap.ca (Email domain) are automatically routed in the SPAM Folder ( like coming from not trust email address).
We need your urgent support to update @frap.ca ( email domain) in the SOPHOS features and add it as trusted email domain to enable us to receive and send our emails normally, and avoid the lost of CRITICAL /IMPORTANT emails from our partners/Customer.
In addition, kindly send us Â the step by step procedure to connect to the SOPHOS Central self service.
We will appreciate your urgent actions and feedback on this critical email issue.
Best Regards
Samuel</t>
  </si>
  <si>
    <t>Matthew Haase</t>
  </si>
  <si>
    <t>FW: Unable to access \\caledmsql01\service$\ server</t>
  </si>
  <si>
    <t>From: Matthew Haase
Sent: October 23, 2020 6:43 AM
To: NDAdmin &lt;Next.Digital@calmont.ca&gt;
Subject: Unable to access \caledmsql01\service$\ server
Good morning. We store a lot of our warranty info on this drive, but as of yesterday Iâ€™m not able to access the server. I did run the updates that were being requested yesterday morning first thing, not sure if thatâ€™s related, but I havenâ€™t been able to access the drive since then.
Matthew Haase
Warranty Administrator
[image]
11403 â€“ 174 Street Edmonton, AB T5S 2P4
Branch: 780-451-2680 Â Â Â Â Â Â Â Â Â Â  Toll Free:1-800-252-7902
Direct: 780-451-2680 ext 1285Â Â Â Â Â Â Â Â Â  Fax: 780-454-5096
Email:matthew.haase@calmont.ca
Website:www.calmont.ca
This email, and any files transmitted with it, are confidential and are intended solely for the use of the individual or entity to which they are addressed. Any unauthorized use or disclosure is prohibited. Please notify the sender if you have received this email in error. Thank you for your co-operation.</t>
  </si>
  <si>
    <t>Toyota Northwest Edmonton</t>
  </si>
  <si>
    <t>Rhonda McEachern</t>
  </si>
  <si>
    <t>parts department phones</t>
  </si>
  <si>
    <t>HELP!!
Our phones are all messed up. Only three of seven phones ring when the parts line calls. Extension 300, 302, 304 and 305 need to be put back on that line please. I have no idea how to fix this , or whom to ask, Â but we are missing calls!!!
Thank you!
Rhonda McEachern
Parts Manager, RSE
Toyota Northwest Edmonton
Phone:780-478-8300
Email: rhonda@can1.ca
Website: www.toyotacustoms.com
To unsubscribe from receiving electronic communications from myself please click Unsubscribe</t>
  </si>
  <si>
    <t>Issue with Quickbook</t>
  </si>
  <si>
    <t>Good day,
We are having issue with QuickBook, the multi-user hosting setup doesnâ€™t seem to work (see error file).Â  Would you please look into it quicky?
[image]
Kind Regards
Martin
[Multotec-Canada-Signature-Portrait-small]Martin Jubinville Eng., M.A.Sc.
Commercial Manager
Multotec Canada
Office: (450) 651-5858 ext. 201
Mobile: (514) 772-3946
Email:martin@multotec.ca
Website:www.multotec.ca
â€œWarning/Disclaimer: This email, including any attachments, is subject to important warnings and disclaimers which are hereby incorporated into this email. The full text of the warnings and disclaimers together with the company particulars are available by clicking on: http://www.multotec.com/content/email-disclaimer"</t>
  </si>
  <si>
    <t>MHK - Signing into Teams inside/outside of RDS simultaneously</t>
  </si>
  <si>
    <t>Hello MNP,
Please advise if it is common to expect problems when signing into Teams in multiple locations (inside RDS and outside/on our device) and how to manage this? â€¦I was able to create a Teams meeting outside of my RDS (after having some problems inside RDS). The msg in the snippet below is inside my RDS and I am not able to sign back in. Please advise. Thanks!
[image]
Nicole Greidanus       
Corporate Digital Solutions
EÂ Â Â Â Â  ngreidanus@mhkinsurance.com
DÂ Â Â Â  587.525.6050Â 
CÂ Â Â Â  780.721.1118
12316-107 Avenue, Edmonton, AB  T5M 1Z1
www.mhkinsurance.com
[image]
[image]
We're here to help with your insurance needs. Emails       and phone calls are still encouraged. Appointments are required for       in-office broker meetings. Please wear a mask when       visiting.
MHK welcomes       e-Transfer payments to banking@mhkinsurance.â€‰com.
If you       receive this email in error, please notify us by reply email and destroy       this message. MHK complies with Canada's Anti-Spam and Alberta's PIPA       Legislations. If you no longer wish to receive emails from MHK, please       reply with 'Unsubscribe' in the subject   line.</t>
  </si>
  <si>
    <t>Nicole Greidanus</t>
  </si>
  <si>
    <t>Urgent: Netwrix Subscription Renewed</t>
  </si>
  <si>
    <t>Hi MNP,
Our Netwrix subscription was supposed to renew October 3, which we signed off for. It looks like we are missing data in our reports from October 3 to current date. Can someone please look into this and ensure we are receiving Netwrix data as we should be.
Thanks,
Nicole
Nicole Greidanus       
Corporate Digital Solutions
EÂ Â Â Â Â  ngreidanus@mhkinsurance.com
DÂ Â Â Â  587.525.6050Â 
CÂ Â Â Â  780.721.1118
12316-107 Avenue, Edmonton, AB  T5M 1Z1
www.mhkinsurance.com
[image]
[image]
We're here to help with your insurance needs. Emails       and phone calls are still encouraged. Appointments are required for       in-office broker meetings. Please wear a mask when       visiting.
MHK welcomes       e-Transfer payments to banking@mhkinsurance.â€‰com.
If you       receive this email in error, please notify us by reply email and destroy       this message. MHK complies with Canada's Anti-Spam and Alberta's PIPA       Legislations. If you no longer wish to receive emails from MHK, please       reply with 'Unsubscribe' in the subject   line.</t>
  </si>
  <si>
    <t>Jorge Bustamante - NTD Down?</t>
  </si>
  <si>
    <t>### Summary of Issue_x000D_
NTD Down?_x000D_
  _x000D_
### Details of Issue_x000D_
Getting a 404 at https://crs.nextdigital.ca/dashboards/nextticket/_x000D_
  _x000D_
### Have you opened a ticket about this issue before?  _x000D_
 No  _x000D_
  _x000D_
### How many users are impacted by this issue?  _x000D_
 Everyone  _x000D_
  _x000D_
### How would you classify this issue?  _x000D_
 Work Impacting</t>
  </si>
  <si>
    <t>Development Environment - potential issues</t>
  </si>
  <si>
    <t>Good morning,
We are trying to get ready to do some testing on some products that are in development and have been stale for a number of months. When we try to connect to the server (IP 204.191.127.133), we experience an error that seems to indicate that the server is unreachable. We have tested using ports 50007, 50006 or 50004, as well as through the attached RDP link file that we were provided, which connects to port 50008. In all cases we receive the following error:
[image]
Can we please have someone take a look at the server and see if it is running, or what ever else the issue may be?
Thank you,
CHRIS GUSNOWSKYÂ |Â Business Analyst
Alberta Construction Safety Association
225 Parsons Road SW |Â Edmonton ABÂ |Â T6X 0W6
TÂ 780.453.3311 ext. 7718 |Â FÂ 780.455.1120 |Â TFÂ 1.800.661.ACSA (2272)
www.youracsa.ca
[image][image][image][image]</t>
  </si>
  <si>
    <t>Field Law - Phone Error "User Assignment - CAS Connection Failure"</t>
  </si>
  <si>
    <t>Hi Dave,
Just putting this on your Radar. We are back with this issue again. So far I have 2 users right now, but there could be few more as Iâ€™m not in office this week to test out.
Thanks.
Kind Regards,
Jaishil R Prasad
[Long View Systems]
Edmonton MITS System Consultant
..................................................................
Mobile: 825.993.4190 |Main: 587.773.7167
Email:Jaishil.Prasad@lvs1.com
From: Jaishil Prasad 
Sent: Tuesday, October 6, 2020 1:23 PM
To: Dave Beharrell &lt;Dave.Beharrell@mnp.ca&gt;
Cc: Paul Rwankole &lt;Paul.Rwankole@lvs1.com&gt;; Ivan Lam &lt;Ivan.Lam@lvs1.com&gt;; Roger Lam &lt;Roger.Lam@lvs1.com&gt;; Kyle Myck &lt;KMyck@fieldlaw.com&gt;
Subject: RE: User Assignment - CAS Connection Failure
Just tried, same issue.
From: Dave Beharrell &lt;Dave.Beharrell@mnp.ca&gt; 
Sent: Tuesday, October 6, 2020 1:21 PM
To: Support - MNP IT Managed Services &lt;support@mnptechnology.ca&gt;; Jaishil Prasad &lt;Jaishil.Prasad@lvs1.com&gt;
Cc: Paul Rwankole &lt;Paul.Rwankole@lvs1.com&gt;; Ivan Lam &lt;Ivan.Lam@lvs1.com&gt;; Roger Lam &lt;Roger.Lam@lvs1.com&gt;; Kyle Myck &lt;KMyck@fieldlaw.com&gt;
Subject: Re: User Assignment - CAS Connection Failure
Email from outside LVS. Donâ€™t click links or open attachments unless sender is recognized and content is safe.
Jaishil,
Reboot your phone and then try to log in again.
Dave Beharrell
Senior Project Specialist
PH.Â +1 7804246398 Ext 328
14505 114th Avenue NW
Edmonton, AB
T5M2Y8
Dave.Beharrell@mnp.ca
mnp.ca
[image]
[image]
[image]
From: Jaishil Prasad &lt;Jaishil.Prasad@lvs1.com&gt;
Sent: Tuesday, October 6, 2020 1:17:51 PM
To: Support - MNP IT Managed Services &lt;support@mnptechnology.ca&gt;
Cc: Dave Beharrell &lt;Dave.Beharrell@mnp.ca&gt;; Paul Rwankole &lt;Paul.Rwankole@lvs1.com&gt;; Ivan Lam &lt;Ivan.Lam@lvs1.com&gt;; Roger Lam &lt;Roger.Lam@lvs1.com&gt;; Kyle Myck &lt;KMyck@fieldlaw.com&gt;
Subject: User Assignment - CAS Connection Failure
CAUTION:This email originated from outside of the MNP network. Be cautious of any embedded links and/or attachments.
MISE EN GARDE:Ce courriel ne provient pas du rÃ©seau de MNP. MÃ©fiez-vous des liens ou piÃ¨ces jointes quâ€™il pourrait contenir.
Hi Team,
Apparently, this is happening to anyone who unassigns extension and wants to assign again. I unassigned my extension to try this out and now Iâ€™m not able to get in - Same error message.
Thanks,
Jay
From: Jaishil Prasad 
Sent: Tuesday, October 6, 2020 9:25 AM
To: Support - MNP IT Managed Services &lt;support@mnptechnology.ca&gt;
Cc: 'Dave Beharrell' &lt;Dave.Beharrell@mnp.ca&gt;
Subject: RE: Roxanne Mendez
We have another user name Danielle Moisseau who is having same issue.
She is an old user.
Thanks,
Jay
From: Jaishil Prasad 
Sent: Tuesday, October 6, 2020 8:57 AM
To: Dave Beharrell &lt;Dave.Beharrell@mnp.ca&gt;
Subject: Roxanne Mendez
Hi Dave,
We have a new user who is having issues getting extension on phone. Please see below error. I have also tried resetting phone to no avail.
[image]
Kind Regards,
Jaishil R Prasad
[Long View Systems]
Edmonton MITS System Consultant
..................................................................
Mobile: 825.993.4190 |Main: 587.773.7167
Email:Jaishil.Prasad@lvs1.com
[image]
This message and any attached documents are only for the use of
the intended recipient(s), are confidential and may contain privileged 
information. Any unauthorized review, use, retransmission, or other 
disclosure is strictly prohibited. If you have received this message in 
error, notify the sender immediately, and delete the original message.
Long View approved for General use
Long View approved for General use
Long View approved for General use</t>
  </si>
  <si>
    <t>David Stevens - Baymag Missing from Screenconnect Access</t>
  </si>
  <si>
    <t>### Summary of Issue_x000D_
Baymag Missing from Screenconnect Access_x000D_
  _x000D_
### Details of Issue_x000D_
Hello,
As of today, Baymag is Missing from Screenconnect Access.. this is our only way into this client environment and I have server updates to do tonight.. 
I'll be re-scheduling the updates, but need them restored as a Company ASAP please.. As we cannot access any servers/PCs without this.._x000D_
  _x000D_
### Have you opened a ticket about this issue before?  _x000D_
 No  _x000D_
  _x000D_
### How many users are impacted by this issue?  _x000D_
 Everyone  _x000D_
  _x000D_
### How would you classify this issue?  _x000D_
 Unable to Work</t>
  </si>
  <si>
    <t>Michael Kwan</t>
  </si>
  <si>
    <t>Michael Kwan - CaseWare update - urgent</t>
  </si>
  <si>
    <t>### Summary of Issue_x000D_
CaseWare update - urgent_x000D_
  _x000D_
### Details of Issue_x000D_
As CaseWare has been updated on Gurmeet Mahalâ€™s machine, we need the rest of the finance teamâ€™s CaseWare applications to be updated as well (Mandy Wang, Kathryn Rebibes and Michael Kwan), as it currently is, because of the different versions we are not all able to access these financial statement files which is preventing us from being able to complete month and year end financial statements._x000D_
  _x000D_
### Have you opened a ticket about this issue before?  _x000D_
 No  _x000D_
  _x000D_
### How many users are impacted by this issue?  _x000D_
 Some  _x000D_
  _x000D_
### How would you classify this issue?  _x000D_
 Work Impacting  _x000D_
  _x000D_
### If your callback number is different than what's on record, please provide it below._x000D_
780-420-4062</t>
  </si>
  <si>
    <t>Mike Farhat - Total-R  - RDS02 C: Drive Expansion</t>
  </si>
  <si>
    <t>### Summary of Issue_x000D_
Total-R  - RDS02 C: Drive Expansion_x000D_
  _x000D_
### Details of Issue_x000D_
-NC-TOTR-RDS02 C: Drive expansion by 30 GB_x000D_
  _x000D_
### Have you opened a ticket about this issue before?  _x000D_
 No  _x000D_
  _x000D_
### How many users are impacted by this issue?  _x000D_
 Everyone  _x000D_
  _x000D_
### How would you classify this issue?  _x000D_
 Work Impacting</t>
  </si>
  <si>
    <t>Robert Simpson</t>
  </si>
  <si>
    <t>Remote Connection not working - Breach attempts</t>
  </si>
  <si>
    <t>Hello
I tried connecting remotely to our cloud this morning and got a message saying my account has been locked because of many login attempts or password change attempts. Neither of those things has occurred unless somebody was trying to hack into the system.
Please advise as to what can be done.
Thank you. 
SentÂ fromÂ myÂ BlackBerryÂ 10Â smartphoneÂ onÂ theÂ RogersÂ network.</t>
  </si>
  <si>
    <t>Daily need password issue is continuing on ND RDS</t>
  </si>
  <si>
    <t>### Summary of Issue_x000D_
Daily need password issue is continuing on ND RDS_x000D_
  _x000D_
### Details of Issue_x000D_
Hey Team,
This is a FYI - the need password issue in outlook is still popping up daily for me.
oddly enough, teams works.. and hasn't had any issues.
The sign out and then sign-in w/ mfs again works, but its a daily interruption._x000D_
  _x000D_
### Have you opened a ticket about this issue before?  _x000D_
 Yes  _x000D_
  _x000D_
### How many users are impacted by this issue?  _x000D_
 One  _x000D_
  _x000D_
### How would you classify this issue?  _x000D_
 Minor Inconvenience</t>
  </si>
  <si>
    <t>Ken Cowie - New ITG Company Inaccessible</t>
  </si>
  <si>
    <t>### Summary of Issue_x000D_
New ITG Company Inaccessible_x000D_
  _x000D_
### Details of Issue_x000D_
A new company called CCS Contracting was set up manually in IT Glue by Dave Beharrel and it is not accessible - appears to be a permissions issue.  ITG Link: https://nextdigital.itglue.com/4740195.  Error message attached.  Unable to work on ticket #1295181 until this is resolved._x000D_
  _x000D_
### Have you opened a ticket about this issue before?  _x000D_
 No  _x000D_
  _x000D_
### How many users are impacted by this issue?  _x000D_
 Some  _x000D_
  _x000D_
### How would you classify this issue?  _x000D_
 Work Impacting</t>
  </si>
  <si>
    <t>File explorer is being weird</t>
  </si>
  <si>
    <t>Hello,
The file explorer is really lagging, and all items on the left bar arenâ€™t even showing up. Not sure whatâ€™s going on but this is impacting a few of us. Hereâ€™s a screen shot of what Iâ€™m talking about.
[image]
Thanks,
[Guylaine Email]</t>
  </si>
  <si>
    <t>Edith Bornau - AlignStaff Wifi is down</t>
  </si>
  <si>
    <t>### Summary of Issue_x000D_
AlignStaff Wifi is down_x000D_
  _x000D_
### Details of Issue_x000D_
Please repair ASAP. Thanks_x000D_
  _x000D_
### Have you opened a ticket about this issue before?  _x000D_
 No  _x000D_
  _x000D_
### How many users are impacted by this issue?  _x000D_
 Everyone  _x000D_
  _x000D_
### How would you classify this issue?  _x000D_
 Work Impacting  _x000D_
  _x000D_
### If your callback number is different than what's on record, please provide it below._x000D_
780 3952990 Lab</t>
  </si>
  <si>
    <t>Jason Ulliac</t>
  </si>
  <si>
    <t>FW: Permissions</t>
  </si>
  <si>
    <t>Can we set a GPO that allows this without permissions?
[image]Â Riccardo Francese
Business Process Manager
T:       +1 (780) 400-7487
C:       +1 (587) 990-0176
F:       +1 (780) 417-6496
E:       RFrancese@siterg.com
W:       WWW.SITERG.COM
#170, 120 Pembina Rd., Sherwood Park, AB, T8H 0M2
The information contained in this e-mail may       contain confidential or privileged material and is intended only for the       stated addressee(s). If you are not the valid addressee, the use,       disclosure, copying or distribution of this information is prohibited and       may be unlawful. If you have received this email message in error, please       notify the sender immediately and delete all copies of the message from       your computer. All information within or opinions expressed in this       message and/or any attachments are those of the author and are not       necessarily those of the Centurion Group.
From: Jason Ulliac &lt;JUlliac@siterg.com&gt;
Sent: Tuesday, October 20, 2020 4:16 PM
To: Riccardo Francese &lt;RFrancese@siterg.com&gt;
Cc: Jason Ulliac &lt;JUlliac@siterg.com&gt;
Subject: Permissions
Riccardo,
When I right click on the little folder in my task bar on the bottom of the screen to quick access some folders I have setup, this screen comes up, I hitch itâ€™s never done before. I know Iâ€™m not the admin but when I enter my login credentials, it says itâ€™s incorrect. When I click no, it just goes back to the regular rds, but it wonâ€™t allow me to access the pinned folders within it. Is there something I can do to change the setting on this?
[image]
[image]
[image]
Jason Ulliac
Project Superintendent
T: +1 (780) 639â€“4844
C: +1 (780) 893-7300
F: +1 (780) 639-4813
E:JUlliac@siterg.com
W:WWW.SITERG.COM
PO Box 210 / Hwy 55, 1 mile West &amp; 1 mile South, Cold Lake, AB, T9M 1P1
The information contained in this e-mail may contain confidential or privileged material and is intended only for the stated addressee(s). If you are not the valid addressee, the use, disclosure, copying or distribution of this information is prohibited and may be unlawful. If you have received this email message in error, please notify the sender immediately and delete all copies of the message from your computer. All information within or opinions expressed in this message and/or any attachments are those of the author and are not necessarily those of the Centurion Group.</t>
  </si>
  <si>
    <t>Terminations</t>
  </si>
  <si>
    <t>Hi
Please disable the following Windows accounts and email, if applicable.
Alex Acuna
Ryan Paczulla
Joren Yabut
Calvin Blewitt
With Thanks,
Cheryl Trenchard, PCP
Human Resources &amp; Payroll Manager
[cid:image001.jpg@01D407CC.BE04B790]
14610 Yellowhead Trail NW Edmonton, AB, T5L 3C5
Branch: 780-482-0281Â Â Â  Cell: 587-930-2091Â Â  Fax: 780-482-0278
Email:cheryl.trenchard@calmont.ca
Website:www.calmont.ca
This email, and any files transmitted with it, are confidential and are intended solely for the use of the individual or entity to which they are addressed. Any unauthorized use or disclosure is prohibited. Please notify the sender if you have received this email in error. Thank you for your co-operation.</t>
  </si>
  <si>
    <t>Cheryl Trenchard - Gabriela Lockwood Access Changes</t>
  </si>
  <si>
    <t>Hi
Please remove access to Gabriela Lockwood for the Finance drive and all Accounting Drives.
If she is in a credit email group, please remove her from that as well.
With Thanks,
Cheryl Trenchard, PCP
Human Resources &amp; Payroll Manager
[cid:image001.jpg@01D407CC.BE04B790]
14610 Yellowhead Trail NW Edmonton, AB, T5L 3C5
Branch: 780-482-0281Â Â Â  Cell: 587-930-2091Â Â  Fax: 780-482-0278
Email:cheryl.trenchard@calmont.ca
Website:www.calmont.ca
This email, and any files transmitted with it, are confidential and are intended solely for the use of the individual or entity to which they are addressed. Any unauthorized use or disclosure is prohibited. Please notify the sender if you have received this email in error. Thank you for your co-operation.</t>
  </si>
  <si>
    <t>Riccardo Francese - Site E3 Connie Stang</t>
  </si>
  <si>
    <t>Shawn Kubiski
Partner
PH. +1 7804246398
14505 114th Avenue NW
Edmonton, AB
T5M2Y8
Shawn.Kubiski@mnp.ca
mnp.ca[image]
[image]
[image]
From: Riccardo Francese &lt;RFrancese@siterg.com&gt;Sent: Monday, October 19, 2020 2:10 PMTo: Sales - MNP IT Managed Services &lt;sales@mnptechnology.ca&gt;Subject: RE: QuoteValet: Thank you for your order - Service Ticket#1292812 - FW: Do you have 2 Dell Monitors? CAUTION:This email originated from outside of the MNP network. Be cautious of any embedded links and/or attachments.MISE EN GARDE:Ce courriel ne provient pas du rÃ©seau de MNP. MÃ©fiez-vous des liens ou piÃ¨ces jointes quâ€™il pourrait contenir.
Can we also get an E3 license for Connie Stang</t>
  </si>
  <si>
    <t>Justin Suttis - WEB3 Server FTP not connecting</t>
  </si>
  <si>
    <t>Hello,
We are experiencing a failure to connect to FTP for our server WEB3, IP 50.57.5.75, hosted by Rackspace.
The messaging I see in the filezilla client is:
Status:Â Â Â Â Â Â Â Â Â Â Â Â  Connecting to 50.57.5.75:14147...
Status:Â Â Â Â Â Â Â Â Â Â Â Â  Connection established, waiting for welcome message...
Status:Â Â Â Â Â Â Â Â Â Â Â Â  Initializing TLS...
Status:Â Â Â Â Â Â Â Â Â Â Â Â  Verifying certificate...
Status:Â Â Â Â Â Â Â Â Â Â Â Â  TLS connection established.
Status:Â Â Â Â Â Â Â Â Â Â Â Â  Logged in
Status:Â Â Â Â Â Â Â Â Â Â Â Â  Retrieving directory listing...
Command:Â Â Â Â  PWD
Response:Â Â Â Â Â Â  257 "/" is current directory.
Command:Â Â Â Â  TYPE I
Response:Â Â Â Â Â Â  200 Type set to I
Command:Â Â Â Â  PASV
Response:Â Â Â Â Â Â  227 Entering Passive Mode (50,57,5,75,194,172)
Command:Â Â Â Â  MLSD
Response:Â Â Â Â Â Â  150 Opening data channel for directory listing of "/"
Error:Â Â Â Â Â Â Â Â Â Â Â Â Â Â  GnuTLS error -18: An error was encountered at the TLS Finished packet calculation.
Error:Â Â Â Â Â Â Â Â Â Â Â Â Â Â  The data connection could not be established: ECONNABORTED - Connection aborted
Response:Â Â Â Â Â Â  426 Connection closed; aborted transfer of "/"
Error:Â Â Â Â Â Â Â Â Â Â Â Â Â Â  Failed to retrieve directory listing
Status:Â Â Â Â Â Â Â Â Â Â Â Â  Connection closed by server
I am working from home, using a VPN to connect to our internal network. It is possible this is causing the issue. I am unable to test without the VPN, as I cannot get to the office at this time.
JUSTIN SUTTISÂ |Â Application Analyst, Information Systems
Alberta Construction Safety Association</t>
  </si>
  <si>
    <t>Jerry Wilkinson - ndcgy-fw01 - File System Check Recommended</t>
  </si>
  <si>
    <t>### Summary of Issue_x000D_
ndcgy-fw01 - File System Check Recommended_x000D_
  _x000D_
### Details of Issue_x000D_
ndcgy-fw01 - File System Check Recommended_x000D_
  _x000D_
### Have you opened a ticket about this issue before?  _x000D_
 No  _x000D_
  _x000D_
### How many users are impacted by this issue?  _x000D_
 Some  _x000D_
  _x000D_
### How would you classify this issue?  _x000D_
 Work Impacting</t>
  </si>
  <si>
    <t>Varel Rock Bits Canada</t>
  </si>
  <si>
    <t>Alexis Kuhn</t>
  </si>
  <si>
    <t>Ad-hoc Request for Varel Rock Bits Canada - Calgary</t>
  </si>
  <si>
    <t>Hello,
We have an issue at a our Calgary location that we need ad hoc / remote hands assistance.
The location is:
Varel Rock Bits Canada
1610-407 2 ST SW
CALGARY, AB
T2P 2Y3
The local contact is:
Colin Oram
Tel: +1 403 830 8375
Mob: +1 403 830 8375
Issue Description: Our Dell hosting server (vcalesx01) appears offline, as if itâ€™s not getting power (to my infrastructure technicians who have tried to view it from the switch etc.).Â  However, the local contact confirms it does have power (and green lights).Â  No errors on the display panel.
[image]
We know the site has network from the ISP as we can get to our Firewall (vcalfw01) â€“ checkpoint 1470/1490 appliance
[image]
Switch (vcalsw01)
[image]
The ISP has confirmed they can see the ModemÂ  (I assume this is the modem â€“ itâ€™s what the end user sent to me)
Ticket with Shaw to verify ISP side CS000029934634
[image]
When we ping the server (or itâ€™s VMâ€™s) from either inside the network or outside we get the following:
[image]
We get this when using IP instead of names as well.
At this point we need a technician onsite to see if they can physically connect with the server and see if it is responsive.Â  Also check the cabling configuration seems OK.Â  We do not have local IT there and I do not know if the end users have moved anything in an attempt to troubleshoot.
I hope this is enough information to create a ticket with you?Â  Â Â I am the IT ServiceDesk manager for the parent company and located in Texas, USA.
Alexis Kuhn
Manager, IT Service Desk
Tel: +1 972 512 0495
Mob: +1 214 609 7016
www.varel.com
[image]
Disclaimer
The information contained in this communication from the sender is confidential. It is intended solely for use by the recipient and others authorized to receive it. If you are not the recipient, you are hereby notified that any disclosure, copying, distribution or taking action in relation of the contents of this information is strictly prohibited and may be unlawful.</t>
  </si>
  <si>
    <t>Mike Yochim</t>
  </si>
  <si>
    <t>Autodesk Subscriptions for 2 - 3 users</t>
  </si>
  <si>
    <t>### What company is this quote for?
Landrex
  _x000D_
### Who should the quote be addressed to?  
 Someone else  
  _x000D_
### Who should it be addressed to?
Mike Yochim
  _x000D_
### Which location is the product for?
Edmonton
  _x000D_
### Which ND location is it needed at?  
 Next Digital Edmonton  
  _x000D_
### When is it needed by OR when is the next site visit for the client's location?  
Mon 26 Oct, 2020  
  _x000D_
### What do you need quoted?
Mike needs a quote for Autodesk AutoCAD subscriptions for 2 -3 users.</t>
  </si>
  <si>
    <t>Daniel Shaw - NC-DSKE-BE01 - D drive</t>
  </si>
  <si>
    <t>### Summary of Issue_x000D_
NC-DSKE-BE01 - D drive_x000D_
  _x000D_
### Details of Issue_x000D_
Submitting for Dan Shaw. Please expand D drive by 20 GBs, OPAL approved via ticket #1294499._x000D_
  _x000D_
### Have you opened a ticket about this issue before?  _x000D_
 No  _x000D_
  _x000D_
### How many users are impacted by this issue?  _x000D_
 Everyone  _x000D_
  _x000D_
### How would you classify this issue?  _x000D_
 Work Impacting</t>
  </si>
  <si>
    <t>Shayna Forseth - spam emails</t>
  </si>
  <si>
    <t>Hey Team,
Can you please look into this issue with Janiking.ca emails getting caught up in the Sophos Spam Filter?
Iâ€™ve attached an example email that Shayna provided.
Please advise Amin and I of your findings..
Thank you,
David
David Stevens
Team Lead, Field Services Technician
PH.Â +1 4036864357
310 - 4000 4 St SE
Calgary,       AB
T2G2W3
David.Stevens@mnp.ca
mnp.ca [image]
[image]
[image]
From: Shayna Forseth &lt;accounting@janiking.ab.ca&gt;
Sent: Friday, October 16, 2020 9:41 AM
To: David Stevens &lt;David.Stevens@mnp.ca&gt;
Cc: 'Deluney, Dawn J-K Canada' &lt;ddeluney@janiking.ca&gt;; 'Murray Oxford ' &lt;murray@janiking.ca&gt;
Subject: Emails hitting Firewall again
CAUTION:This email originated from outside of the MNP network. Be cautious of any embedded links and/or attachments.
MISE EN GARDE: Ce courriel ne provient pas du rÃ©seau de MNP. MÃ©fiez-vous des liens ou piÃ¨ces jointes quâ€™il pourrait contenir.
Good morning David,
I have 3 cases in the last week of Jani-King emails hitting our firewall and ending up in quarantine again. I have ccâ€™d the two people who have hit the firewall so you can please ensure that this does not happen again. These two email addresses are people from our head office and I cannot be reading their emails the next day when I review the quarantine file. Please make sure that they do not hit the firewall again.
Thank you,
[https://ndconnect.nextdigital.ca/v4_6_release/api/inlineimages/nextdigital/d8d6d20e-a99a-4d1a-987e-33b7e7536174]
[Email Signature]
Shayna Forseth
Accounting and Business Development Manager
Regional Director
Concept Management Ltd. o/a Jani-King of Southern Alberta
#1 6320 11th Street SE, Calgary, AB T2H 2L7
Dir: Â Â  (403) 537-9825
Tel: Â Â  (403) 259-0044
Fax:Â Â Â  (403) 259-0008
accounting@janiking.ab.ca
www.janiking.ca
*******************************************************************************</t>
  </si>
  <si>
    <t>ANNELIESE FRIS - Edmonton studio internet connection</t>
  </si>
  <si>
    <t>### Summary of Issue_x000D_
Edmonton studio internet connection_x000D_
  _x000D_
### Details of Issue_x000D_
Edmonton studio internet speed is very poor. Please investigate, this is a recurring problem. Telus speed test shows download 4.8 Mbps upload 0.5 Mbps_x000D_
  _x000D_
### Have you opened a ticket about this issue before?  _x000D_
 No  _x000D_
  _x000D_
### How many users are impacted by this issue?  _x000D_
 Everyone  _x000D_
  _x000D_
### How would you classify this issue?  _x000D_
 Work Impacting</t>
  </si>
  <si>
    <t>St. Albert Public Schools</t>
  </si>
  <si>
    <t>David Denington</t>
  </si>
  <si>
    <t>Callback on previous ticket 1286243</t>
  </si>
  <si>
    <t>### Summary of Issue_x000D_
Paul Kane Hign School_x000D_
  _x000D_
### Details of Issue_x000D_
David from St.Albert Public School Facilities Department called saying that the school is having issues with their after hours mailbox and that room 205 needs their extentioned moved to the library. There was a previous ticket that Terry did for this (ticket 1286243) and the ticket says that everything had been resolved. David says to rebook Terry to go over to the school to ensure everything is indeed working. Please reference work order# 89579 from David when billing for this._x000D_
  _x000D_
### Have you opened a ticket about this issue before?  _x000D_
 Yes  _x000D_
  _x000D_
### How many users are impacted by this issue?  _x000D_
 Everyone  _x000D_
  _x000D_
### How would you classify this issue?  _x000D_
 Work Impacting  _x000D_
  _x000D_
### If your callback number is different than what's on record, please provide it below._x000D_
David's contact number is 780-818-0437</t>
  </si>
  <si>
    <t>Urgent - No access to the cloud for everybody</t>
  </si>
  <si>
    <t>[October 2020 | Multotec Online training workshop]
Guys,Â 
No user this morning can access the cloud this morning.
Would you please look into it urgently?
Please call me on my cell phone 514 772-3946 if needed
Thanks.
Martin
EnvoyÃ© de mon appareil Samsung de Bell via le rÃ©seau le plus vaste au pays.</t>
  </si>
  <si>
    <t>Korden Huberdeau - add 20 GB to RDS server</t>
  </si>
  <si>
    <t>### Summary of Issue_x000D_
add 20 GB to RDS server_x000D_
  _x000D_
### Details of Issue_x000D_
In reference to ticket 1292866 can you please add 20 GB of space to Blue Circle's RDS03_x000D_
  _x000D_
### Have you opened a ticket about this issue before?  _x000D_
 No  _x000D_
  _x000D_
### How many users are impacted by this issue?  _x000D_
 Some  _x000D_
  _x000D_
### How would you classify this issue?  _x000D_
 Other  _x000D_
  _x000D_
### If your callback number is different than what's on record, please provide it below._x000D_
303</t>
  </si>
  <si>
    <t>2020-21 School Rep address book</t>
  </si>
  <si>
    <t>Good morning, can you please change the following in the address book, as they are bouncing back.
Rob.Madunicky@ecsd.net to Robert.Madunicky@ecsd.net
Shelley.Fredrick@ecsd.net to Shelly.Frederick@ecsd.net
Thank you!
Lorna</t>
  </si>
  <si>
    <t>Jaime Marroquin</t>
  </si>
  <si>
    <t>Jaime Marroquin - Virus Notification Keeps Showing Up</t>
  </si>
  <si>
    <t>My computer always telling me that is getting virus and trojan
Can somebody come and see if we need to install anti virus?
Thx
Jaime marroquin</t>
  </si>
  <si>
    <t>Brandi Sutherland -Saving PDF Files on Server</t>
  </si>
  <si>
    <t>When saving PDF files from reports in Sage we get this error when we try to open the attachment in the folder. If we save the exact same report on our desk top and then move it into the folder there is no issue.
Sounds like a permissions issue maybe? All staff are having this issue with the folder.
S:\FA&amp;A\Business Operations\Corporate AP\2020 DSP Invoices\2020 DSP Inv Selected, cheques, reports, approvals
I am out of the office Monday but will be in the office Tuesday if you need to follow up with someone.
Thank you
[image]
[image]Â Brandi Sutherland
Accounts Payable Manager
T:       +1 (780) 639-1335
F:       +1 (780) 639-4813
E:       BSutherland@siterg.com
W:       WWW.SITERG.COM
PO Box 210 / Hwy 55, 1 mile West &amp; 1 mile South, Cold Lake, AB, T9M 1P1
The information contained in this e-mail may       contain confidential or privileged material and is intended only for the       stated addressee(s). If you are not the valid addressee, the use,       disclosure, copying or distribution of this information is prohibited and       may be unlawful. If you have received this email message in error, please       notify the sender immediately and delete all copies of the message from       your computer. All information within or opinions expressed in this       message and/or any attachments are those of the author and are not       necessarily those of the Centurion Group.</t>
  </si>
  <si>
    <t>Alexis Comeau</t>
  </si>
  <si>
    <t>NexSource email compromised</t>
  </si>
  <si>
    <t>Good morning,
So far we know that the jobs@nexsourcepower.com email and the rentals@nexsourcepower.com emails are sending scam emails with an attachment to numerous people inside and outside of the organization. It is asking people to open the attachment and is providing them with a password to open it.
The emails from the jobs email even as â€˜Thanks, Sandyâ€™ on them, and I donâ€™t have such a signature set up.
We are VERY concerned and need this looked at ASAP.
Thank you,
[Alexis Email 2018]</t>
  </si>
  <si>
    <t>James Anderson - Carya - expand C: for NC-CARYA-RDS05</t>
  </si>
  <si>
    <t>### Summary of Issue_x000D_
Carya - expand C: for NC-CARYA-RDS05_x000D_
  _x000D_
### Details of Issue_x000D_
Need to expand the C: on NC-CARYA-RDS05 by  10-20GB.
exisiting ticket 1292868_x000D_
  _x000D_
### Have you opened a ticket about this issue before?  _x000D_
 No  _x000D_
  _x000D_
### How many users are impacted by this issue?  _x000D_
 Everyone  _x000D_
  _x000D_
### How would you classify this issue?  _x000D_
 Work Impacting</t>
  </si>
  <si>
    <t>Gurmeet Mahal</t>
  </si>
  <si>
    <t>Gurmeet Mahal - Caseware</t>
  </si>
  <si>
    <t>### Summary of Issue_x000D_
Caseware_x000D_
  _x000D_
### Details of Issue_x000D_
caseware requiring an update in order for me to open_x000D_
  _x000D_
### Have you opened a ticket about this issue before?  _x000D_
 No  _x000D_
  _x000D_
### How many users are impacted by this issue?  _x000D_
 Some  _x000D_
  _x000D_
### How would you classify this issue?  _x000D_
 Work Impacting  _x000D_
  _x000D_
### If your callback number is different than what's on record, please provide it below._x000D_
780-902-3429</t>
  </si>
  <si>
    <t>Matthew Johnson</t>
  </si>
  <si>
    <t>Caslsurftech.com</t>
  </si>
  <si>
    <t>This is our new website domain and when I am on the network it will not access.Â  Gives FortiGuard Web Page Blocked, Newly observed domain.Â  Previously was able to access.
Need this to screen share with a potential customer this morning.
Matt
Matthew Johnson
President
Corrosion and Abrasion Solutions (USA) Ltd.
21430 Springbridge Drive, Houston, TX 77073
O: 780.461.8333
C: 346.616.4440
F: 780.450.2899
Email:matthew.johnson@casltd.ca
www.casltd.ca
[image]
Disclaimer: This message contains information that may be privileged or confidential and is the property of Corrosion and Abrasion Solutions Ltd. or its subsidiaries. It is intended only for the person to whom it is addressed. If you are not the intended recipient, you are not authorised to read, print, retain, copy disseminate, distribute or use this message or any part thereof. If you receive this message in error, please notify the sender immediately and delete all copies of this message.</t>
  </si>
  <si>
    <t>Exchange self-signed certificate being used for TLS</t>
  </si>
  <si>
    <t>Lance Molnar
Field Services Technician
PH.Â +1 7804246398
14505 114th Avenue NW
Edmonton,       AB
T5M2Y8
Lance.Molnar@mnp.ca
mnp.ca [image]
[image]
[image]
From: Neil Mackie &lt;nmackie@adaandc.com&gt; 
Sent: Wednesday, October 14, 2020 4:13 PM
To: Lance Molnar &lt;Lance.Molnar@mnp.ca&gt;
Subject: exchange self signed certificate being used for TLS
CAUTION:This email originated from outside of the MNP network. Be cautious of any embedded links and/or attachments.
MISE EN GARDE:Ce courriel ne provient pas du rÃ©seau de MNP. MÃ©fiez-vous des liens ou piÃ¨ces jointes quâ€™il pourrait contenir.
Hello Lance,
Iâ€™ve been having trouble getting our new website to use our exchange server to send email. It keeps rejecting the TLS certificate. So I started to use
https://www.checktls.com/TestReceiver to test our server at mail.adaandc.com. It gives the following log (cert errors in yellow)
[000.192]
â€‘â€‘&gt;
STARTTLS
[000.255]
&lt;â€‘â€‘
220 2.0.0 SMTP server ready
[000.255]
STARTTLS command works on this server
[000.423]
Connection converted to SSL
SSLVersion in use: TLSv1_2
Cipher in use: ECDHE-RSA-AES256-SHA384
Perfect Forward Secrecy: yes
Certificate #1 of 1 (sent by MX):
Cert VALIDATION ERROR(S): unable to get local issuer certificate
This may help:What Is An Intermediate Certificate
So email is encrypted but the recipient domain is not verified
Cert Hostname DOES NOT VERIFY (adaandc.com != ADAANDC-MAIL-01.adaandc.local | DNS:ADAANDC-MAIL-01.adaandc.local)
So email is encrypted but the host is not verified
```
Not Valid Before: NovÂ  2 17:46:40 2017 GMT
```
```
Not Valid After: NovÂ  2 17:46:40 2022 GMT
```
subject= /CN=ADAANDC-MAIL-01.adaandc.local
issuer= /CN=ADAANDC-MAIL-01.adaandc.local
[000.425]
~~&gt;
EHLO www11-do.CheckTLS.com
So what I can see here is it is using a certificate that expires on November 2, 2022 (in green). When I look at my exchange certificates this is our self-signed certificate:
[image]
So I attempted to make MAIL-01 use our godaddy certificate for TLS encryption as this should allow our cert to pass and is a best practice. So next I used the exchange powershell to enable the godaddy certificate for SMTP and then removed the self signed certificate from the server and I restarted the Microsoft Transport service. This however just disabled TLS altogether on Mail-01. A test from checktls.com showed that STARTTLS option was no longer available and I was getting an error (Event ID 12014) in the application log of:
Microsoft Exchange could not find a certificate that contains the domain name ADAANDC-MAIL-01.adaandc.local in the personal store on the local computer. Therefore, it is unable to support the STARTTLS SMTP verb for the connector Outbound proxy virtual send connector with a FQDN parameter of ADAANDC-MAIL-01.adaandc.local. If the connector's FQDN is not specified, the computer's FQDN is used. Verify the connector configuration and the installed certificates to make sure that there is a certificate with a domain name for that FQDN. If this certificate exists, run Enable-ExchangeCertificate -Services SMTP to make sure that the Microsoft Exchange Transport service has access to the certificate key.
I tried re-enabling the certificate and this webpagehttps://blogs.blackmarble.co.uk/adawson/2016/03/02/exchange-2013-cert-change-unable-to-support-the-starttls-smtp-verb/Â  and ran these commands:
$certs = Get-ExchangeCertificate -Thumbprint 8D7D47FBF1D7E3B43CF0E5EE4755653DE7C78401
$certinfo = â€œ&lt;I&gt;â€ + $certs[0].issuer + â€œ&lt;S&gt;â€ + $certs[0].subject
Set-ReceiveConnector "Client Frontend ADAANDC-MAIL-01" -TlsCertificateName $certinfo
but couldnâ€™t get it working. So for now Iâ€™ve reverted back to the self-signed certificate but would like to get us onto the godaddy cert.
Any Ideas or can we schedule a tech to set this up? Only on Mail-01 for now and then once working for Mail-04.
What do you think?</t>
  </si>
  <si>
    <t>Paul Duhamel - Tickets not changing status to In Progress when a client replies</t>
  </si>
  <si>
    <t>### Summary of Issue_x000D_
Tickets not changing status to In Progress when a client replies_x000D_
  _x000D_
### Details of Issue_x000D_
- See 1288079
- When a client replies to a ticket (myself, and Shaun G.) the ticket does not revert to In Progress, it stayed in Waiting on Client
- This behaviour is not what was intended, the ticket should go back to In Progress after a reply is received from the client, or anyone for that matter, in order for the NTD to bring it up for the resource to review and update the ticket
- We'll need this looked into sooner rather than later, because if the tickets aren't reverting their status back to In Progress this could also be affecting tickets we have in Waiting on Client for our others clients, which if there isn't a schedule on the resource the ticket will automatically close even if the client responded.
- Please followup with me as we'll need to know how long this behaviour has been in place and possible implications_x000D_
  _x000D_
### Have you opened a ticket about this issue before?  _x000D_
 No  _x000D_
  _x000D_
### How many users are impacted by this issue?  _x000D_
 Everyone  _x000D_
  _x000D_
### How would you classify this issue?  _x000D_
 Work Impacting</t>
  </si>
  <si>
    <t>Lindsey Tait - email not being delivered</t>
  </si>
  <si>
    <t>HERE WE GO AGAIN EMAILS NTO BEING SENT
Lindsey Tait
Service Manager
P: 780-489-8118
C: 780-278-9506
E:ltait@alwaysplumbing.ca
[LOGO11]
From: Microsoft Outlook
Sent: October 14, 2020 9:23 AM
To: Lindsey Tait
Subject: Undeliverable: RE: Claim 1188596
wawasmtp.wawanesa.com rejected your message to the following e-mail addresses:
Robyn E. Pepper (rpepper@wawanesa.com)
wawasmtp.wawanesa.com gave this error:
SPF Fail - Please correct the SPF record for ltait@alwaysplumbing.ca from IP 173.183.139.240
Your message wasn't delivered because the recipient's e-mail provider rejected it.
Diagnostic information for administrators:
Generating server: AP-Exchange-01.always.local
rpepper@wawanesa.com
wawasmtp.wawanesa.com #550 5.7.0 SPF Fail - Please correct the SPF record for ltait@alwaysplumbing.ca from IP 173.183.139.240 ##
Original message headers:
```
Received: from AP-Exchange-01.always.local (192.168.205.11) by
```
```
AP-Exchange-01.always.local (192.168.205.11) with mapi id 14.03.0487.000;
```
```
Wed, 14 Oct 2020 09:23:20 -0600
```
```
From: Lindsey Tait &lt;ltait@alwaysplumbing.ca&gt;
```
```
To: "Robyn E. Pepper" &lt;rpepper@wawanesa.com&gt;
```
```
Subject: RE: Claim 1188596
```
```
Thread-Topic: Claim 1188596
```
```
Thread-Index: AdaiPPCL9+yaPLiaSnKvl251xWpKcwAAPrGA
```
```
Date: Wed, 14 Oct 2020 15:23:19 +0000
```
```
Message-ID: &lt;D8876B1C1B4ECB469618353A3BAC670005940577B1@AP-Exchange-01.always.local&gt;
```
```
References: &lt;MWHPR19MB0032ADF32C1466EBF96B5FCBDC050@MWHPR19MB0032.namprd19.prod.outlook.com&gt;
```
```
In-Reply-To: &lt;MWHPR19MB0032ADF32C1466EBF96B5FCBDC050@MWHPR19MB0032.namprd19.prod.outlook.com&gt;
```
```
Accept-Language: en-US
```
```
Content-Language: en-US
```
```
X-MS-Has-Attach: yes
```
```
X-MS-TNEF-Correlator:
```
```
x-originating-ip: 192.168.205.124
```
```
Content-Type: multipart/related;
```
```
boundary="_005_D8876B1C1B4ECB469618353A3BAC670005940577B1APExchange01a_";
```
```
type="multipart/alternative"
```
```
MIME-Version: 1.0
```</t>
  </si>
  <si>
    <t>Centre Stack</t>
  </si>
  <si>
    <t>So yesterday we started getting this message. I tried entering my info but it did not work. I also checked outside of the cloud and am missing the M drive. I believe all staff are receiving this. Tracy
[image][image]
*******************************
[image]
Tracy Kuehnemuth
Office Coordinator
401-11010 142 St NW
Edmonton, ABÂ  T5N 2R1
780-455-2164</t>
  </si>
  <si>
    <t>Require settings changed on Front Xerox since software update</t>
  </si>
  <si>
    <t>Good evening,
We need to start a ticket for our front Xerox settings to be corrected, some of the settings.Â  Xerox was here today and updated the Xerox machine.Â  The last time the guy was here and did an update we reversed it by bringing in the cloned backup copy because it changed so many settings and it seemed to have done it again.
Everyone should be able to email directly from the front Xerox touch screen without having to log into Copitrak but now copitrak is blocking direct emails.Â  When Blair Geiger tried to email even when we went through copitrak, many settings disappeared from the touch screen.Â  Is there a way for the clone file to be reviewed and the email settings to be returned to what they were previously without having to reverse the software reset?Â  I saved the cloned settings to a drive in the cloud.
Linette Rasmussen
Assistant to Robert Simpson
LRasmussen@dursim.com
Durocher Simpson Koehli &amp; Erler LLP
7904 Gateway Blvd.
Edmonton, AB T6E 6C3
Ph:Â  780-420-6850
Fax:Â 780-425-9185</t>
  </si>
  <si>
    <t>Problem - E4C - Teams licensing</t>
  </si>
  <si>
    <t>### Problems are the causes of incidents. This form is intended to collect identified problems and known issues that exist for a Client. Examples include systemic ISP problems, and reoccurring issues.  _x000D_
  _x000D_
### Which Client has this problem?_x000D_
E4C_x000D_
  _x000D_
### Summarize the nature of the problem?_x000D_
Teams licensing_x000D_
  _x000D_
### Provide below as many ticket numbers of related incidents or service requests as you can_x000D_
1223192, 1282288, 1282169, 1282148, 1281585, 1281529, 1281494, 1281469, etc..._x000D_
  _x000D_
### Provide a full description of the problem and any applicable history relating to it_x000D_
Hello,
A concern came up during our recent meeting about how licensing changes are now handled by OPAL. During this discussion, it was brought to light that E4C's current onboarding documentation/licensing structure does not automatically add Teams licenses (Business Basic licenses) for new users, plus existing ones do not have it. This causes E4C staff to call in right before they need to head into a meeting and need it ASAP.
This would be worth making a standard change for E4C along with adding these steps to the onboarding documentation (and offboarding to remove the license). We would likely have to discuss with the client to make sure we're only assigning things to staff they approve, but in ticket #1223192 Luiza mentions all RDS users should have Teams licenses. Can the team review this and figure out what our strategy for this should be?
Thanks!_x000D_
  _x000D_
### If there is a known workaround to this problem, please provide a link to the IT Glue or KB article describing it:_x000D_
OPAL approval -&gt; add Business Basic license</t>
  </si>
  <si>
    <t>Certify SSL Manager - Action Required - Default Web Site</t>
  </si>
  <si>
    <t>Certify The Web - Certify SSL Manager
Certify SSL Manager - Action Required - Default Web Site
Your managed certificate for server TEST-OPAL-RGW01 has begun renewal for the managed certificate Default Web Site. You are using the manual DNS method for authorization. You should create the following DNS (TXT) record in your DNS settings to continue renewal. Once completed, resume the certificate request within the Certify The Web app.
(Update DNS Manually) :: Please login to your DNS control panel for the domain 'remote.ndlab.ca' and create a new TXT record named: _acme-challenge.remote.ndlab.ca with the value:ErM7PhPhQXZ5uGjCO87_D2oQMnT-uOcCj93_-vo09_Y
Open the Certify The Web app on your server to see more details. If you have added your server instance on your certifytheweb.com dashboard you can also see summary information for all managed certificates there.
You are receiving this email because you use Certify SSL Manager on your web server or have created an account at https://certifytheweb.com.
[image]</t>
  </si>
  <si>
    <t>Linda Tickner</t>
  </si>
  <si>
    <t>Linda Tickner - Need retrival of deleted folder</t>
  </si>
  <si>
    <t>### Summary of Issue_x000D_
Need retrival of deleted folder_x000D_
  _x000D_
### Details of Issue_x000D_
I deleted a folder and all of its contects in error and need it back
R:/Deposits/2020_x000D_
  _x000D_
### Have you opened a ticket about this issue before?  _x000D_
 No  _x000D_
  _x000D_
### How many users are impacted by this issue?  _x000D_
 Some  _x000D_
  _x000D_
### How would you classify this issue?  _x000D_
 Work Impacting  _x000D_
  _x000D_
### If your callback number is different than what's on record, please provide it below._x000D_
403-828-0622</t>
  </si>
  <si>
    <t>Jake Leggo</t>
  </si>
  <si>
    <t>Jake Leggo - ACT issues</t>
  </si>
  <si>
    <t>Hi There, Could I please have someone call our office and Speak with Jake Leggo regarding ACT.Â  He is unable to get the program open. He has rebooted his machine and he is still having no luck.Â  When he opens the program it asks for his login, he enters it and the screen goes grey and then shuts down.Â  This is happening for only two users at this time.Â  Jake Leggo and Zach Mercey.Â  They can be contacted at 780-463-1120.
Thank you,
Becky Hume
[CFP Industries LOGO2017 no slogan]
www.cfpindustries.com
CFP Industries, Inc.
3003 â€“ 121 Avenue N.E.
Edmonton, Alberta T6S 1E6
TF: 877.463.1120
P: 780.463.1120
C: 780.235.2515
F: 780.463.1119
CFP Industries Inc. - Creating value through innovative solutions
Please be informed that due to continued market price volatility caused by existing and/or pending tariff/SIMA assessments, prices and availability are subject to change without notice.
Under company policy, tariff/SIMA assessments are calculated against the product sales price and shall increase or decrease the overall price of product(s) based on the actual tariff/SIMA rate(s) at time of import into Canada as applicable.</t>
  </si>
  <si>
    <t>URGENT: SRG-ESRIGEO</t>
  </si>
  <si>
    <t>Can you please see if this VM is down??
[image]Â Riccardo Francese
Business Process Manager
T:       +1 (780) 400-7487
C:       +1 (587) 990-0176
F:       +1 (780) 417-6496
E:       RFrancese@siterg.com
W:       WWW.SITERG.COM
#170, 120 Pembina Rd., Sherwood Park, AB, T8H 0M2
The information contained in this e-mail may       contain confidential or privileged material and is intended only for the       stated addressee(s). If you are not the valid addressee, the use,       disclosure, copying or distribution of this information is prohibited and       may be unlawful. If you have received this email message in error, please       notify the sender immediately and delete all copies of the message from       your computer. All information within or opinions expressed in this       message and/or any attachments are those of the author and are not       necessarily those of the Centurion Group.</t>
  </si>
  <si>
    <t>Mike Farhat - Blue Circle - Drive Expansion</t>
  </si>
  <si>
    <t>### Summary of Issue_x000D_
Blue Circle - Drive Expansion_x000D_
  _x000D_
### Details of Issue_x000D_
Please expand NC-BCI-Mail02\E: Drive by 30 GB_x000D_
  _x000D_
### Have you opened a ticket about this issue before?  _x000D_
 No  _x000D_
  _x000D_
### How many users are impacted by this issue?  _x000D_
 Everyone  _x000D_
  _x000D_
### How would you classify this issue?  _x000D_
 Work Impacting</t>
  </si>
  <si>
    <t>Emails not being sent out</t>
  </si>
  <si>
    <t>Hi Jason
I noticed that I cannot send out emails this morning. Please look into it for me. 
I am going to the office now. 
Thanks
Ben
Sent from my iPhone</t>
  </si>
  <si>
    <t xml:space="preserve">Maint </t>
  </si>
  <si>
    <t>Check Backup Tape Library Contents</t>
  </si>
  <si>
    <t>Check Backup Tape Library Contents to ensure that the Friday morning long-term tape backup ran and it has data on it.</t>
  </si>
  <si>
    <t>Poundmaker - missing the Sophos Email Gateway Connectors in O365</t>
  </si>
  <si>
    <t>### Summary of Issue_x000D_
Poundmaker is missing the Sophos Email Gateway Connectors in O365_x000D_
  _x000D_
### Details of Issue_x000D_
Poundmaker is missing the Sophos Email Gateway Connectors in O365
These were added when we removed the exchange server, but have been removed since then._x000D_
  _x000D_
### Have you opened a ticket about this issue before?  _x000D_
 No  _x000D_
  _x000D_
### How many users are impacted by this issue?  _x000D_
 Everyone  _x000D_
  _x000D_
### How would you classify this issue?  _x000D_
 Work Impacting</t>
  </si>
  <si>
    <t>Jennifer Kelly</t>
  </si>
  <si>
    <t>Jennifer Kelly - Printer driver installation</t>
  </si>
  <si>
    <t>Hi there,
Our Toshiba printer stopped working for all of us upstairs earlier today. I spoke with Toshiba and he reinstalled the driver on my computer but apparently everyone else will need to have it reinstalled on theirs now too. He saved it onto my desktop for our IT to take care of.
Can we arrange to have this taken care of?
Thank you,
Jennifer Tonne-Kelly
Collections Clerk
[cid:image001.jpg@01D4D5C0.52686F00]
14610 Yellowhead Trail NW Edmonton, AB, T5L 3C5
Branch: 780-454-0491Â Â Â Â  Toll Free: 1-800-363-7819Â Â Â Â  Direct: 780-409-3371Â Â Â Â  Fax: 780-451-5768
Email:jennifer.tonne@calmont.ca
Website:www.calmont.ca
This email, and any files transmitted with it, are confidential and are intended solely for the use of the individual or entity to which they are addressed. Any unauthorized use or disclosure is prohibited. Please notify the sender if you have received this email in error. Thank you for your co-operation.</t>
  </si>
  <si>
    <t>Hello, I am looking to create a user account called â€œCNCâ€ with a specific password.Â  This user id will be used by multiple people when we are working on AutoCAD designs.Â  This user will not have an email address and will not need Account Edge or ACT installed.Â  The idea behind this user id is that I can install a cad program for design here and anyone with the CNC user credentials will be able to access this program.
Thank you,
Becky Hume
[CFP Industries LOGO2017 no slogan]
www.cfpindustries.com
CFP Industries, Inc.
3003 â€“ 121 Avenue N.E.
Edmonton, Alberta T6S 1E6
TF: 877.463.1120
P: 780.463.1120
C: 780.235.2515
F: 780.463.1119
CFP Industries Inc. - Creating value through innovative solutions
Please be informed that due to continued market price volatility caused by existing and/or pending tariff/SIMA assessments, prices and availability are subject to change without notice.
Under company policy, tariff/SIMA assessments are calculated against the product sales price and shall increase or decrease the overall price of product(s) based on the actual tariff/SIMA rate(s) at time of import into Canada as applicable.</t>
  </si>
  <si>
    <t>Paul Duhamel - Write access to the Scheming folder</t>
  </si>
  <si>
    <t>### Summary of Issue_x000D_
Write access to the Scheming folder_x000D_
  _x000D_
### Details of Issue_x000D_
I require write access to the following:
N:\Technical Services\Support Team\Field Techs\Site Visit Schedule\Scheming
I currently only have read access, but require the abililty to create files and edit them in this folder._x000D_
  _x000D_
### Have you opened a ticket about this issue before?  _x000D_
 No  _x000D_
  _x000D_
### How many users are impacted by this issue?  _x000D_
 Some  _x000D_
  _x000D_
### How would you classify this issue?  _x000D_
 Work Impacting</t>
  </si>
  <si>
    <t>Justin Wiebe - SSO - Top Left</t>
  </si>
  <si>
    <t>Good morning,
I donâ€™t have access to Top Left. Tom C and I tried to access it this morning but it wouldnâ€™t let me log in. I tried to reset my password but nothing came through to my email. I kind of need this tool to see what everyone else seeâ€™s in the project group.
Thanks
Justin
Justin Wiebe
Project Specialist
PH.Â +1 7804246398
14505 114th Avenue NW
Edmonton,       AB
T5M2Y8
Justin.Wiebe@mnp.ca
mnp.ca [image]
[image]
[image]</t>
  </si>
  <si>
    <t>Mike Smith-Knutsen  - Internet speed issues at St. Albert office</t>
  </si>
  <si>
    <t>We are having reports from users that their Internet speeds are quite slow. Remoting in, speed tests are showing above average speeds, but we would appreciate it if you could send someone to the office to confirm.
All the drops in the office connect to a 16-port d-link unmanaged switch in our tech closet. It connects to a single port on the LAN segment of our Fortigate. This could be a common point of failure; perhaps power cycling the switch may help or plugging certain users into LAN ports on the Fortigate to see if those users experience the same slowness as the â€œswitchâ€ users?
Thank you.
Mike SK
[Logo]
Mike Smith-Knutsen
Support Analyst
P[Spacer]780-702-8005Â CÂ 250-995-1286
#3540 Manulife Place, 10180-101 Street,
Edmonton, AB T5J 3S4
canadaici.com
Toronto â€¢ Calgary â€¢ Edmonton â€¢ Ottawa â€¢ Winnipeg
[Spacer]
This message and any attachments are confidential. If the reader is not the intended recipient, you are hereby notified that any dissemination, distribution or copying of this email is strictly prohibited. If you have received this email in error, please notify the sender immediately by return email. Internet communications cannot be guaranteed to be secure or error-free as information could be intercepted, corrupted, lost arrive late or contain viruses. The sender does not accept liability for any errors or omissions in the context of this message.</t>
  </si>
  <si>
    <t>RE:  Staff Group Email</t>
  </si>
  <si>
    <t>Good morning,
It appears our staff Group email (staff@pilgrimshospice.com) is not working properly.Â  Please have a look and fix as soon as possible.
Thank you,
Cheryl Waldo
Senior Executive Assistant
Pilgrims Hospice Society
#104, 15023 â€“ 123 Avenue
Edmonton AB T5V 1J7
T.780.413.9801 ext. 110
[image]</t>
  </si>
  <si>
    <t xml:space="preserve">ViewPoint "Switch-To" Issues - All offices </t>
  </si>
  <si>
    <t xml:space="preserve">Hello MNP IT Team,
Could you please provide an update to the â€œSwitch Toâ€¦â€ we are still experiencing in ViewPoint in both offices.
I believe there was a response back to me, however I am unable to locate the email with the reasons for this issue occurring. It has only started in the last 4 â€“ 6 months and causes for a delay when logging into the ViewPoint app and creates additional steps to click with logging in.
The Doctors have asked when this will be resolved. I just need an update from MNP again please.
Thanks,
Melody
[Email Logo Template]
From: Melody Baldry
Sent: August 18, 2020 1:37 PM
To: 'Support - MNP IT Managed Services' &lt;support@mnptechnology.ca&gt;
Cc: Vito Filippi &lt;vfilippi@nextdigital.ca&gt;
Subject: RE: Ticket#1259426/AlignOrthodontics/Corrie - ViewPoint Locking Up -- has been updated
Hello Dan,
Please refer to the recent Tickets on the â€œSwitch Toâ€¦â€ issues in ViewPoint. I believe that this is related to our SHPK database and that Hewes could be next. We may need to be preventative to ensure that this doesnâ€™t happen in Hewes.
I believe Steve Warde has been working on this issue for several weeks.
Melody
Melody Baldry
Manager Align Orthodontics
Edmonton, Alberta, Canada
Direct: 780.395.2999
Edmonton Main: 780.463.5141
Sherwood Park Main: 780.449.6597
www.alignortho.com
[Email Logo Template]
Confidentiality Notice: This message and any attachments are solely for the intended recipient and may contain confidential or privileged information. If you are not the intended recipient, any disclosure, copying, use, or distribution of the information included in this message and any attachment is prohibited. If you have received this communication in error, please notify myself, by reply email and immediately and permanently delete this message and any attachments.
</t>
  </si>
  <si>
    <t>Shelley Rines - web site down - urgent</t>
  </si>
  <si>
    <t>Could you please investigate.
[TOTAL-R LOGO 2017]
Shelley Rines CPA, CA
2808 - 58th Ave. SE
Controller
Calgary, AB T2C 0B3
Direct: 403-984-0840 Cell:403.874-1159
1-877-868-2571
Shelley@total-r.com
TotalSolutions
TotalCommitment
Total Satisfaction</t>
  </si>
  <si>
    <t>Melody Baldry - Align Bookmarks Link</t>
  </si>
  <si>
    <t>Hello MNP,
Please include this link in the Google Chrome Align Bookmarks as:
3M Oral Care
https://auth.occ.3m.com/core/login?signin=fac71104a6d2d9befbbad55d677aa189
Thanks,
Mel
Melody Baldry
Manager Align Orthodontics
Edmonton, Alberta, Canada
Direct: 780.395.2999
Edmonton Main: 780.463.5141
Sherwood Park Main: 780.449.6597
www.alignortho.com
[Email Logo Template]
Confidentiality Notice: This message and any attachments are solely for the intended recipient and may contain confidential or privileged information. If you are not the intended recipient, any disclosure, copying, use, or distribution of the information included in this message and any attachment is prohibited. If you have received this communication in error, please notify myself, by reply email and immediately and permanently delete this message and any attachments.</t>
  </si>
  <si>
    <t>Alicia Lewis - Set up Remote desk Top New laptops</t>
  </si>
  <si>
    <t>### Summary of Issue_x000D_
Set up Remote desk Top New laptops_x000D_
  _x000D_
### Details of Issue_x000D_
Need to have Remote Desktop set up on new laptops for wellness network_x000D_
  _x000D_
### Have you opened a ticket about this issue before?  _x000D_
 No  _x000D_
  _x000D_
### How many users are impacted by this issue?  _x000D_
 Some  _x000D_
  _x000D_
### How would you classify this issue?  _x000D_
 Unable to Work  _x000D_
  _x000D_
### If your callback number is different than what's on record, please provide it below._x000D_
7806993253</t>
  </si>
  <si>
    <t>Roxanne Werbicki</t>
  </si>
  <si>
    <t>Roxanne Werbicki - I use Blackbaud's Raiser's Edge software. It is supposed to be integratre...</t>
  </si>
  <si>
    <t xml:space="preserve">Extended Summary_x000D_
Roxanne Werbicki - I use Blackbaud's Raiser's Edge software. It is supposed to be integratred with MIcorosoft Outlook. There is a Blackbaud for Outlook plug in that has an Add-In Error when I try to use it._x000D_
_x000D_
Description_x000D_
### Summary of Issue_x000D_
I use Blackbaud's Raiser's Edge software. It is supposed to be integratred with MIcorosoft Outlook. There is a Blackbaud for Outlook plug in that has an Add-In Error when I try to use it._x000D_
  _x000D_
### Details of Issue_x000D_
When I click an email address in Blackbaud's Raiser's Edge, it opens up Microsoft Outlook correctly. But then when I click the Blackbaud Icon that's supposed to open a feature that will add an action to the Raiser's Edge record for sending the email, the add-in does not work and shows an error message_x000D_
  _x000D_
### Have you opened a ticket about this issue before?  _x000D_
 No  _x000D_
  _x000D_
### How many users are impacted by this issue?  _x000D_
 One  _x000D_
  _x000D_
### How would you classify this issue?  _x000D_
 Work Impacting  _x000D_
  _x000D_
### If your callback number is different than what's on record, please provide it below._x000D_
587-643-4848_x000D_
</t>
  </si>
  <si>
    <t>Canada ICI Fortigate CPU usage over 80% (critical system alert devid:FGT80ETK18013304 CW-EDM-FW01)</t>
  </si>
  <si>
    <t>DeviceCW-EDM-FW01
Severitycritical
FromFortiAnalyzer(FAZ-VM0000138986)
TriggerCPU_High
Filter
Log Details: logver60idseq187777493820768344
Time Stamp2020-10-06 09:16:27Device IDFGT80ETK18013304
Device NameCW-EDM-FW01Virtual Domainroot
Date2020-10-06Time09:16:27
Log ID0100040704Typeevent
Sub TypesystemLevelnotice
eventtime1601997387Log DescriptionSystem performance statistics
Actionperf-statsCPU87
Memory66Total Session977
Disk0Bandwidth90175/91723
Setup Rate28Disk Log Rate0
FortiAnalyzer Log Rate89MessagePerformance statistics: average CPU: 87, memory:  66, concurrent sessions:  977, setup-rate: 28</t>
  </si>
  <si>
    <t>Cervus - Agriculture</t>
  </si>
  <si>
    <t>Mack Ramsay</t>
  </si>
  <si>
    <t>Printer not printing</t>
  </si>
  <si>
    <t>Hey there,
I am having troubles trying to get our printer to print anything
[image]
Mack Ramsay
MRamsay@cervusequipment.com
Parts Technician
Cervus Equipment, John Deere - Alberta
Highway 12 West, Box 1420Â Stettler, AlbertaÂ T0C 2L0
T 403-742-4427Â Â  |Â Â F 403-742-4625Â Â  |Â Â  www.cervusequipment.com
Powered by the worldâ€™s dominant agricultural, transportation andÂ industrial brands, the Cervus EquipmentÂ namerepresents honesty, innovation and ingenuity. Cervus is listed on the TSX under the symbol â€œCERVâ€.</t>
  </si>
  <si>
    <t>Julie Nadeau - Access to FYI</t>
  </si>
  <si>
    <t>### Summary of Issue_x000D_
Access to FYI_x000D_
  _x000D_
### Details of Issue_x000D_
many of the employee are getting access denied when they try to log in to their FYI since we have migrated_x000D_
  _x000D_
### Have you opened a ticket about this issue before?  _x000D_
 No  _x000D_
  _x000D_
### How many users are impacted by this issue?  _x000D_
 Everyone  _x000D_
  _x000D_
### How would you classify this issue?  _x000D_
 Other</t>
  </si>
  <si>
    <t>Matt Patrick - Calgary Scanner Not Working - Cannot Connect to Server</t>
  </si>
  <si>
    <t>### Summary of Issue_x000D_
Calgary Scanner Not Working - Cannot Connect to Server_x000D_
  _x000D_
### Details of Issue_x000D_
The HP OfficeJet Pro in our Calgary office cannot scan to email.  It was working on Friday.  It errors with "Cannot Connect to Server: Check server and email address"
I checked the web interface http://192.168.105.60 and confirmed the mail server address of smtp.nextdigital.ca and verified my email address.  Same error.
I restarted the printer and power cycled as well as reconnect the device from the patched switch in the back.
Same error.  Cannot scan to email._x000D_
  _x000D_
### Have you opened a ticket about this issue before?  _x000D_
 No  _x000D_
  _x000D_
### How many users are impacted by this issue?  _x000D_
 Some  _x000D_
  _x000D_
### How would you classify this issue?  _x000D_
 Work Impacting</t>
  </si>
  <si>
    <t>Cliff Skocdopole - Outlook inbox drafts</t>
  </si>
  <si>
    <t>So I have discovered that if I do an email draft on the computer and leave it in draft folder it does no show up in the draft folder on my I phone. Is there a way that can be changed so it does?
[Description: New Skocdopole Plow Logo]
Cliff Skocdopole
Skocdopole Construction Ltd.
RR#4 Eckville, Alberta
T0M 0X0
OfficeÂ  403-746-5744
Cellular 403-357-8266
email:cliff@skocdopole.com
web:www.skocdopole.com</t>
  </si>
  <si>
    <t>RE: Lori Ann Hart SAGE Access different</t>
  </si>
  <si>
    <t>Good morning,
Lori Annâ€™s Sage access is different from the other girls. Please ensure that she has the same access as Melissa Rehbein in AP, PO, and JC. Perhaps this was over looked when she was originally hired on and things have changed over the years and her access was never updated? The identifying factor wasShe does not have access to post batches in JC. All of the other AP clerks have access to do so. I would like to ensure that the SAGE AP access is the same for all the girls.
Please feel free to contact me directly to discuss. Lori I have included you on this email to provide feedback or approval if required.
Thank you
[image]Â Brandi Sutherland
Accounts Payable Manager
T:       +1 (780) 639-1335
F:       +1 (780) 639-4813
E:       BSutherland@siterg.com
W:       WWW.SITERG.COM
PO Box 210 / Hwy 55, 1 mile West &amp; 1 mile South, Cold Lake, AB, T9M 1P1
The information contained in this e-mail may       contain confidential or privileged material and is intended only for the       stated addressee(s). If you are not the valid addressee, the use,       disclosure, copying or distribution of this information is prohibited and       may be unlawful. If you have received this email message in error, please       notify the sender immediately and delete all copies of the message from       your computer. All information within or opinions expressed in this       message and/or any attachments are those of the author and are not       necessarily those of the Centurion Group.</t>
  </si>
  <si>
    <t>Lori Ann Hart SAGE Access different</t>
  </si>
  <si>
    <t>Oarrie Oliver - OPAL approved to add 20 GB, server NC-CARYA-BE02, drive C</t>
  </si>
  <si>
    <t>### Summary of Issue_x000D_
OPAL approved to add 20 GB, server NC-CARYA-BE02, drive C_x000D_
  _x000D_
### Details of Issue_x000D_
Need to add 20 GB, server NC-CARYA-BE02, drive C
Reference ticket: 1286735_x000D_
  _x000D_
### Have you opened a ticket about this issue before?  _x000D_
 No  _x000D_
  _x000D_
### How many users are impacted by this issue?  _x000D_
 One  _x000D_
  _x000D_
### How would you classify this issue?  _x000D_
 Other</t>
  </si>
  <si>
    <t>Banditta Prem</t>
  </si>
  <si>
    <t>Banditta Prem - JobBoss</t>
  </si>
  <si>
    <t>Good Morning,
This is a rush request.Â  For some reason we are already logged into JobBoss, and we are unable to log in right now.Â  Could you please log us out so we can log in??
We need to get in asap.
Thank you!
[Signature Updates AUG 2018 F2]</t>
  </si>
  <si>
    <t>Raimund Schwind - Give the new guys ITG write access</t>
  </si>
  <si>
    <t>### Summary of Issue_x000D_
Give the new guys ITG write access_x000D_
  _x000D_
### Details of Issue_x000D_
Please give Oarrie, Justin, Brian, and Kulvinder appropriate access in ITG.  Oarrie needs write access, Justin and Brian will need things like Router Admins, and Kulvinder will need everything that SSSs get.  Please reach out to each of them upon completion of changes.  Start with Oarrie, he needs to record a password._x000D_
  _x000D_
### Have you opened a ticket about this issue before?  _x000D_
 No  _x000D_
  _x000D_
### How many users are impacted by this issue?  _x000D_
 Some  _x000D_
  _x000D_
### How would you classify this issue?  _x000D_
 Work Impacting</t>
  </si>
  <si>
    <t>Sarah Sinclair - Pathway Sync not working</t>
  </si>
  <si>
    <t>### Summary of Issue_x000D_
Pathway Sync not working_x000D_
  _x000D_
### Details of Issue_x000D_
Beginning Oct 1st, the Pathway sync stopped running as scheduled. Could be an error with our Windows date format. 
Per Jovan at Pathway: 
"If there was a recent windows update, they may need to update the short date format and set it to yyyy/mm/dd,
update the password on the scheduled task, if it expired and was recently changed.
Also, please have them add the following sequence for the daily maintenance:
https://power-broker.com/faq/windows-task-scheduler-kill-brow-scheduling/
Users in the office have also reported glitches within the Power Broker application, which is usually an indication of a failure wtihin the scheduled nightly Utilities. 
I can manually run the Pathway sync, but the PB Utilities are run via an Admin access that we do not have. 
Please review and advise._x000D_
  _x000D_
### Have you opened a ticket about this issue before?  _x000D_
 Yes  _x000D_
  _x000D_
### How many users are impacted by this issue?  _x000D_
 Everyone  _x000D_
  _x000D_
### How would you classify this issue?  _x000D_
 Work Impacting  _x000D_
  _x000D_
### If your callback number is different than what's on record, please provide it below._x000D_
Working from home, no access to physical work station within the office until Monday. Calls are forwarded to cell phone.</t>
  </si>
  <si>
    <t>Problem - Lexus of Edmonton - Office 365 licensing</t>
  </si>
  <si>
    <t>### Problems are the causes of incidents. This form is intended to collect identified problems and known issues that exist for a Client. Examples include systemic ISP problems, and reoccurring issues.  _x000D_
  _x000D_
### Which Client has this problem?_x000D_
Lexus of Edmonton_x000D_
  _x000D_
### Summarize the nature of the problem?_x000D_
Office 365 licensing_x000D_
  _x000D_
### Provide below as many ticket numbers of related incidents or service requests as you can_x000D_
1285032_x000D_
  _x000D_
### Provide a full description of the problem and any applicable history relating to it_x000D_
As of a few months ago (from the intel I gathered), all new Lexus machines are being sent out with O365 installed rather than 2013/2016 with retail keys. They were recently migrated to Exchange Online and it has caused some issues with the way Office activates as it wants to use their own account now (which makes perfect sense - this is how MS licensing is supposed to work). Unfortunately this is causing an issue where staff members are no longer able to use their MS365 apps once the program sees they have no license. This is going to keep happening unless we change something.
Rather than being reactive to this problem now and every time a new machine is deployed, can we look into a proactive solution? This would probably be best handled by  the team. It can be something as simple as adding a step in their workstation setup documentation to order a license as soon as we know who it's for.</t>
  </si>
  <si>
    <t>Sylvia Kaminski</t>
  </si>
  <si>
    <t>Sylvia Kaminski - Webpage being blocked by Trend</t>
  </si>
  <si>
    <t>Hi there, this is what we get when we click on the link from the attached news release. (I have pdfâ€™s the news release, so it doesnâ€™t give this exact warning) I can forward you the news release we are talking about if you would like.
[image]
Sylvia G. Kaminski
Sylvia G. Kaminski
Website Coordinator/Field Office Administrator
Natural Resources Conservation Board
100, 5401 1st Avenue South
Lethbridge, Alberta T1J 4V6
Phone: 403-381-5166/403-381-5888
sylvia.kaminski@nrcb.ca
website:www.nrcb.ca</t>
  </si>
  <si>
    <t>Sarah Elliott (Inactive)</t>
  </si>
  <si>
    <t>FW: Outlook Emails &amp; Calendar</t>
  </si>
  <si>
    <t>Hey Team,
Can someone please look into this for Sarah and Eilidh?
I was onsite on Tuesday and provisioned Eilidhâ€™s account as she is taking over for Sarah.
I set up Full access to Sarahâ€™s mailbox, along with mailbox forwarding rules per their request.
Iâ€™ve just gave this a once over and found no issues with how its provisioned in O365..
Thank you,
David
David Stevens
Team Lead, Field Services Technician
PH.Â +1 4036864357
310 - 4000 4 St SE
Calgary,       AB
T2G2W3
David.Stevens@mnp.ca
mnp.ca [image]
[image]
[image]
From: Sarah Elliott &lt;sarahe@janiking.ab.ca&gt; 
Sent: Thursday, October 1, 2020 8:29 AM
To: David Stevens &lt;David.Stevens@mnp.ca&gt;
Cc: Eilidh Moffat &lt;EilidhM@janiking.ab.ca&gt;
Subject: RE: Outlook Emails &amp; Calendar
CAUTION:This email originated from outside of the MNP network. Be cautious of any embedded links and/or attachments.
MISE EN GARDE:Ce courriel ne provient pas du rÃ©seau de MNP. MÃ©fiez-vous des liens ou piÃ¨ces jointes quâ€™il pourrait contenir.
Good morning David,
Today is my last day so the sooner the better for herðŸ˜Š
Thanks so much and have a great day!
Sarah
From: David Stevens &lt;David.Stevens@mnp.ca&gt; 
Sent: October 1, 2020 8:24 AM
To: Sarah Elliott &lt;sarahe@janiking.ab.ca&gt;; David Stevens &lt;dstevens@nextdigital.ca&gt;
Subject: RE: Outlook Emails &amp; Calendar
Good Morning Sarah,
Iâ€™ll see about the calendar import and email access â€“ as that was already provisioned.
Iâ€™ll loop in a colleague who can help out on this as well!
All the best,
David
David Stevens
Team Lead, Field Services Technician
PH.Â +1 4036864357
310 - 4000 4 St SE
Calgary, AB
T2G2W3
David.Stevens@mnp.ca
mnp.ca
[image]
[image]
[image]
From: Sarah Elliott &lt;sarahe@janiking.ab.ca&gt; 
Sent: Wednesday, September 30, 2020 8:36 AM
To: David Stevens &lt;dstevens@nextdigital.ca&gt;
Subject: Outlook Emails &amp; Calendar
CAUTION:This email originated from outside of the MNP network. Be cautious of any embedded links and/or attachments.
MISE EN GARDE:Ce courriel ne provient pas du rÃ©seau de MNP. MÃ©fiez-vous des liens ou piÃ¨ces jointes quâ€™il pourrait contenir.
Good morning David,
We logged onto Eilidhâ€™s user this morning and noticed that her Outlook does have my name for email archives, however none of me emails are in the inbox. My deleted folder is full though? PLZ HELPðŸ˜Š
Also can I import my calendar to hers?
Thanks,
[Email Signature]
Sarah Elliott
Administrative Support / Accounting Support
Ph: (403) 537-9822
Fax: (403) 259-0008
sarahe@janiking.ab.ca
www.janiking.ca</t>
  </si>
  <si>
    <t>Riccardo Francese - Urgent Issues with RDS</t>
  </si>
  <si>
    <t>Hey folks
We are having issues with the RDS. People are saying that outlook is stalling, word isnâ€™t work properly, etc.Â  
Can we maybe look at restarting these or something?Â  Something is off?
Sent from my iPhone
[image]Â Riccardo Francese
Business Process Manager
T:       +1 (780) 400-7487
C:       +1 (587) 990-0176
F:       +1 (780) 417-6496
E:       RFrancese@siterg.com
W:       WWW.SITERG.COM
#170, 120 Pembina Rd., Sherwood Park, AB, T8H 0M2
The information contained in this e-mail may       contain confidential or privileged material and is intended only for the       stated addressee(s). If you are not the valid addressee, the use,       disclosure, copying or distribution of this information is prohibited and       may be unlawful. If you have received this email message in error, please       notify the sender immediately and delete all copies of the message from       your computer. All information within or opinions expressed in this       message and/or any attachments are those of the author and are not       necessarily those of the Centurion Group.</t>
  </si>
  <si>
    <t>Tina Fagan - Server issues</t>
  </si>
  <si>
    <t>We have so many computer and server problems I donâ€™t even know where to begin. Please come see me when you get here!Â 
Sent from iPhone.</t>
  </si>
  <si>
    <t>Oarrie Oliver - OPAL Approved, Expand C drive by 20 GB on Server ASI-MAIL02</t>
  </si>
  <si>
    <t>### Summary of Issue_x000D_
OPAL Approved, Expand C drive by 20 GB on Server ASI-MAIL02_x000D_
  _x000D_
### Details of Issue_x000D_
Reference ticket: 1285073 
Approved to expand 20 GB on the C drive. The server is a VM_x000D_
  _x000D_
### Have you opened a ticket about this issue before?  _x000D_
 No  _x000D_
  _x000D_
### How many users are impacted by this issue?  _x000D_
 One  _x000D_
  _x000D_
### How would you classify this issue?  _x000D_
 Other</t>
  </si>
  <si>
    <t>Some people not getting updates or emails from Manage</t>
  </si>
  <si>
    <t>### Which application has a problem or bug?  _x000D_
 ConnectWise Manage  _x000D_
  _x000D_
### What is the URL or Ticket Number where you are experiencing this problem?_x000D_
various_x000D_
  _x000D_
### Describe the issue._x000D_
Dave and Terry are reporting not recieving emails from Manage when clients update tickets.  Come to think of it, I haven't been getting those emails either, so this may very well be widespread or universal.</t>
  </si>
  <si>
    <t>Jerry Wilkinson - Increase RAM On NDDC-UNIFI01</t>
  </si>
  <si>
    <t>### Summary of Issue_x000D_
Increase RAM On NDDC-UNIFI01_x000D_
  _x000D_
### Details of Issue_x000D_
VM constantly showing high memory alerts. Please shutdown, and increase RAM by 2 GB_x000D_
  _x000D_
### Have you opened a ticket about this issue before?  _x000D_
 No  _x000D_
  _x000D_
### How many users are impacted by this issue?  _x000D_
 Everyone  _x000D_
  _x000D_
### How would you classify this issue?  _x000D_
 Work Impacting</t>
  </si>
  <si>
    <t>RDS Session Reconnect Messages (just after noon today)</t>
  </si>
  <si>
    <t>Hi MNP,
Just starting since late last week or the beginning of this week, Iâ€™m getting the reconnecting message (i.e. the one that says 1 of 5 attempts) for my RDS connection â€“ once or twice a day since it started (it just happened right after noon today â€“ Iâ€™m on server 15). I know this usually happens when Iâ€™m connected at home with WiFi, however, I am connected directly to my booster modem with an ethernet cable so Iâ€™m just concerned that this could be happening due to something going on in MHKâ€™s network. I can keep providing feedback when this happens and what server Iâ€™m on. Wondering if something has been changed within the last few days to cause this to happen with the network. I remember back at the beginning of the year this was happening for some of the servers when we were working in the office (I specifically remember Unique being effect at that time â€“ if that will help reference the old ticket to see why this was happening for internal connections before). I think it may have had to do with something going on with the host server that Unique was on at the time.
Thanks,
Nicole
Nicole Greidanus       
Corporate Digital Solutions
EÂ Â Â Â Â  ngreidanus@mhkinsurance.com
DÂ Â Â Â  587.525.6050Â 
CÂ Â Â Â  780.721.1118
12316-107 Avenue, Edmonton, AB  T5M 1Z1
www.mhkinsurance.com
[image]
[image]
We're here to help with your insurance needs. Emails       and phone calls are still encouraged. Appointments are required for       in-office broker meetings. Please wear a mask when       visiting.
MHK welcomes       e-Transfer payments to banking@mhkinsurance.â€‰com.
If you       receive this email in error, please notify us by reply email and destroy       this message. MHK complies with Canada's Anti-Spam and Alberta's PIPA       Legislations. If you no longer wish to receive emails from MHK, please       reply with 'Unsubscribe' in the subject   line.</t>
  </si>
  <si>
    <t>Windows upgrade</t>
  </si>
  <si>
    <t>We are starting to see this error on some of our computers.
You are running Windows 7 operating system and in 110 days (12/31/2020) you will be unable to launchÂ LightspeedEVO on this computer.Â  You will need to upgrade to a supported operating system, which currently includes:
Windows 8.1
Windows 10
Can I get a quote to update windows on 10 computers? I know most of those computers are old so I don't know if it's an option for all of them.
Thanks.
Steven Eckert
ph: 780-924-3255Â 
Ecko Marine and Powersports
www.eckomarine.com</t>
  </si>
  <si>
    <t>Fieldlaw Mitel Application - Unable to reach your server</t>
  </si>
  <si>
    <t>Hi,
We are having issues with our Mitel application on desktop â€“ says unable to reach your server at fl-shoretel-hq.fieldlaw.com
Desk phones are working fine.
Could you please look into this.
Kind Regards,
Jaishil R Prasad
[Long View Systems]
Edmonton MITS System Consultant
..................................................................
Mobile: 825.993.4190 |Main: 587.773.7167
Email:Jaishil.Prasad@lvs1.com
[image]
This message and any attached documents are only for the use of
the intended recipient(s), are confidential and may contain privileged 
information. Any unauthorized review, use, retransmission, or other 
disclosure is strictly prohibited. If you have received this message in 
error, notify the sender immediately, and delete the original message.
Long View approved for General use</t>
  </si>
  <si>
    <t>Local Email - More</t>
  </si>
  <si>
    <t>It appears that none of the emails we had set up are workingâ€¦
*******************************
[image]
Tracy Kuehnemuth
Office Coordinator
401-11010 142 St NW
Edmonton, ABÂ  T5N 2R1
780-455-2164
From: Teacher Welfare &lt;TeacherWelfare@edpub.org&gt; 
Sent: Wednesday, September 30, 2020 5:33 AM
To: Tracy Kuehnemuth &lt;tracy.kuehnemuth@edpub.org&gt;
Cc: Aaron Kucher (kucher@shaw.ca) &lt;kucher@shaw.ca&gt;
Subject: Re: Thanks for setting up the email, but it doesn't seem to be working
Tracy, I still canâ€™t send any messages from my edpub account to anyone outside edpub.org. Most likely, you will get this message and my home account (kucher@shaw.ca) will not. Further complicating the issue is if someone outside of edpub.org tries to send an email toTeacherWelfare@edpub.org it will not send. Iâ€™ve tried multiple accounts and asked Natasha. Unfortunately and as expected, she was unsuccessful in sending a message or successfully setting up her edpub office 365 account.
[Image.jpeg]
Aaron Kucher
EPT Local 37
TWC Chair
From: Tracy Kuehnemuth &lt;tracy.kuehnemuth@edpub.org&gt;
Sent: Tuesday, September 29, 2020 8:17 AM
To: Teacher Welfare
Cc: Aaron Kucher (kucher@shaw.ca)
Subject: RE: Thanks for setting up the email, but it doesn't seem to be working
Hey Aaron,
It worked. Iâ€™ve logged in as you and I see your One Final Test message.
Microsoft was having a major meltdown late yesterday afternoon. Looks like it should be good to go now? Tracy
*******************************
[image]
Tracy Kuehnemuth
Office Coordinator
401-11010 142 St NW
Edmonton, ABÂ  T5N 2R1
780-455-2164
From: Teacher Welfare &lt;TeacherWelfare@edpub.org&gt; 
Sent: Monday, September 28, 2020 8:27 PM
To: Tracy Kuehnemuth &lt;tracy.kuehnemuth@edpub.org&gt;
Subject: Thanks for setting up the email, but it doesn't seem to be working
Tracy, hopefully you get this message, but I tried to send a test email to my regular home email and it failed to send. I then tried to send an email toTeacherWelfare@edpub.org and it failed.
Aaron Kucher</t>
  </si>
  <si>
    <t>Innovation Physical Therapy Management Inc.</t>
  </si>
  <si>
    <t>Tony Yong</t>
  </si>
  <si>
    <t>Tony Yong - Extremely Slow Network</t>
  </si>
  <si>
    <t>Good morning,
Since the last update of the FortiGate a week and a half ago, there has been a significant lag in using out network this morning is especially slow with trying to access programs. Also, I was in contact with support about a blocked program last week. We are encountering further blocked access this morning. Please have someone follow up to resolve this.Â 
Thank you,
Tony
Anthony Yong, BScPT, FCAMPT, BPE
Innovation Physical TherapyÂ 
Sherwood Park | West Henday |Â Meadowlark
Namao |Â Riverbend |Â Belvedere</t>
  </si>
  <si>
    <t>Alissa Hildahl - No Internet conncetion</t>
  </si>
  <si>
    <t>Hi there,
Some of our computers say we have no internet connection, we do have access to it for some things, but not others.
Alissa Hildahl
R3 Deconstruction &amp; Demolition Inc.
RELATIONSHIPS â€“ RESULTS â€“ REPUTATION
#100-18215 114 Avenue NW, Edmonton
PH: 780-453-3326
Fax: 780-453-3313
www.r3demo.com
Instagram:@r3_demo__abatement
Facebook:R3 Deconstruction
[R3 Banner]</t>
  </si>
  <si>
    <t>Jason Olson</t>
  </si>
  <si>
    <t>No Internet Bobcat of Calgary</t>
  </si>
  <si>
    <t>We have no internet in the office.
Jason Olson 
Sales Manager
Bobcat of Calgary
1-403-837-4338
Jason.olson@calmont.ca</t>
  </si>
  <si>
    <t>Secure Folder in S drive - ECS</t>
  </si>
  <si>
    <t>Hi MNP,
Can you please setup a secure folder in theS drive, within the Personal Lines folder, named ECS. There is currently an ECS folder there. Please use the existing folder if you can apply the following security settings to it, otherwise remove existing and create a new one. Only the following groups/individuals should have access to the ECS folder (and they should have full permission within that folder):
ECS Team
 Christina Sholter
 Colleen Coombs
 Dora Jones
 Kim Heykants
 Meagan Leitch
Management
MHK IT Team
Thanks,
Nicole
Nicole Greidanus       
Corporate Digital Solutions
EÂ Â Â Â Â  ngreidanus@mhkinsurance.com
DÂ Â Â Â  587.525.6050Â 
CÂ Â Â Â  780.721.1118
12316-107 Avenue, Edmonton, AB  T5M 1Z1
www.mhkinsurance.com
[image]
[image]
We're here to help with your insurance needs. Emails       and phone calls are still encouraged. Appointments are required for       in-office broker meetings. Please wear a mask when       visiting.
MHK welcomes       e-Transfer payments to banking@mhkinsurance.com.
If you       receive this email in error, please notify us by reply email and destroy       this message. MHK complies with Canada's Anti-Spam and Alberta's PIPA       Legislations. If you no longer wish to receive emails from MHK, please       reply with 'Unsubscribe' in the subject   line.</t>
  </si>
  <si>
    <t>Raimund Schwind - Check state of voicemail connector in Manage</t>
  </si>
  <si>
    <t>### Summary of Issue_x000D_
Check state of voicemail connector in Manage_x000D_
  _x000D_
### Details of Issue_x000D_
we haven't seen any vms in triage since last week.  Please verify that the connector is actually working._x000D_
  _x000D_
### Have you opened a ticket about this issue before?  _x000D_
 No  _x000D_
  _x000D_
### How many users are impacted by this issue?  _x000D_
 Everyone  _x000D_
  _x000D_
### How would you classify this issue?  _x000D_
 Work Impacting</t>
  </si>
  <si>
    <t>Travis  Blake - WBS email is down</t>
  </si>
  <si>
    <t>Please NOTE. This is in regards to my WBS email account. travis@wbsgroup.ca
Out of nowhere it started asking me for my password. On my iPhone When I go to enter it I get this screen which Iâ€™ve never seen before.Â 
[image]
Travis Blake
President
R3 Deconstruction
18215 114 Ave, EdmontonÂ 
T5S2P6
www.r3demo.com</t>
  </si>
  <si>
    <t>FW: Cannot get onto the Landrex Hub (hub.landrex.com)</t>
  </si>
  <si>
    <t>This is the other message I get:
[image]
HEATHER McLEOD
PROJECT COORDINATOR
T:780.459-5263
F:780.459.1220
220 Summit Plaza 190 Boudreau Road St. Albert AB T8N 6B9// landrex.com
[landrex-esignature]
Private and confidential - The information transmitted is intended only for the person or entity to which it is addressed and may contain proprietary, business-confidential
and/or privileged material.Â  If you are not the intended recipient of this message you are hereby notified that any use, review, retransmission, dissemination, distribution,
reproduction or any action taken in reliance upon this message is prohibited. If you received this in error, please contact the sender and delete the message and any related
attachments or copies.
From: Heather Mcleod
Sent: September 28, 2020 4:02 PM
To: Next Digital Support &lt;support@nextdigital.ca&gt;
Subject: Cannot get onto the Landrex Hub (hub.landrex.com)
Importance: High
[image]
This is what I get when I try to access the Landrex Hub through Chrome.
HEATHER McLEOD
PROJECT COORDINATOR
T:780.459-5263
F:780.459.1220
220 Summit Plaza 190 Boudreau Road St. Albert AB T8N 6B9// landrex.com
[landrex-esignature]
Private and confidential - The information transmitted is intended only for the person or entity to which it is addressed and may contain proprietary, business-confidential
and/or privileged material.Â  If you are not the intended recipient of this message you are hereby notified that any use, review, retransmission, dissemination, distribution,
reproduction or any action taken in reliance upon this message is prohibited. If you received this in error, please contact the sender and delete the message and any related
attachments or copies.</t>
  </si>
  <si>
    <t>Cannot get onto the Landrex Hub (hub.landrex.com)</t>
  </si>
  <si>
    <t>[image]
This is what I get when I try to access the Landrex Hub through Chrome.
HEATHER McLEOD
PROJECT COORDINATOR
T:780.459-5263
F:780.459.1220
220 Summit Plaza 190 Boudreau Road St. Albert AB T8N 6B9// landrex.com
[landrex-esignature]
Private and confidential - The information transmitted is intended only for the person or entity to which it is addressed and may contain proprietary, business-confidential
and/or privileged material.Â  If you are not the intended recipient of this message you are hereby notified that any use, review, retransmission, dissemination, distribution,
reproduction or any action taken in reliance upon this message is prohibited. If you received this in error, please contact the sender and delete the message and any related
attachments or copies.</t>
  </si>
  <si>
    <t>Chris Ippolito - Change permissions for Jon Gulayets</t>
  </si>
  <si>
    <t>### Summary of Issue_x000D_
Change permissions for Jon Gulayets_x000D_
  _x000D_
### Details of Issue_x000D_
Change permission of Jon Gulayets so that he cannot view all ticket in Client Portal_x000D_
  _x000D_
### Have you opened a ticket about this issue before?  _x000D_
 No  _x000D_
  _x000D_
### How many users are impacted by this issue?  _x000D_
 One  _x000D_
  _x000D_
### How would you classify this issue?  _x000D_
 Other</t>
  </si>
  <si>
    <t>Colin Gnyp - Timeclock set up Issue</t>
  </si>
  <si>
    <t>Hello,
I would like assistance getting access to Ideal Insulations IIS Server that is hosting their CeleriTime application as there seems to be issues with adding new employees.
Let me know if you have any questions.
I will be unavailable for the next 30 mins but anytime after that I will be available.
Thanks,
Kyle Bennett
Sierra Workforce Solutions
Office Phone: (916)-673-2165 x 103
From: Teresa Bowes &lt;teresab@idealinsulation.com&gt; 
Sent: Monday, September 28, 2020 10:43 AM
To: Kyle Bennett &lt;KBennett@sierraws.com&gt;
Subject: RE: Timeclock set up Issue (Again)
I have not added any new employees since the Dallas issue, Mike Fowler is the most recent, I turned him to Active and thatâ€™s all I did, everything else was as it should be on his profile.
You will need to contact Mnp, just CC me on the email.
Thank you!
[image]
Teresa Bowes
Insulation Coordinator
teresab@idealinsulation.com
[image]
ATTICS â€¢ ROOFING â€¢ SPRAY FOAM â€¢WALLS
[image]
[image]
[image]
[image]
[image]
[image]
From: Kyle Bennett [mailto:KBennett@sierraws.com] 
Sent: September-28-20 11:38 AM
To: Teresa Bowes &lt;teresab@idealinsulation.com&gt;
Subject: RE: Timeclock set up Issue (Again)
Hey Teresa,
Have you added any other employees since Dallas Forrester? Or is Mike Fowler the most recent employee added?
Just want some background info.
Also, can you get me access to the server or shall I contact MNP?
Thanks,
Kyle Bennett
Sierra Workforce Solutions
Office Phone: (916)-673-2165 x 103
From: Teresa Bowes &lt;teresab@idealinsulation.com&gt; 
Sent: Monday, September 28, 2020 9:09 AM
To: Kyle Bennett &lt;KBennett@sierraws.com&gt;
Subject: Timeclock set up Issue (Again)
Good morning Kyle,
We are having another issue with an Employee not working in the time clock.Â  I made an previous Employee active in the time system, as he is now working for us again, and its coming up with the same error as the last time.
Mike Fowler, heâ€™s in Edmonton, same as last time.
When you have some time can you do your magic and make it work pleaseJ
[image]
Teresa Bowes
Insulation Coordinator
teresab@idealinsulation.com
[image]
ATTICS â€¢ ROOFING â€¢ SPRAY FOAM â€¢WALLS
[image]
[image]
[image]
[image]
[image]
[image]</t>
  </si>
  <si>
    <t>Scanning  - RUSH</t>
  </si>
  <si>
    <t>Hey there,
Seems the big printer outside of accounting in the pre-owned building isnâ€™t wanting to scan papers to send to my email. Restarted it but still not working. Prints out a paper saying â€œcannot displayâ€ after every try.
Best regards,
[image]
Denaya Enyedy | Sales Coordinator | Lexus Of Edmonton
Tel: 780-466-8300 ext. 359 |denyedy@lexusofedmonton.ca
www.lexusofedmonton.ca
[image]
Lexus Of Edmonton family member since 2019</t>
  </si>
  <si>
    <t>Denaya Enyedy</t>
  </si>
  <si>
    <t>PRINTER NOT SCANNING TO EMAIL</t>
  </si>
  <si>
    <t>FW: Foxit Phantom Update</t>
  </si>
  <si>
    <t>Hello,
Can we make it so the users on server Unique do not get the notifications for Foxit Phantom updates? If thatâ€™s possible, will MNP still know when we have Foxit updates available? Is this update something we should be applying right away or putting off?
Thanks,
Nicole
Nicole Greidanus       
Corporate Digital Solutions
EÂ Â Â Â Â  ngreidanus@mhkinsurance.com
DÂ Â Â Â  587.525.6050Â 
CÂ Â Â Â  780.721.1118
12316-107 Avenue, Edmonton, AB  T5M 1Z1
www.mhkinsurance.com
[image]
[image]
We're here to help with your insurance needs. Emails       and phone calls are still encouraged. Appointments are required for       in-office broker meetings. Please wear a mask when       visiting.
MHK welcomes       e-Transfer payments to banking@mhkinsurance.com.
If you       receive this email in error, please notify us by reply email and destroy       this message. MHK complies with Canada's Anti-Spam and Alberta's PIPA       Legislations. If you no longer wish to receive emails from MHK, please       reply with 'Unsubscribe' in the subject   line.
From: Helena McCarthy &lt;HMcCarthy@mhkinsurance.com&gt; 
Sent: Monday, September 28, 2020 8:42 AM
To: MHK IT Team &lt;it@mhkinsurance.com&gt;
Subject: Foxit Phantom Update
Good morning,
I have been receiving a pop-up message when I sign on in the morning, it says â€œFoxit Phantom Update Ready to Installâ€
Is this something that I should be doing on my own desktop, or should this be updated corporately by MNP?
Thanks and regards,
Helena McCarthy CAIB, CIP
Account Manager, Contract Surety, Commercial Lines
EÂ Â Â Â Â HMcCarthy@mhkinsurance.com
DÂ Â Â Â  587.525.6026Â 
12316-107 Avenue, Edmonton, AB T5M 1Z1
www.mhkinsurance.com
[image]
[image]
We're here to help with your insurance needs. Emails and phone calls are still encouraged. Appointments are required for in-office broker meetings. Please wear a mask when visiting.
MHK welcomes e-Transfer payments to banking@mhkinsurance.com.
If you receive this email in error, please notify us by reply email and destroy this message. MHK complies with Canada's Anti-Spam and Alberta's PIPA Legislations. If you no longer wish to receive emails from MHK, please reply with 'Unsubscribe' in the subject line.</t>
  </si>
  <si>
    <t>Oarrie Oliver - Expand/Add 20 GB on server NC-SCL-MAIL01 hard drive. OPAL Approved</t>
  </si>
  <si>
    <t>### Summary of Issue_x000D_
Expand/Add 20 GB on server NC-SCL-MAIL01 hard drive. OPAL Approved_x000D_
  _x000D_
### Details of Issue_x000D_
Reference ticket: Service Ticket #1282362 - DRV - Free Space Remaining Server &lt; 10 GB:3277937 - NC-SCL-MAIL01 12048 D
Approved by OPAL to expand the hard drive by 20 GB on the D drive on server: NC-SCL-MAIL01 for Skocdopole Construction Ltd_x000D_
  _x000D_
### Have you opened a ticket about this issue before?  _x000D_
 No  _x000D_
  _x000D_
### How many users are impacted by this issue?  _x000D_
 One  _x000D_
  _x000D_
### How would you classify this issue?  _x000D_
 Other</t>
  </si>
  <si>
    <t>Shawn Smith - Add Space to F Drive on NC-LSC-BE03</t>
  </si>
  <si>
    <t>### Summary of Issue_x000D_
Add Space to F Drive on NC-LSC-BE03_x000D_
  _x000D_
### Details of Issue_x000D_
We need to add 50GB of space to the sbove listed drive 
Corrisponding tocket 1279747_x000D_
  _x000D_
### Have you opened a ticket about this issue before?  _x000D_
 No  _x000D_
  _x000D_
### How many users are impacted by this issue?  _x000D_
 Everyone  _x000D_
  _x000D_
### How would you classify this issue?  _x000D_
 Other</t>
  </si>
  <si>
    <t>Adobe- File Name too long</t>
  </si>
  <si>
    <t>Good Morning,
We are having issues opening certain files do to the file name being too long. I have attached a snippit of the alert we receive when attempting to open the files.
Please advise as to how to proceed.
Thank you.
[image]
Tiffany Polei
Operations Coordinator
**NEW MAILING &amp; BILLING ADDRESS**
14505 114 Ave NW
Edmonton AB T5M 2Y8
[image]
OfficeÂ Â  780.449.1700
CellÂ Â Â Â Â Â  780.996.5312
14505-114 Avenue NW
Edmonton, ABÂ Â  T5M 2Y8
Tiffany@advancecoating.com</t>
  </si>
  <si>
    <t xml:space="preserve"> Shubhneet Lotay - wifi problems on Moneris Terminal</t>
  </si>
  <si>
    <t xml:space="preserve">Hi Darryl
We are facing issues with wifi in the shipping area, Particularly with the credit card machine. It is a Moneris Core V400m Wireless Terminal.
The machine sits less than 3 feet from the booster and it still doesnâ€™t get wifi.
Can you check on your end if the booster is working properly?
Shubh
</t>
  </si>
  <si>
    <t>Bailey Whitehead</t>
  </si>
  <si>
    <t>Bailey Whitehead - Time Clock Issues</t>
  </si>
  <si>
    <t>Hello,
I received an email from Bailey Whitehead @ Ideal insulation stating their time clocks are having issues.
I would like to schedule a time with you to connect to their server that is hosting this app and make the necessary changes to resolve this issue.
Thanks,
Kyle Bennett
Sierra Workforce Solutions
Office Phone: (916)-673-2165 x 103</t>
  </si>
  <si>
    <t>Wayne Lipsett - Blockage of emails</t>
  </si>
  <si>
    <t>### Summary of Issue_x000D_
Blockage of emails_x000D_
  _x000D_
### Details of Issue_x000D_
We are continuing to find that emails are being blocked.  The latest, that is verifiable, is orders through our Shopify account are not all making it through.  We can see them on the Shopify site, but not all are making it through.  We are also uncertain what else may be blocked._x000D_
  _x000D_
### Have you opened a ticket about this issue before?  _x000D_
 Yes  _x000D_
  _x000D_
### How many users are impacted by this issue?  _x000D_
 Everyone  _x000D_
  _x000D_
### How would you classify this issue?  _x000D_
 Work Impacting</t>
  </si>
  <si>
    <t>Royal Caretaking - Shaw Internet Slower than Advertised</t>
  </si>
  <si>
    <t>### Summary of Issue
Royal Caretaking Speed Test
  _x000D_
### Details of Issue
I have been CC'd on an email for about 3 months working with Shaw to get the internet speeds increase to what was promised by Shaw. The think they have figured out the issue but want someone to run a speed test with a laptop bypassing all of our equipment. This means plugging your laptop directly in to the Shaw Modem. We should be getting atleast 900mbps but they said they are getting 600mbps behind our equipment. I ran a speed test on the server and only got the original 300mbps. So if we can have someone contact Zack to book an outage to run this test and report back to Shawn Parks and myself that would be great. Please let me know if you need any other information before heading on site 
  _x000D_
### Have you opened a ticket about this issue before?  
 No  
  _x000D_
### How many users are impacted by this issue?  
 Everyone  
  _x000D_
### How would you classify this issue?  
 Work Impacting</t>
  </si>
  <si>
    <t>James Anderson - NC-DSKE-BE01 - Expand C: drive</t>
  </si>
  <si>
    <t>### Summary of Issue_x000D_
NC-DSKE-BE01 - Expand C: drive_x000D_
  _x000D_
### Details of Issue_x000D_
The C: drive on NC-DSKE-BE01 often gets alerts of low disk space. Suggest expanding the drive by 20GB._x000D_
  _x000D_
### Have you opened a ticket about this issue before?  _x000D_
 No  _x000D_
  _x000D_
### How many users are impacted by this issue?  _x000D_
 Everyone  _x000D_
  _x000D_
### How would you classify this issue?  _x000D_
 Work Impacting</t>
  </si>
  <si>
    <t>James Anderson - NDDC-FS02 - Expand P: drive</t>
  </si>
  <si>
    <t>### Summary of Issue_x000D_
NDDC-FS02 - Expand P: drive_x000D_
  _x000D_
### Details of Issue_x000D_
The P: drive on NDDC-FS02 has 46.03GB of 749GB. Drive needs to be expanded.
Existing ticket 1280945._x000D_
  _x000D_
### Have you opened a ticket about this issue before?  _x000D_
 No  _x000D_
  _x000D_
### How many users are impacted by this issue?  _x000D_
 Everyone  _x000D_
  _x000D_
### How would you classify this issue?  _x000D_
 Work Impacting</t>
  </si>
  <si>
    <t>Ali Baig</t>
  </si>
  <si>
    <t>Ali Baig - Carya RDS Cloud backup</t>
  </si>
  <si>
    <t>### Summary of Issue_x000D_
Carya RDS Cloud backup_x000D_
  _x000D_
### Details of Issue_x000D_
We're updating Quickbooks tonight, If we can complete a backup of the next cloud environment at Carya prior to my start time at 8PM._x000D_
  _x000D_
### Have you opened a ticket about this issue before?  _x000D_
 No  _x000D_
  _x000D_
### How many users are impacted by this issue?  _x000D_
 Everyone  _x000D_
  _x000D_
### How would you classify this issue?  _x000D_
 Other</t>
  </si>
  <si>
    <t>SITE - Unknown Beeping in Calgary Server Room</t>
  </si>
  <si>
    <t>Can we get this checked out?
[image]Â Riccardo Francese
Business Process Manager
T:       +1 (780) 400-7487
C:       +1 (587) 990-0176
F:       +1 (780) 417-6496
E:       RFrancese@siterg.com
W:       WWW.SITERG.COM
#170, 120 Pembina Rd., Sherwood Park, AB, T8H 0M2
The information contained in this e-mail may       contain confidential or privileged material and is intended only for the       stated addressee(s). If you are not the valid addressee, the use,       disclosure, copying or distribution of this information is prohibited and       may be unlawful. If you have received this email message in error, please       notify the sender immediately and delete all copies of the message from       your computer. All information within or opinions expressed in this       message and/or any attachments are those of the author and are not       necessarily those of the Centurion Group.
From: Jeff Plourde &lt;JPlourde@siterg.com&gt;
Sent: Tuesday, September 22, 2020 1:03 PM
To: Riccardo Francese &lt;RFrancese@siterg.com&gt;
Cc: Kendall O'Regan &lt;KORegan@siterg.com&gt;
Subject: Calgary Office
Hi Riccardo,
Just in the Calgary office today. The server room keeps beeping. Can you ask our IT providers to come take a look at it?
Jeff
[image]
Jeff Plourde
Geomatics Operations Manager
T: +1 (403) 662-2031
C: +1 (403) 815-6658
F: +1 (403) 662-2035
E:JPlourde@siterg.com
W:WWW.SITERG.COM
500 4th Ave SW Suite 1402, Calgary, Alberta, T2P2V6
The information contained in this e-mail may contain confidential or privileged material and is intended only for the stated addressee(s). If you are not the valid addressee, the use, disclosure, copying or distribution of this information is prohibited and may be unlawful. If you have received this email message in error, please notify the sender immediately and delete all copies of the message from your computer. All information within or opinions expressed in this message and/or any attachments are those of the author and are not necessarily those of the Centurion Group.</t>
  </si>
  <si>
    <t>Mike Farhat - Blue Circle Ins. - NC-BCI-DB02\E: drive expansion</t>
  </si>
  <si>
    <t>### Summary of Issue_x000D_
Blue Circle Ins. - NC-BCI-DB02\E: drive expansion_x000D_
  _x000D_
### Details of Issue_x000D_
BCI - NC-BCI-DB02\E: drive expansion by 35 GB_x000D_
  _x000D_
### Have you opened a ticket about this issue before?  _x000D_
 No  _x000D_
  _x000D_
### How many users are impacted by this issue?  _x000D_
 Everyone  _x000D_
  _x000D_
### How would you classify this issue?  _x000D_
 Work Impacting</t>
  </si>
  <si>
    <t>Calgary Number not working again</t>
  </si>
  <si>
    <t>Hello,
Are we able to have someone telnet into the Calgary switch 2c-CGY-T1K at 10.0.21.52 and reboot ASAP. Our Calgary main line is currently down.
Thanks.
Brent SchneiderB.Sc, PMP, CISSP, CISA, CRISC, CISMÂ |Â Manager, Information Systems (IS)
Alberta Construction Safety Association
225 Parsons Road SW |Â Edmonton ABÂ |Â T6X 0W6
TÂ 780.453.3311 ext. 7719 |Â FÂ 780.455.1120 |Â TFÂ 1.800.661.ACSA (2272)
www.youracsa.ca
[image][image][image][image]
[image]
From: Johanna Lavoie &lt;jlavoie@youracsa.ca&gt;
Sent: September 22, 2020 9:14 AM
To: Brent Schneider &lt;BSchneider@youracsa.ca&gt;
Cc: Lindsey Brogan-MacDonald &lt;lbrogan-macdonald@youracsa.ca&gt;; Kristin Bell &lt;kbell@youracsa.ca&gt;; Tiffany Cavner &lt;tcavner@youracsa.ca&gt;
Subject: Calgary Number not working again
Importance: High
HI Brent the Calgary phone number is broken again. It just says â€œall circuits are busyâ€. I tested it just now. A student just told me its been that way for days.
Thank you,
JOHANNA LAVOIEÂ |Â  Reception Administrator
Alberta Construction Safety Association
225 Parsons Road SW |Â Edmonton ABÂ |Â T6X 0W6
TÂ 780.453.3311|Â FÂ 780.455.1120 |Â TFÂ 1.800.661.ACSA (2272)
www.youracsa.ca
[image][image][image][image]
[HelpPreventTheSpread]</t>
  </si>
  <si>
    <t>Michelle Rose - Not able to open Main and Small Boardroom calendars sometimes... why?</t>
  </si>
  <si>
    <t>MNP,
We have a few Other Calendars we have created for all MHK employees to access if needed for viewing room availability for the purpose of booking them. Many times, I am unable to open the Main Boardroom and Small Boardroom calendars, really just since we migrated to 365. I get the screen message as shown below:
[image]
However, with two new calendar we created, Client Meeting Rooms North &amp; South, thereâ€™s never a problem with opening them. Why is this?
Michelle
Michelle Rose       BA
Manager, Communications &amp; Corporate Relations/Human Resources
EÂ Â Â Â Â  mrose@mhkinsurance.com
DÂ Â Â Â  587.525.6047Â 
CÂ Â Â Â  780.983.2976
12316-107 Avenue, Edmonton, AB  T5M 1Z1
www.mhkinsurance.com
[image]
[image]
We're here to help with your insurance needs. Emails       and phone calls are still encouraged. Appointments are required for       in-office broker meetings. Please wear a mask when       visiting.
MHK welcomes       e-Transfer payments to banking@mhkinsurance.â€‰com.
If you       receive this email in error, please notify us by reply email and destroy       this message. MHK complies with Canada's Anti-Spam and Alberta's PIPA       Legislations. If you no longer wish to receive emails from MHK, please       reply with 'Unsubscribe' in the subject   line.</t>
  </si>
  <si>
    <t>FW: Vesta Folder Need Restored</t>
  </si>
  <si>
    <t>This is the folder that I need put back as I accidently deleted what was in here as of Sept 20.
Z:\Branch Files\ES Branch Files\_E-TICKETS\3. For Customer Approval\VESTA
Thanks!
[Crystal Poissant Tickets]
From: Tickets [mailto:tickets@nexsourcepower.com] 
Sent: September 21, 2020 3:30 pm
To: 'Guylaine Genoe' &lt;guylaineg@nexsourcepower.com&gt;
Subject: Vesta Folder Need Restored
Hey Guy,
This is the folder that I need put back as I accidently deleted what was in here.
Z:\Branch Files\ES Branch Files\_E-TICKETS\3. For Customer Approval\VESTA
Thanks!
[Crystal Poissant Tickets]</t>
  </si>
  <si>
    <t>James Anderson - CEA, expand P: drive</t>
  </si>
  <si>
    <t>### Summary of Issue_x000D_
CEA, expand P: drive_x000D_
  _x000D_
### Details of Issue_x000D_
The P: drive on NC-CEA-BE02 needs to be expanded, they are a NC client._x000D_
  _x000D_
### Have you opened a ticket about this issue before?  _x000D_
 No  _x000D_
  _x000D_
### How many users are impacted by this issue?  _x000D_
 Everyone  _x000D_
  _x000D_
### How would you classify this issue?  _x000D_
 Work Impacting</t>
  </si>
  <si>
    <t>CANFIT SQL Backups</t>
  </si>
  <si>
    <t>Hello,
I canâ€™t seem to find where the daily SQL backups for CANFIT are going.Â  None of the maintenance plans execute without an error.Â  Can you please look into it for me?
Thanks,
Raja</t>
  </si>
  <si>
    <t>Amin Esmaeili - Carya - AGM On-Site Assistance</t>
  </si>
  <si>
    <t>### Summary of Issue_x000D_
Carya - AGM On-Site Assistance_x000D_
  _x000D_
### Details of Issue_x000D_
Thursday Sept 24th - 5PM - Carya will be hosting their AGM and their team is requesting on-site presence from 4:30 onwards. Meeting likely to last longer than 30 minutes and so the on-site presence may be needed from 4:30-6:00pm._x000D_
  _x000D_
### Have you opened a ticket about this issue before?  _x000D_
 No  _x000D_
  _x000D_
### How many users are impacted by this issue?  _x000D_
 One  _x000D_
  _x000D_
### How would you classify this issue?  _x000D_
 Other</t>
  </si>
  <si>
    <t>Raimund Schwind - Spencer - Triage merged tickets stay on triage</t>
  </si>
  <si>
    <t>### Summary of Issue_x000D_
Spencer - Triage merged tickets stay on triage_x000D_
  _x000D_
### Details of Issue_x000D_
when tickets are merged on triage, the resulting child tickets remain on the triage board.  Example: Service Ticket #1260684 - Email distribution group.  We need this ticket to be visible from the parent ticket as well.  We're also going to need to find all tickets that are on the triage board in the merged status and figure out if any of them are still relevant._x000D_
  _x000D_
### Have you opened a ticket about this issue before?  _x000D_
 No  _x000D_
  _x000D_
### How many users are impacted by this issue?  _x000D_
 Some  _x000D_
  _x000D_
### How would you classify this issue?  _x000D_
 Work Impacting</t>
  </si>
  <si>
    <t>Sanshia Fernando</t>
  </si>
  <si>
    <t>LOCKED OUT</t>
  </si>
  <si>
    <t>Hello,
I've been out of the dealership for a couple days due to training. We are having issues with extensionsÂ where sales reps get automatically booted out. I need to be able to log back in so I can get this issueÂ resolved ASAP.Â 
Can someone get in touch with me ASAP !Â 
You can call me at 416-751-1530 ext 4705 or 647-335-7494.
Thank You
-- 
Sanshia Fernando
Internet Sales Manager
Scarborough Toyota
1897 Eglinton Ave E
Scarborough, ON M1L 2L6
Desk: (416) 751-1530, ext: 5103
Email:Â sfernando@scarboroughtoyota.ca
[Scarborough Toyota]</t>
  </si>
  <si>
    <t>Online File Sharing</t>
  </si>
  <si>
    <t>Hi MNP Team,
We are looking for a solution for being able to upload patient imaging files in an .stml file to other practices.
In the dental community, we have received files via Hightail and Dropbox.
What is your recommendations?
Melody
*Vacation Alert: I will be away from 12:00pm on Thursday September 24 â€“ Monday September 28, 2020.
Melody Baldry
Manager Align Orthodontics
Edmonton, Alberta, Canada
Direct: 780.395.2999
Edmonton Main: 780.463.5141
Sherwood Park Main: 780.449.6597
www.alignortho.com
[Email Logo Template]
Confidentiality Notice: This message and any attachments are solely for the intended recipient and may contain confidential or privileged information. If you are not the intended recipient, any disclosure, copying, use, or distribution of the information included in this message and any attachment is prohibited. If you have received this communication in error, please notify myself, by reply email and immediately and permanently delete this message and any attachments.</t>
  </si>
  <si>
    <t>Changes to Address Book - school reps 2020-21</t>
  </si>
  <si>
    <t>Hopefully,Â this is coming close to the final changes on this address book.
Please change the following:
Take off:
Kristy McCoy - Kristy.McCoy@ecsd.net
Darcia Sarnecki - Darcia.Sarnecki@ecsd.net
Catherine Borgeson -Â Catherine.Borgeson@ecsd.net
Change:
Carmelina Stagliano - Carmelina.Stagliano@ecsd.net to Carmela.Stagliano@ecsd.net
Add:
Sydney McLeod - Sydney.McLeod@ecsd.net
Lori Houle - Lori.Houle@ecsd.net
Patricia Opyr - Patricia.Opyr@ecsd.net
Laurie Bonanni-McGee - Laurie.Bonanni-McGree@ecsd.net
Thank you again!
Lorna</t>
  </si>
  <si>
    <t>Remote Access - access from home computer</t>
  </si>
  <si>
    <t>Good morning,
I am having issues with accessing RDS from my home computer. It keeps giving me error message that I have to contact my administrator.
Also, our internet and computers are very slow today. I have been waiting for a few websites and I am not able to close the internet pages as they are completely frozen.
Thank you.
JoeyLeslie e4c
Site Manager
Youth Housing Program
JLeslie@e4calberta.org
C780.222.3388
F780.471.2311
Edmonton AB T5H 3T7
e4calberta.org
[image]
This message is intended for the use of the individual or entity to which it is addressed and may contain information that is privileged and confidential. If you are not the intended recipient or the employee responsible for delivery of the message to the intended recipient, please be advised that any dissemination, distribution or copying of this message is strictly prohibited. If you have received this message in error, please notify us immediately by telephone and return the original email to us or destroy this message.
[image]e4c supports environmental conservation - please print wisely.</t>
  </si>
  <si>
    <t>Michelle Rose - Adding more people to acccess Team CCS shared mailbox</t>
  </si>
  <si>
    <t>### Summary of Issue_x000D_
Adding more people to acccess Team CCS shared mailbox_x000D_
  _x000D_
### Details of Issue_x000D_
Please provide additional access to the Team CCS shared mailbox for the following people:
1. Alanna Rast
2. Brad Gaboury
3. Doug Ries
4. Garnett Germain
5. Gordon Selman
6. Heather Leduc
7. Ian Oagles
8. Jeff Homynyk
9. Phil Boivin
Please advise when this work is done so I can communciate with these individuals. Thank you.
Michelle_x000D_
  _x000D_
### Have you opened a ticket about this issue before?  _x000D_
 No  _x000D_
  _x000D_
### How many users are impacted by this issue?  _x000D_
 Some  _x000D_
  _x000D_
### How would you classify this issue?  _x000D_
 Other  _x000D_
  _x000D_
### If your callback number is different than what's on record, please provide it below._x000D_
7809832976</t>
  </si>
  <si>
    <t>Rocky Ridge Retirement</t>
  </si>
  <si>
    <t>Vicki Minard</t>
  </si>
  <si>
    <t>Rocky Ridge Retirement - No Internet</t>
  </si>
  <si>
    <t>You have received a voice mail message from JIM HELD, +14034710902 for mailbox 127.
Message length is 00:00:57. Message size is 451 KB.</t>
  </si>
  <si>
    <t>Wallworks Acoustic Architectural Products Inc.</t>
  </si>
  <si>
    <t>Maint</t>
  </si>
  <si>
    <t>Amin Esmaeili - Wallworks - Dropbox IE11 - EOS</t>
  </si>
  <si>
    <t>### Summary of Issue_x000D_
Wallworks - Dropbox IE11 - EOS_x000D_
  _x000D_
### Details of Issue_x000D_
Wallworks uses Dropbox and there has been a notice sent out that Dropbox is ending IE11 support as of October 2020.
Please review if anyone has/uses IE11 that could run into issues with Dropbox. If so, please inform them of the Dropbox end of support._x000D_
  _x000D_
### Have you opened a ticket about this issue before?  _x000D_
 No  _x000D_
  _x000D_
### How many users are impacted by this issue?  _x000D_
 Some  _x000D_
  _x000D_
### How would you classify this issue?  _x000D_
 Minor Inconvenience</t>
  </si>
  <si>
    <t>MHK Nicole G - Question regarding permissions for previous versions</t>
  </si>
  <si>
    <t>### Summary of Issue_x000D_
MHK Nicole G - Permissions for Previous versions_x000D_
  _x000D_
### Details of Issue_x000D_
While discussing another issue with Nicole, she asked about who could access and use the previous versions feature. There is some concern if it is available to all staff on the shares, and the possiblilty to overwrite live data with older data._x000D_
  _x000D_
### Have you opened a ticket about this issue before?  _x000D_
 No  _x000D_
  _x000D_
### How many users are impacted by this issue?  _x000D_
 Everyone  _x000D_
  _x000D_
### How would you classify this issue?  _x000D_
 Other</t>
  </si>
  <si>
    <t>RE: Copitrak down at Back Office Xerox</t>
  </si>
  <si>
    <t>If I could add, somehow what is going on is also affecting the independent lawyers network connection/wifi way on the other side of the office.Â  One lawyer has stretched a cable from his desktop down the hallway into the server room to connect to the back of the old strathcona law office router so that he can work.
Linette Rasmussen
Assistant to Robert Simpson
LRasmussen@dursim.com
Durocher Simpson Koehli &amp; Erler LLP
7904 Gateway Blvd.
Edmonton, AB T6E 6C3
Ph:Â  780-420-6850
Fax:Â 780-425-91850
From: Linette Rasmussen 
Sent: Thursday, September 17, 2020 10:56 AM
To: Leanne Santerre (help@nextdigital.ca) &lt;help@nextdigital.ca&gt;
Cc: Reception &lt;Reception@dursim.com&gt;
Subject: Copitrak down at Back Office Xerox
Good morning,
Our copitrak is down at the back Xerox and is not recording prints/scans/photocopying at the Xerox.Â  Printing from the computer still brings up the Copitrak pop up screen listing the files.Â  Copitrak is still up at the front Xerox.Â  Can this be fixed?Â  My computer slowed down in the last 10 mins and my screen was freezing but that part seems to be fixed, I was kicked out of the nextcloud and had to completely log back in again.Â  Iâ€™m not sure if this is related?
Natalie at the back, with Jordan are having computer problems as well. Computers are giving slow response time and Nicole canâ€™t log onto Speech Live Dictation.
Help!
Linette Rasmussen
Assistant to Robert Simpson
LRasmussen@dursim.com
Durocher Simpson Koehli &amp; Erler LLP
7904 Gateway Blvd.
Edmonton, AB T6E 6C3
Ph:Â  780-420-6850
Fax:Â 780-425-91850</t>
  </si>
  <si>
    <t>Shelly Kitchen</t>
  </si>
  <si>
    <t>Shelly Kitchen - Unable to send emails from Blue Link</t>
  </si>
  <si>
    <t>Good morning,
Can some one please help us ASAP, we are unable to send emails from Blue Link.
Thank you,
[image]
shelly kitchen Â  Â _inside sales
d:587.393.9462 Â | Â p: 403.287.0808
Shelly.Kitchen@cts-industries.comÂ | Â cts-industries.com</t>
  </si>
  <si>
    <t>Office needs to be installed on Reception computer locally</t>
  </si>
  <si>
    <t>Could we please have our Cloud password changed?
Thank you in advance.
Natalie Sterz
Receptionist
Durocher Simpson Koehli &amp; Erler LLP
Old Strathcona Law Offices
7904 Gateway Boulevard
Edmonton, AB T6E 6C3
780-420-6850 (ph)
780-425-9185 (fax)
reception@dursim.com</t>
  </si>
  <si>
    <t>Michelle Rose - Access to I Drive</t>
  </si>
  <si>
    <t>Hi MNP,
Please give Michelle Rose access to the I drive.
Also, I canâ€™t see a folder called Policies &amp; Procedures that Jana created in the I drive. We met today and discussed this, but I didnâ€™t have a visual of that particular folder on my end. Please advise.
Thanks,
Nicole
Nicole Greidanus       
Corporate Digital Solutions
EÂ Â Â Â Â  ngreidanus@mhkinsurance.com
DÂ Â Â Â  587.525.6050Â 
CÂ Â Â Â  780.721.1118
12316-107 Avenue, Edmonton, AB  T5M 1Z1
www.mhkinsurance.com
[image]
[image]
We're here to help with your insurance needs. Emails       and phone calls are still encouraged. Appointments are required for       in-office broker meetings. Please wear a mask when       visiting.
MHK welcomes       e-Transfer payments to banking@mhkinsurance.â€‰com.
If you       receive this email in error, please notify us by reply email and destroy       this message. MHK complies with Canada's Anti-Spam and Alberta's PIPA       Legislations. If you no longer wish to receive emails from MHK, please       reply with 'Unsubscribe' in the subject   line.</t>
  </si>
  <si>
    <t>Landrex | Multi-factor Authentication - Service Accounts</t>
  </si>
  <si>
    <t>Hello,
Landrex has approved the deployment of Microsoft 365 Multi-factor Authentication (MFA). Currently users have been instructed to self-enroll their mobile devices prior to planned enforcement next week.
Can you inform us if your team has service accounts or tools which may be affected by MFA? We need to determine if any tools are using legacy authentication and if an App password may be required.
Landrex currently utilizes Azure AD Free Tier which does not offer conditional access controls. An option for services accounts is to provision Premium Azure AD license to leverage benefits of conditional access controls to avoid impacting current authentication methods.
Thank you.
Tri-global Support Team
[Tri-global-Logo-(no-tagline-email-signature)]
Transformation through Business Improvement
Tri-global Solutions Group Inc.
Melton Building â€“ 3rd Floor
300, 10310 Jasper Avenue NW
Edmonton, AB T5J 2W4
Office:Â 780.421.1944
Web: https://www.tri-global.com
This email and any files transmitted with it are privileged, confidential, and intended solely for the use of the individual or entity to which they are addressed. Any unauthorized use or disclosure is prohibited. Please notify the sender if you have received this email in error.</t>
  </si>
  <si>
    <t>Rob Rogers</t>
  </si>
  <si>
    <t>Window Update Notice on Thin Client</t>
  </si>
  <si>
    <t>Hello MNP,
Can you please look why Rob Rogers is receiving this message on his thin client? If you need to access his system to troubleshoot, please reach him at 587-349-7475 orrrogers@mhkinsurance.com. Please also keep myself and Rob on this ticket. Thanks!
[Image.jpeg]
Nicole Greidanus       
Corporate Digital Solutions
EÂ Â Â Â Â  ngreidanus@mhkinsurance.com
DÂ Â Â Â  587.525.6050Â 
CÂ Â Â Â  780.721.1118
12316-107 Avenue, Edmonton, AB  T5M 1Z1
www.mhkinsurance.com
[image]
[image]
We're here to help with your insurance needs. Emails       and phone calls are still encouraged. Appointments are required for       in-office broker meetings. Please wear a mask when       visiting.
MHK welcomes       e-Transfer payments to banking@mhkinsurance.â€‰com.
If you       receive this email in error, please notify us by reply email and destroy       this message. MHK complies with Canada's Anti-Spam and Alberta's PIPA       Legislations. If you no longer wish to receive emails from MHK, please       reply with 'Unsubscribe' in the subject   line.</t>
  </si>
  <si>
    <t>Doris Bryan (Inactive)</t>
  </si>
  <si>
    <t>FW: Undelivered Mail Returned to Sender</t>
  </si>
  <si>
    <t>Hi there. I keep getting this same message when I try to send emails to head office. Is there an issue with the server?
Doris
DORIS BRYAN 
R E S I D E N T  M A N A G E R
t. 403-560-3932
5112 Elbow Dr SW
Calgary, Alberta T2V 1H9
info@windsoryyc.com
https://windsoryyc.com/
-----Original Message-----
From: Carolynne Scoffield &lt;Carolynne.Scoffield@arlingtonstreet.ca&gt; 
Sent: September 16, 2020 11:44 AM
To: info@windsoryyc.com
Subject: RE: Undelivered Mail Returned to Sender
If you can reach out to IT at help@nextdigital.ca they can assist. Sorry I'm swamped over here Carla hasnâ€™t been in so I'm doing two ppls jobs sorry
CAROLYNNE SCOFFIELD
E X E C U T I V E  A S S I S T A N T
t. 403-266-5000 Ext. 217 |  c. 587-889-4548 Suite 400, 1550 5 St SW Calgary, Alberta T2R 1K3
-----Original Message-----
From: info@windsoryyc.com &lt;info@windsoryyc.com&gt;
Sent: September 16, 2020 11:35 AM
To: Carolynne Scoffield &lt;Carolynne.Scoffield@arlingtonstreet.ca&gt;
Subject: FW: Undelivered Mail Returned to Sender
I keep getting this message....
-----Original Message-----
From: Mail Delivery System &lt;MAILER-DAEMON@gateway32.websitewelcome.com&gt;
Sent: September 16, 2020 11:33 AM
To: info@windsoryyc.com
Subject: Undelivered Mail Returned to Sender
This is the mail system at host gateway32.websitewelcome.com.
I'm sorry to have to inform you that your message could not be delivered to one or more recipients. It's attached below.
For further assistance, please send mail to postmaster.
If you do so, please include this problem report. You can delete your own text from the attached returned message.
The mail system
&lt;carolynne.scoffield@arlingtonstreet.ca&gt;: host
mx-01-us-west-2.prod.hydra.sophos.com54.201.18.120 said: 554 5.7.1
Service unavailable; Client host 192.185.145.122 is blacklisted. Visit
https://us-west-2.protection.sophos.com?d=sophos.com&amp;u=aHR0cHM6Ly93d3cuc29waG9zLmNvbS9lbi11cy90aHJlYXQtY2VudGVyL2lwLWxvb2t1cC5hc3B4P2lwPTE5Mi4xODUuMTQ1LjEyMg==&amp;e=Y2Fyb2x5bm5lLnNjb2ZmaWVsZEBhcmxpbmd0b25zdHJlZXQuY2E=&amp;t=UTZTRktJZFY0UDIwSndEMURnemwzV2dsSzlpQWdFSk55dSt3Um1MK0VxMD0=&amp;h=7297fc306b18407497f1d739bcfc3cb6
to request delisting (in reply to RCPT TO command)
Important COVID-19 Notice: Please note that we remain OPEN FOR BUSINESS but, as a result of COVID-19, our office is closed to the general public and open to clients by appointment only until further notice. With most of our staff now working remotely, please continue to contact us by email (preferably), or by phone, but note that there may be delays in checking voice messages remotely. We appreciate your continued business and patience during this unprecedented time.
The information in this email and any attachments is sent by ARLINGTON STREET INVESTMENTS and is intended to be confidential and for the use of only the individual or entity named above. The information may be protected by solicitor-client privilege, work product immunity or other legal principles. If the reader of this message is not the intended recipient, you are notified that unauthorized review, retention, dissemination, distribution, copying or other use of or taking any action in reliance upon this information is strictly prohibited. If you received this email in error, please notify us immediately by email reply and delete or destroy this message and any copies</t>
  </si>
  <si>
    <t>Daniel Chan</t>
  </si>
  <si>
    <t>URGENT - Daily Server Interruption at 11PM</t>
  </si>
  <si>
    <t>Good day team,
Please see attached for an error message that pops up regarding the server disconnect. My night shift crew has advised that this occurs every day at 11PM. 
Can you advise what can be done to fix the issue? Ideally, we need access to the server without interruption between 5AM to 1AM the next day.
Thanks,
Daniel Chan
Vice President, Canadian Operations
Corrosion and Abrasion Solutions Ltd.
1604 â€“ 10th Street, Nisku, AB, T9E 0A6
O: 780.461.8333
C: 780.996.5547
F: 780.450.2899
Email:daniel.chan@casltd.ca
www.casltd.ca
[cid:image001.png@01D4019B.487542B0]
Disclaimer: This message contains information that may be privileged or confidential and is the property of Corrosion and Abrasion Solutions Ltd. or its subsidiaries. It is intended only for the person to whom it is addressed. If you are not the intended recipient, you are not authorised to read, print, retain, copy disseminate, distribute or use this message or any part thereof. If you receive this message in error, please notify the sender immediately and delete all copies of this message.</t>
  </si>
  <si>
    <t>Michelle Rose - MHK's RDS Desktop Screensaver Missing</t>
  </si>
  <si>
    <t>### Summary of Issue_x000D_
MHK's RDS Desktop Screensaver Missing_x000D_
  _x000D_
### Details of Issue_x000D_
Can we get our 2020 screensaver back on the RDS desktop_x000D_
  _x000D_
### Have you opened a ticket about this issue before?  _x000D_
 No  _x000D_
  _x000D_
### How many users are impacted by this issue?  _x000D_
 Everyone  _x000D_
  _x000D_
### How would you classify this issue?  _x000D_
 Minor Inconvenience  _x000D_
  _x000D_
### If your callback number is different than what's on record, please provide it below._x000D_
I can also be reached on my cell at 780.983.2976</t>
  </si>
  <si>
    <t>Brent Schneider - Adobe Pro Licenses</t>
  </si>
  <si>
    <t>Hello,
Can you please assign the following users Adobe Pro licenses.
Rachel Forseth &lt;rforseth@youracsa.ca&gt;;
Jessica Mihaly-Lassonde &lt;JMihaly-Lassonde@youracsa.ca&gt;;
Jennifer Nouch &lt;JNouch@youracsa.ca&gt;;
Chris Steel &lt;csteel@youracsa.ca&gt;
Thanks.
Brent SchneiderB.Sc, PMP, CISSP, CISA, CRISC, CISMÂ |Â Manager, Information Systems (IS)
Alberta Construction Safety Association
225 Parsons Road SW |Â Edmonton ABÂ |Â T6X 0W6
TÂ 780.453.3311 ext. 7719 |Â FÂ 780.455.1120 |Â TFÂ 1.800.661.ACSA (2272)
www.youracsa.ca
[image][image][image][image]
[image]</t>
  </si>
  <si>
    <t>CCS Contracting Ltd.</t>
  </si>
  <si>
    <t>Janette Hutt</t>
  </si>
  <si>
    <t>Brenda Raynard - CCS Contracting</t>
  </si>
  <si>
    <t>Good afternoon
Our Calgary branch has been having issues with their phone system completely shutting off and on over the last couple of days. Can you please contact Janette at 403-585-7753 to resolve this issue and confirm back to me.
Thank you
Allison Bent
Office Manager
CCS Contracting Ltd.
PH: 780-481-1776
FAX: 780-481-2818</t>
  </si>
  <si>
    <t>Chris Steel (Inactive)</t>
  </si>
  <si>
    <t>Crm not working</t>
  </si>
  <si>
    <t>[image]
Please let me know if there is anything else that you may need.
Regards,
Chris Steel | COR Administrator
Alberta Construction Safety Association
225 Parsons Road SW |Â Edmonton ABÂ |Â T6X 0W6
TÂ 780.453.3311 ext. 1872 |Â FÂ 780.455.1120 |Â TFÂ 1.800.661.ACSA (2272)
www.youracsa.ca
[cid:image009.png@01D255F0.0CCD9F80][cid:image010.png@01D255F0.0CCD9F80][cid:image011.png@01D255F0.0CCD9F80][cid:image012.png@01D255F0.0CCD9F80]</t>
  </si>
  <si>
    <t>Mick Carroll</t>
  </si>
  <si>
    <t>FW: Website Hosting</t>
  </si>
  <si>
    <t>Please assist Mick in renewing the domain.
Kolyn Anderson
Senior Project Specialist
PH.Â +1 4036864357       Ext 404
310 - 4000 4 St SE
Calgary,       AB
T2G2W3
Kolyn.Anderson@mnp.ca
mnp.ca [image]
[image]
[image]
From: Mick Carroll &lt;mick.carroll12@gmail.com&gt;
Sent: September 15, 2020 3:55 PM
To: Kolyn Anderson &lt;Kolyn.Anderson@mnp.ca&gt;
Cc: Kolyn Anderson &lt;kanderson@nextdigital.ca&gt;; Claire Rosenau &lt;claire.rosenau@ampfinancialinc.com&gt;
Subject: Re: Website Hosting
CAUTION:This email originated from outside of the MNP network. Be cautious of any embedded links and/or attachments.
MISE EN GARDE:Ce courriel ne provient pas du rÃ©seau de MNP. MÃ©fiez-vous des liens ou piÃ¨ces jointes quâ€™il pourrait contenir.
Can you please check that theÂ domain name is still ok, I get this when testing:
[image.png]
On Tue, Sep 15, 2020 at 3:27 PM Kolyn Anderson &lt;Kolyn.Anderson@mnp.ca&gt; wrote:
Hi Mick
Nothing has changed from our end that I am aware of.
Thanks,
Kolyn Anderson
Senior Project Specialist
PH.Â +1 4036864357 Ext 404
310 - 4000 4 St SE
Calgary, AB
T2G2W3
Kolyn.Anderson@mnp.ca
mnp.ca
[image]
[image]
[image]
From: Mick Carroll &lt;mick.carroll12@gmail.com&gt;
Sent: September 15, 2020 3:25 PM
To: Kolyn Anderson &lt;kanderson@nextdigital.ca&gt;
Cc: Claire Rosenau &lt;claire.rosenau@ampfinancialinc.com&gt;
Subject: Re: Website Hosting
CAUTION:This email originated from outside of the MNP network. Be cautious of any embedded links and/or attachments.
MISE EN GARDE:Ce courriel ne provient pas du rÃ©seau de MNP. MÃ©fiez-vous des liens ou piÃ¨ces jointes quâ€™il pourrait contenir.
Hi Kolyn,
I was just seeing if anything has changed with the purenorth.ca domain name?
The site seems to be down, so wantedÂ to check the GoDaddy side first.
Thanks,
Mick
On Fri, May 15, 2020 at 9:27 AM Kolyn Anderson &lt;kanderson@nextdigital.ca&gt; wrote:
Done. TTL is at 30mins so could take a fewâ€¦
[Logo]
Kolyn AndersonÂ |Â Senior Project SpecialistÂ |Â p-403.686.HELP-(4357)Â |Â Â tf-1.888.224.5770Â |Â Â nextdigital.ca
From: Mick Carroll &lt;mick.carroll12@gmail.com&gt;
Sent: May 15, 2020 9:26 AM
To: Kolyn Anderson &lt;kanderson@nextdigital.ca&gt;
Subject: Re: Website Hosting
Perfect.
Can you please point the A record toÂ 35.209.87.79
Thanks
On Fri, May 15, 2020 at 9:15 AM Kolyn Anderson &lt;kanderson@nextdigital.ca&gt; wrote:
Looks like the root (purenorth.ca) is an A record and the www is a cname. So its got both but it looks like the root is the one thatâ€™s being used.
[Logo]
Kolyn AndersonÂ |Â Senior Project SpecialistÂ |Â p-403.686.HELP-(4357)Â |Â Â tf-1.888.224.5770Â |Â Â nextdigital.ca
From: Mick Carroll &lt;mick.carroll12@gmail.com&gt;
Sent: May 15, 2020 9:09 AM
To: Kolyn Anderson &lt;kanderson@nextdigital.ca&gt;
Subject: Re: Website Hosting
Thanks, will do.
Is the domain www.purenorth.ca or just purenorth.ca ?
On Fri, May 15, 2020 at 8:55 AM Kolyn Anderson &lt;kanderson@nextdigital.ca&gt; wrote:
Hi Mick,
If you can send over what you need added we can do it right away.
Thanks,
[Logo]
Kolyn AndersonÂ  |Â Senior Project SpecialistÂ |Â p-403.686.HELP-(4357)Â |Â Â tf-1.888.224.5770Â |Â Â nextdigital.ca
From: Mick Carroll &lt;mick.carroll12@gmail.com&gt;
Sent: May 15, 2020 6:41 AM
To: Kolyn Anderson &lt;kanderson@nextdigital.ca&gt;
Subject: Re: Website Hosting
MorningÂ Kolyn,
I just need to add some DNS records to point to the new hosting server. If you could delegate me access or I can give you the DNS records information.
Thanks,
Mick
On Thu, May 14, 2020 at 5:18 PM Kolyn Anderson &lt;kanderson@nextdigital.ca&gt; wrote:
Hi Mick,
It has been moved into the AMP godaddy account. So we are handling it now yes. Is there something we can help out with?
[Logo]
Kolyn AndersonÂ  |Â Senior Project SpecialistÂ |Â p-403.686.HELP-(4357)Â |Â Â tf-1.888.224.5770Â |Â Â nextdigital.ca
From: Mick Carroll &lt;mick.carroll12@gmail.com&gt;
Sent: May 14, 2020 5:15 PM
Cc: Kolyn Anderson &lt;kanderson@nextdigital.ca&gt;
Subject: Re: Website Hosting
Hi Kolyn,
I've been tasked with moving the website hosting and was wondering if you guys are handling the domain (purenorth.ca) now?
I do...</t>
  </si>
  <si>
    <t>Possible power outage at our building Sept 16, 2020</t>
  </si>
  <si>
    <t>Hello Helpdesk,
Please be advised Highline Electrical will be onsite on Wednesday September 16, 2020 from 6:00pm â€“ 2:00am replacing the panel on the Generator at Atrium I (Caryaâ€™s downtown office).
As power may be down during the above noted times, please ensure that any equipment that may be affected is attended to, to ensure proper functioning when the power is restored.Â  For example, if this is going to cause an issue with our phone system, please ensure that the necessary steps are taken so that we don't have a service interruption the following morning.
Thanks,
Joey
[image]
Joanne Chaloner
Accountant
T: 403-205-5270 | E: JoanneC@caryacalgary.ca|F: 403-205-5273
180, 839 5 Ave SW | Calgary, AB | T2P 3C8
[image]Â [image][instagram-1675670]Â [image]
carya (formerly Calgary Family Services)
Stay up to date with the latest carya news, programs, and events by signing up for ourmonthly newsletter.
In the spirit of our efforts to promote reconciliation, we acknowledge the traditional territories and oral practices of the Blackfoot, the Tsuut'ina, the Stoney Nakoda First Nations, the MÃ©tis Nation Region 3, and all people who make their homes in the Treaty 7 region of Southern Alberta. We also respectfully acknowledge that the province of Alberta is comprised of Treaty 6, Treaty 7, and Treaty 8 territory, the traditional lands of First Nations and MÃ©tis peoples.
No form of electronic communication is secure and may be intercepted by others. Carya cannot guarantee the receipt of electronic communication nor a timely response. Where communication is confidential or time sensitive we recommend you call 403-269-9888 during business hours (Monday-Friday, 8:30am-4:30pm). For immediate crisis response please contact the Distress Centre Crisis Line at 403-266-HELP (4537) and in case of an emergency dial 911.
This e-mail is intended solely for the person or entity to which it is addressed and may contain confidential and/or privileged information. Any review, dissemination, copying, printing, forwarding or other use of this e-mail by persons or entities other than the addressee is prohibited. If you have received this e-mail in error, please contact the sender immediately and delete the material from your computer.</t>
  </si>
  <si>
    <t>Danielle Harris</t>
  </si>
  <si>
    <t>Itero Machines not connecting to proper wifi.</t>
  </si>
  <si>
    <t>Had discussed this with Faizel Janmohamed last week in our Sherwood Park office now having issues with our Itero machines connecting to Itero Wifi when they should be connecting to Align Net Wifi.  _x000D_
  _x000D_
Can reach me at Our Hewes office - 780-463-5141.  _x000D_
  _x000D_
Thanks,  _x000D_
Danielle</t>
  </si>
  <si>
    <t>Multiple Staff - Email Issue</t>
  </si>
  <si>
    <t>Hi Jason,
One of my contacts at AER â€“ Andrea Moniz (andrea.moniz@aer.ca) has been trying to send me emails this morning, and none of them are coming through to me. She hasnâ€™t had any bounce back messages, and nothing indicating that the email wasnâ€™t received. I checked my Junk mail and itâ€™s not there. I have received things from her in the past without issue, so this is a really weird situation.
Are you able to look into this for me, and try to find out whatâ€™s going on?
Please note, I have a meeting from 10 -11 and 1:30-3:30, and I finish my day at 3:30.
Thank you,
Amanda Cundliffe, PCP
Human Resources Consultant
Natural Resources Conservation Board
Tel: 780-422-3313
Fax: 780-427-0607
This communication is intended for the use of the recipient to which it is addressed, and may contain confidential, personal and/or private information. Please contact me immediately if you are not the intended recipient of this communication, and do not copy, or take action relying on it. Any communication received in error, or subsequent reply, should be deleted or destroyed.
PPlease do not print this email unless absolutely necessary. The trees will thank you!</t>
  </si>
  <si>
    <t>Courtney Holick - Internet Blocking</t>
  </si>
  <si>
    <t>Hi,
How come all of a sudden so many websites are blocked?
Thank you,
Courtney Holick, CPA, CMA
Chief Financial Officer
[image]
14610 Yellowhead Trail NW Edmonton, AB, T5L 3C5
Branch: 780-454-0491Â Â Â Â  Toll Free: 1-800-363-7819Â Â Â Â  Direct: 780-409-3359Â Â Â Â  Cell: 780-916-7296
Email:courtney.holick@calmont.ca
Website:www.calmont.ca
This email, and any files transmitted with it, are confidential and are intended solely for the use of the individual or entity to which they are addressed. Any unauthorized use or disclosure is prohibited. Please notify the sender if you have received this email in error. Thank you for your co-operation.</t>
  </si>
  <si>
    <t>Important: SIG Hotfix and Cloud Maintenance Window</t>
  </si>
  <si>
    <t>[Vertafore]
Dear Clients,
Please be advised SIGÂ Hotfix release 2020.02.155Â will be made available via LiveUpdate on Friday September 25, 2020. Keal Cloud brokers will have this update applied during our maintenance window on Sunday September 27, 2020 between 6am to 2pm ET. 
Items corrected in this release:
 Reports with multiple report instances can now be successfully run using the Report Scheduler
 Suspense field â€œSuspended toâ€ no longer showing terminated users in the drop-down menu
 When doing a billing method reassignment, the policy line with the new billing method is now showing in the policy grid
 An issue causing errors when producing a Lloydâ€™s Auto DEC page in SIG has been corrected
Remember, if your office has not yet updated to 20R2 (2020.02) full release, this must be updated before you apply the hotfix. If you need help determining the correct sequence to apply updates in your office, please contact support.
Thank you,
Vertafore Team
Vertafore
View this Online  Unsubscribe
Vertafore: 999 18th Street, Suite 400, Denver CO 80202 US
[Twitter]
[LinkedIn]
[Facebook]
[image]</t>
  </si>
  <si>
    <t>Server reboot acsa-shq-003</t>
  </si>
  <si>
    <t>Hello,
Can I get a reboot on our ShoreTel Call Recorder server acsa-shq-003 ASAP as it is currently not recording calls or has been since the Sophos updates on September 8.
Thanks.
Brent SchneiderB.Sc, PMP, CISSP, CISA, CRISC, CISMÂ |Â Manager, Information Systems (IS)
Alberta Construction Safety Association
225 Parsons Road SW |Â Edmonton ABÂ |Â T6X 0W6
TÂ 780.453.3311 ext. 7719 |Â FÂ 780.455.1120 |Â TFÂ 1.800.661.ACSA (2272)
www.youracsa.ca
[image][image][image][image]
[image]</t>
  </si>
  <si>
    <t>Samantha Lamoureux</t>
  </si>
  <si>
    <t>Samantha Lamoureux - NexCenter configuration on the RDS servers</t>
  </si>
  <si>
    <t>My colleague Samantha Lamoureux is getting this error when trying to use NexCenter. We reset her credentials and ensured they were entered correctly when prompted, however, she is still getting this error. Please confirm NexCenter is configured on the RDS servers and add both myself and Samantha to this ticket.
[image]
Thanks,
Nicole
Nicole Greidanus       
Corporate Digital Solutions
EÂ Â Â Â Â  ngreidanus@mhkinsurance.com
DÂ Â Â Â  587.525.6050Â 
CÂ Â Â Â  780.721.1118
12316-107 Avenue, Edmonton, AB  T5M 1Z1
www.mhkinsurance.com
[image]
[image]
We're here to help with your insurance needs. Emails       and phone calls are still encouraged. Appointments are required for       in-office broker meetings. Please wear a mask when       visiting.
MHK welcomes       e-Transfer payments to banking@mhkinsurance.â€‰com.
If you       receive this email in error, please notify us by reply email and destroy       this message. MHK complies with Canada's Anti-Spam and Alberta's PIPA       Legislations. If you no longer wish to receive emails from MHK, please       reply with 'Unsubscribe' in the subject   line.</t>
  </si>
  <si>
    <t>Unhealthy identity synchronization notification: September 10, 2020 23:06 UTC</t>
  </si>
  <si>
    <t>Find out how to troubleshoot this issue.Â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[Microsoft Azure]
--- ---
---
Your identity synchronization from on-premises is unhealthy
On September 10, 2020 23:06 UTC, Azure Active Directory did not register a synchronization attempt from the identity synchronization tool in the last 24 hours for AMP Financial Inc. [ampfinancial.onmicrosoft.com].
For information on troubleshooting this issue, please see the directory synchronization troubleshooter resource.
--- ---
--- 
Do not reply to this message. It was sent from an unmonitored email account.
--- ---
---
[Facebook][Twitter][YouTube][LinkedIn]
--- ---
--- 
Privacy Statement
Microsoft Corporation, One Microsoft Way, Redmond, WA 98052
[Microsoft]
--- ---
---
[image]</t>
  </si>
  <si>
    <t>FW: URGENT!!</t>
  </si>
  <si>
    <t>Flavio Soares
Strategic Advisor
PH.Â +1 7804246398       Ext 325
14505 114th Avenue NW
Edmonton,       AB
T5M2Y8
Flavio.Soares@mnp.ca
mnp.ca [image]
[image]
[image]
-----Original Message-----
From: Travis Blake &lt;travisb@r3demo.com&gt; 
Sent: Thursday, September 10, 2020 10:22 AM
To: Flavio Soares &lt;Flavio.Soares@mnp.ca&gt;; John McLaughlin &lt;jmclaughlin@nextdigital.ca&gt;
Cc: Leeanne &lt;leeanne@wbsgroup.ca&gt;; Richard Ignacz &lt;Richard.Ignacz@mnp.ca&gt;
Subject: URGENT!!
CAUTION: This email originated from outside of the MNP network. Be cautious of any embedded links and/or attachments.
MISE EN GARDE: Ce courriel ne provient pas du rÃ©seau de MNP. MÃ©fiez-vous des liens ou piÃ¨ces jointes quâ€™il pourrait contenir.
We are not getting our emails to orders@wbsgroup.ca!!
I need people in this now. We are missing orders coming in and have clients losing their!!
Travis Blake
President
R3 Deconstruction
18215 114 Ave, Edmonton
T5S2P6
www.r3demo.com</t>
  </si>
  <si>
    <t>FW: IPSec VPN tunnel to Canada</t>
  </si>
  <si>
    <t>Jerry Wilkinson
Senior Project Specialist
PH.Â +1 7804246398       Ext 309
14505 114th Avenue NW
Edmonton,       AB
T5M2Y8
Jerry.Wilkinson@mnp.ca
mnp.ca [image]
[image]
[image]
From: Gerhard Erasmus &lt;gerharde@multotec.com&gt; 
Sent: Thursday, September 10, 2020 2:30 AM
To: Jerry Wilkinson &lt;jwilkinson@nextdigital.ca&gt;
Cc: Pierre van Zyl &lt;Pierrev@multotec.com&gt;
Subject: IPSec VPN tunnel to Canada
CAUTION:This email originated from outside of the MNP network. Be cautious of any embedded links and/or attachments.
MISE EN GARDE:Ce courriel ne provient pas du rÃ©seau de MNP. MÃ©fiez-vous des liens ou piÃ¨ces jointes quâ€™il pourrait contenir.
Hi Jerry
We have upgraded the firewall and for some reason it has completely removed the tunnels.
Have re-created the tunnel with theses settings.
1. IKE Crypto Profile
[image]
1. IPSec Crypto Profile
[image]
1. IKE Gateway with Pre-Shared key:3N19YBu11ln1hKbhIFpl04ByRZa7X6dO
[image]
Advance options
[image]
1. IPSec Tunnel
[image]
1. Status is red.
[image]
Is this all correct?
Kind regards
[image003]Gerhard Erasmus
Information technology supervisor
Multotec (Pty) Ltd
Tel: Â Â Â Â Â  +27 (0) 11Â 928 4207
Mobile: +27 (0)73Â 393 7724
Email:gerharde@multotec.com
Achieve yourmineral processinggoalswithMultotec:Â www.multotec.com
[Multotec Jib Cranes Banner 2]</t>
  </si>
  <si>
    <t>Kyla Maetche</t>
  </si>
  <si>
    <t>Kyla - Addition of Web Dev Agency</t>
  </si>
  <si>
    <t>### Summary of Issue_x000D_
Kyla - Addition of Web Dev Agency_x000D_
  _x000D_
### Details of Issue_x000D_
Kyla will be going on maternity leave.
BCI has hired an agency to take over and revamp their entire website. 
Through this they may be taking on the sole responsibility when it comes to hosting, and amending any changes etc as per their package.
Kyla would like to reconfirm all of their login details. They would like a single MNP contact with wordpress familiarity to be assigned as the liaison.
They would like :
cPanel Access information (Login and Password)
Kyla would like to provide the new team with access to everything ASAP._x000D_
  _x000D_
### Have you opened a ticket about this issue before?  _x000D_
 No  _x000D_
  _x000D_
### How many users are impacted by this issue?  _x000D_
 One  _x000D_
  _x000D_
### How would you classify this issue?  _x000D_
 Other</t>
  </si>
  <si>
    <t>Brenda Wood - Sterilization computers</t>
  </si>
  <si>
    <t>We were having difficulties with our sterilization computers about a week ago, and now the issue has resurfaced.  _x000D_
It is in regards to the recording/reporting .  _x000D_
Could we please have a technician call to assist us with this.</t>
  </si>
  <si>
    <t>Linette Rasmussen - Copitrak Down</t>
  </si>
  <si>
    <t>Good morning!
There seems to be the usual issue happening with copitrak. We did not receive Sunday, Monday and todays statements. And the file numbers are not being displayed.
Natalie Sterz
Receptionist
Durocher Simpson Koehli &amp; Erler LLP
Old Strathcona Law Offices
7904 Gateway Boulevard
Edmonton, AB T6E 6C3
780-420-6850 (ph)
780-425-9185 (fax)
reception@dursim.com</t>
  </si>
  <si>
    <t>Apex Telecom Systems Inc</t>
  </si>
  <si>
    <t>Dave Tomaszewski</t>
  </si>
  <si>
    <t>URGENT - Service call for Apex Telecom for Alexander First Nations Education</t>
  </si>
  <si>
    <t>Apex Telecom (a company that does work for us and we do work for them) requires us to send a tech out to Alexander First Nations Education as their Nortel system is dead. They are close to Morniville Alberta and the onsite contact is Jody and her telephone number is 780-916-1754. We will need to contact her to get directions to them and we will need to let her know (as well as Dave when we can get out there).
The existing system is a Nortel 8 x 24 with 10 telephone sets so we will need to schedule Terry to head over to deal with this ASAP and he will need to take out a Nortel CICS system with him and I would have him also take out a Voicemail as well (in case they need it) so he can get them up and running. Dave at Apex would like us to do a site survey (cabling and such ) so he can provide them with a quote for a new phone system
Here is Dave's contact information 
Dave Tomaszewski
Apex Telecom Systems Inc.
Ph: 403-968-2776
Fax: 403-289-1193
www.apextelecom.ca
Shawn Parks
Business Development
PH.Â +1 7804246398       Ext 321
14505 114th Avenue NW
Edmonton,       AB
T5M2Y8
Shawn.Parks@mnp.ca
mnp.ca [image]
[image]
[image]</t>
  </si>
  <si>
    <t>Sharlene Cook</t>
  </si>
  <si>
    <t>Sharlene Cook - Meeting invites are ending up in junk mail when sent to members.</t>
  </si>
  <si>
    <t>Good morning,
We have received several complaints from our members about our emails going into spam/junk inboxes.Â  There seems to be quite a few when we send out meeting invites, that would include Zoom links and details.
It is getting frustrating for them. I have advised to review their spam filters, but even then, there are far too many issues.
Is there something we can do or tell them?
â€œChange is inevitable, so embrace it.â€
Sharlene Cook
Office Administrator
Discipline and Sanctions
Hockey Edmonton
Zone 8 â€“ MDC â€“ Hockey Alberta
10618 124 Street NW
Edmonton, AB T5N 1S3
Ph. (780) 413-3498 ext. 101
Fax (780) 440-6475
Sharlene.Cook@hockeyedmonton.ca
www.hockeyedmonton.ca
[Hockey-Edmonton-Logo]
Hockey Edmonton aims to foster, through the sport of hockey, development of active, healthy lifestyles.</t>
  </si>
  <si>
    <t>Angeli Alipio - Dzemua, Evert - Termination, August 31, 2020</t>
  </si>
  <si>
    <t>Good afternoon,
Please be advised that Every Dzemua has completed her practicum with us â€“ please see attached for details and let me know if you have any questions.
Thanks,
Angeli
[image]
Angeli AlipioBBA
HR Generalist
T: 403.205.5233 |E: AngeliA@caryacalgary.ca| F: 403.205.5281
180, 839 5 Ave SW | Calgary, AB | T2P 3C8
[image]Â [image]Â [image]
carya (formerly Calgary Family Services)
We are working remotely to help Calgarians through the COVID-19 pandemic. Please reach out to us if you need support.carya is here for you.
In the spirit of our efforts to promote reconciliation, we acknowledge the traditional territories and oral practices of the Blackfoot, the Tsuut'ina, the Stoney Nakoda First Nations, the MÃ©tis Nation Region 3, and all people who make their homes in the Treaty 7 region of Southern Alberta. We also respectfully acknowledge that the province of Alberta is comprised of Treaty 6, Treaty 7, and Treaty 8 territory, the traditional lands of First Nations and MÃ©tis peoples.
No form of electronic communication is secure and may be intercepted by others. Carya cannot guarantee the receipt of electronic communication nor a timely response. Where communication is confidential or time sensitive we recommend you call 403-269-9888 during business hours (Monday-Friday, 8:30am-4:30pm). For immediate crisis response please contact the Distress Centre Crisis Line at 403-266-HELP (4537) and in case of an emergency dial 911.
This e-mail is intended solely for the person or entity to which it is addressed and may contain confidential and/or privileged information. Any review, dissemination, copying, printing, forwarding or other use of this e-mail by persons or entities other than the addressee is prohibited. If you have received this e-mail in error, please contact the sender immediately and delete the material from your computer.</t>
  </si>
  <si>
    <t>Unable to listen to voicemail through phone &amp; Mitel Communication System down</t>
  </si>
  <si>
    <t>Hello,
Christina Sholter reached out to me this morning for support with listening to voicemail over the phone. I assisted her with enabling her PC speakers and Â listening through her laptop as an alternative and I think most of our staff are listening through their â€˜PC speakersâ€™ if they have them, however, there does seem to be an issue with our Mitel Communication System (587.525.6085) and we are getting the red error below (â€˜Dialed phone failedâ€™) when trying to listen to voicemail through the phone instead of PC speakers. My phone connects fine when trying to make an outbound call through the system so this error does only seem to be related to attempts with accessing voicemail via phone. I believe this is effecting everyoneâ€¦ confirmed with Christina, myself and another staff member.
The Mitel Communication System (587.525.6085) is an alternate way for our staff to manage their Mitel extension options and listen to voicemail, however, when dialed the auto attendant prompts you to enter your extension and then it says â€œplease hold while I route you to the correct systemâ€ and then disconnects the call.
Can someone please look into these 2 items that may be related or individual issues:
1. Unable to listen to voicemail through phone
2. Mitel Communication System unavailable
[image]
Thanks,
Nicole
Nicole Greidanus       
Corporate Digital Solutions
EÂ Â Â Â Â  ngreidanus@mhkinsurance.com
DÂ Â Â Â  587.525.6050Â 
CÂ Â Â Â  780.721.1118
12316-107 Avenue, Edmonton, AB  T5M 1Z1
www.mhkinsurance.com
[image]
[image]
We're here to help with your insurance needs. Emails       and phone calls are still encouraged. Appointments are required for       in-office broker meetings. Please wear a mask when       visiting.
MHK welcomes       e-Transfer payments to banking@mhkinsurance.â€‰com.
If you       receive this email in error, please notify us by reply email and destroy       this message. MHK complies with Canada's Anti-Spam and Alberta's PIPA       Legislations. If you no longer wish to receive emails from MHK, please       reply with 'Unsubscribe' in the subject   line.</t>
  </si>
  <si>
    <t>FW: Firewall issues still!</t>
  </si>
  <si>
    <t>Good Afternoon Team,
Issues with the Sophos Spam Filter have been ongoing for Shayna and her team. We need to get this taken care of.
Please review past tickets and gather the details as necessary. I will forward any information as it becomes available.
Thank you,
David
David Stevens
Team Lead, Field Services Technician
PH.Â +1 4036864357
310 - 4000 4 St SE
Calgary,       AB
T2G2W3
David.Stevens@mnp.ca
mnp.ca [image]
[image]
[image]
From: Shayna Forseth &lt;accounting@janiking.ab.ca&gt; 
Sent: Tuesday, September 1, 2020 1:29 PM
To: David Stevens &lt;dstevens@nextdigital.ca&gt;
Cc: Owen Santos &lt;owens@janiking.ab.ca&gt;; Shelley Davidson &lt;shelleyd@janiking.ab.ca&gt;
Subject: Firewall issues still!
Importance: High
CAUTION:This email originated from outside of the MNP network. Be cautious of any embedded links and/or attachments.
MISE EN GARDE:Ce courriel ne provient pas du rÃ©seau de MNP. MÃ©fiez-vous des liens ou piÃ¨ces jointes quâ€™il pourrait contenir.
Hi David,
We are now having a few customers getting irate with us as our Firewall is blocking their emails to us. We need this fixed asap and Owen has said that your tech that has been working on this issue has not been able to fix it. I cannot have anymore customer emails being blocked. I know that you said your new firewall was supposed to improve things but it has been nothing but a big issue for us. I will forward you the kickback that frontier performance has now sent me on my personal email because they could not send anything on my work one. We need this fixed asap.
Thank you,
[image]
[Email Signature]
Shayna Forseth
Accounting and Business Development Manager
Regional Director
Concept Management Ltd. o/a Jani-King of Southern Alberta
#1 6320 11th Street SE, Calgary, AB T2H 2L7
Dir: Â Â  (403) 537-9825
Tel: Â Â  (403) 259-0044
Fax:Â Â Â  (403) 259-0008
accounting@janiking.ab.ca
www.janiking.ca
*******************************************************************************</t>
  </si>
  <si>
    <t>Karen Burton</t>
  </si>
  <si>
    <t>Karen Burton - scan to email not working</t>
  </si>
  <si>
    <t>Ticket 736625217
I require this ticket escalated to the next level of service with priority designation. It is affecting several employees.
Also require desktop links to Help desk be updated.
Thanks
[image]
DAVE BRUNTON,Â  | ADMINISTRATION MANAGER
| MAIN 780.465.0381 |dave.brunton@carrysteel.com |www.carrysteel.com
Business, The Carry Way
[Description: Description: Description: Description: cisc-icca_qcert_structures_E]
From: Reception &lt;reception@carrysteel.com&gt; 
Sent: Tuesday, September 01, 2020 7:45 AM
To: Dave Brunton &lt;dave.brunton@carrysteel.com&gt;
Subject: FW: Support Request: 11700 - Y4X834111 (KMM65919596V9853L0KM)
Hi Dave,
I do not have the up to date info for MNP to open a ticket for this.Â  Are you able to forward the info for MNP?Â  I tried clicking on my old Next Digital support and it asks me to join with a code?
Thanks,
[image]
KAREN BURTON | RECEPTIONIST
MAIN 780.465.0381 | FAX 780.466.8263 |reception@carrysteel.com |www.carrysteel.com
Business, The Carry Way
From: Brad Dennis &lt;brad.dennis@carrysteel.com&gt; 
Sent: Monday, August 31, 2020 4:53 PM
To: Reception &lt;reception@carrysteel.com&gt;
Subject: Re: Support Request: 11700 - Y4X834111 (KMM65919596V9853L0KM)
Hey Karen!
No, it is not a copier problem. It is definitely an IT thing. If you want to re-engage Next Digital, you can send them a ticket request urging them to figure out what the problem is.
Cheers!
GetOutlook for Android
From: Reception &lt;reception@carrysteel.com&gt;
Sent: Monday, August 31, 2020 3:45:12 PM
To: Brad Dennis &lt;brad.dennis@carrysteel.com&gt;
Subject: FW: Support Request: 11700 - Y4X834111 (KMM65919596V9853L0KM)
Hi Brad,
Had the Xerox tech come in today to clean, service, Â upgraded the software.Â  Thought he had fixed the email/scanner issue but alas no he did not.
Do we want to pursue this second level tech support?
[image]
KAREN BURTON | RECEPTIONIST
MAIN 780.465.0381 | FAX 780.466.8263 |reception@carrysteel.com |www.carrysteel.com
Business, The Carry Way
From: Xerox - NAWC - Canada Support &lt;Support.Canada@Xerox.com&gt; 
Sent: Monday, August 31, 2020 3:39 PM
To: Reception &lt;reception@carrysteel.com&gt;
Subject: RE: Support Request: 11700 - Y4X834111 (KMM65919596V9853L0KM)
Hello there Karen
As per your request, I have created a ticket for 2nd level. If you call in to our support line with this number (736625217) , and request 2nd level. They will gladly help you get this machine up and running!
Have a great day!
Greg. 
Original Message Follows: ------------------------
CAUTION:Â  This email originated from outside the organization. Do not click links or open attachments unless you recognize the sender and know the content is safe.
Hello,
The Xerox tech (Montu) just left and thought the email (scanning) issue was resolved.Â  He tested it and had one of our office staff try it as well.Â  It appeared to have worked but we got the job status: failed back.
So not sure if level 2 will work or if this is indeed a network problem?Â  We deal with MNP Technologies (Next Digital) for our IT issues.
Thank you
[image]
KAREN BURTON | RECEPTIONIST
MAIN 780.465.0381 | FAX 780.466.8263 |reception@carrysteel.com |www.carrysteel.com
Business, The Carry Way
From: Xerox - NAWC - Canada Support &lt;Support.Canada@Xerox.com&gt; 
Sent: Monday, August 31, 2020 10:34 AM 
To: Reception &lt;reception@carrysteel.com&gt; 
Subject: RE: Support Request: 11700 - Y4X834111 (KMM65914494V91660L0KM)
Hello Karen,
If the Copy functions are fine, it is possible this is a Network or configuration issue that may require our 2nd Level Support Reps to work contact you to troubleshoot/resolve.
Assuming your location is not experiencing any network or email issues, are you able to print to the machine still, it is still currently on your network?
As this call has already been dispatched, the Technical Support Rep can verify if the machine hardware is operating correctly and advise you to engage our 2nd Level.
DrewÂ Garrett
Customer Solutions Representative - Xerox
Original Message Follows...</t>
  </si>
  <si>
    <t>Heather Gummo</t>
  </si>
  <si>
    <t>Carya - Constant Contact DKIM and Self-Authentication Information</t>
  </si>
  <si>
    <t>Hi,
We recently discovered that we are having issues sending email through constant contact (the platform we use to send mass emails to program participants, donor, stakeholders etc). A lot of our emails are bouncing. After talking to their support team it sounds like a change was made on our end that has caused this. Iâ€™m trying to figure out whether this was a change that your team might have made or if this was caused by something else. See the below email for more details on what has happened.
If you could help me out with this I would greatly appreciate it. Please feel free to give me a call at 403.606.4797 if this would be easier to discuss over the phone.
Thanks,
Heather
Heather Gummo
She/Her
Communications Specialist
T: 403.205.5242 |E: heatherg@caryacalgary.ca| C: 403.606.4797
180, 839 5 Ave SW | Calgary, AB | T2P 3C8
[image]Â [image]Â [instagram-1675670][image]
carya (formerly Calgary Family Services)
[image]
In the spirit of our efforts to promote reconciliation, we acknowledge the traditional territories and oral practices of the Blackfoot, the Tsuut'ina, the Stoney Nakoda First Nations, the MÃ©tis Nation Region 3, and all people who make their homes in the Treaty 7 region of Southern Alberta. We also respectfully acknowledge that the province of Alberta is comprised of Treaty 6, Treaty 7, and Treaty 8 territory, the traditional lands of First Nations and MÃ©tis peoples.
[image]
From: Constant Contact Compliance Support &lt;compliancesupport@constantcontact.com&gt;
Sent: Tuesday, August 25, 2020 12:23 PM
To: Communications &lt;communications@caryacalgary.ca&gt;
Subject: DKIM and Self-Authentication Information [ ref:_00D708xak._5003n2OrPaQ:ref ]
Hello Carya, Â  Thank you for your call to the Deliverability team at Constant Contact. As discussed during our call your domain is currently employing a DMARC policy that is causing
This sender is trusted.
sophospsmartbannerend
[https://files.constantcontact.com/e44e073b701/fe67b5b9-0dd2-491a-a86e-f472478562d3.png]
[https://imgssl.constantcontact.com/letters/images/1101116784221/S.gif]
Hello Carya,
Thank you for your call to the Deliverability team at Constant Contact. As discussed during our call your domain is currently employing a DMARC policy that is causing your mail sent through a third-party sender (like Constant Contact) to go to spam. DMARC stands for â€œDomain-based Message Authentication, Reporting &amp; Conformanceâ€. It is an email authentication, policy, and reporting protocol that basically tells all of the internet world that unless the mail is legitimately coming specifically from your own domain, then the mail should be quarantined or rejected (i.e. filtered into the spam folder or bounced back).
The answer to this policy is to implement a DKIM (Domain Keys Identified Mail) key. DKIM is an email authentication technique that allows the receiver to check that an email was indeed sent and authorized by the owner of that domain. This is done by giving the email a digital signature. Adding the DKIM key to your DNS records is a critical step to this process, so that receiving servers can match this against the key we are signing your emails with. If your records do not have the key, the message will fail to send. Once the key is generated, you may be unable to send emails for up to 72 hours while the key propagates.
DKIM setup requires advanced access and knowledge of your domain settings and hosting services. Due to the complexity of different DNS providers we are unable to assist with the implementation of the DKIM key, however we are aware that some DNS providers may automatically add your domain to the TXT record by default. If this is the case for your DNS provider, the first half of the key as provided can be added to the Host Name/Record without your domain (for example, the Host Name/Record should be input as â€œ2020201111._domainkeyâ€ instead of2020201111._domainkey.domain@yourdomian). Here is a list of providers that may automatically add your domain to a TX...</t>
  </si>
  <si>
    <t>Internet Connection</t>
  </si>
  <si>
    <t>Good Afternoon,
We have had painters in to do some work and it seems when they painted our boardroom the internet connection has been lost.Â  When trying to log in to the Wifi it is saying no internet connection.
Thanks,
Carie Campbell
Office Manager
T:
F:
780.459.5263
780.459.1220
carie@landrex.com
220Â SummitÂ PlazaÂ 190Â BoudreauÂ RoadÂ St.Â AlbertÂ ABÂ T8NÂ 6B9Â //Â landrex.com
[image]
PrivateÂ andÂ confidentialÂ â€‘Â TheÂ informationÂ transmittedÂ isÂ intendedÂ onlyÂ forÂ theÂ personÂ orÂ entityÂ toÂ whichÂ itÂ isÂ addressedÂ andÂ mayÂ containÂ proprietary,Â businessâ€‘confidentialÂ and/orÂ 
privilegedÂ material.Â IfÂ youÂ areÂ notÂ theÂ intendedÂ recipientÂ ofÂ thisÂ messageÂ youÂ areÂ herebyÂ notifiedÂ thatÂ anyÂ use,Â review,Â retransmission,Â dissemination,Â distribution,Â reproductionÂ orÂ anyÂ 
actionÂ takenÂ inÂ relianceÂ uponÂ thisÂ messageÂ isÂ prohibited.Â IfÂ youÂ receivedÂ thisÂ inÂ error,Â pleaseÂ contactÂ theÂ senderÂ andÂ deleteÂ theÂ messageÂ andÂ anyÂ relatedÂ attachmentsÂ orÂ copies.</t>
  </si>
  <si>
    <t>Newforma/Vision/Marketing Integration Not Working</t>
  </si>
  <si>
    <t>Please open a ticket and contact Dulcie.
The client reports that they cannot work properly due to this issue.
Flavio Soares
Strategic Advisor
PH.Â +1 7804246398       Ext 325
14505 114th Avenue NW
Edmonton,       AB
T5M2Y8
Flavio.Soares@mnp.ca
mnp.ca [image]
[image]
[image]
From: Julian Da Cambra &lt;jdacambra@amrgroup.ca&gt;
Sent: August 25, 2020 10:55 AM
To: Dulcie Timmons &lt;Dulcie.Timmons@group2.ca&gt;; Flavio Soares &lt;Flavio.Soares@mnp.ca&gt;
Cc: Jon Gulayets &lt;Jon.Gulayets@group2.ca&gt;; Craig LaFranchise &lt;clafranchise@amrgroup.ca&gt;
Subject: RE: Newforma/Vision/Marketing (O:) Drive - Proposal Set-Up Malfunction
CAUTION:This email originated from outside of the MNP network. Be cautious of any embedded links and/or attachments.
MISE EN GARDE:Ce courriel ne provient pas du rÃ©seau de MNP. MÃ©fiez-vous des liens ou piÃ¨ces jointes quâ€™il pourrait contenir.
Hi Dulcie,
For the quickest response you can contact Deltek Customer Care:
https://deltek.custhelp.com/
Best,
Julian Da Cambra
AMR Consulting
Direct: 647-765-0629
From: Dulcie Timmons &lt;Dulcie.Timmons@group2.ca&gt;
Sent: August 25, 2020 12:37 PM
To: Craig LaFranchise &lt;clafranchise@amrgroup.ca&gt;;Flavio.Soares@mnp.ca; Julian Da Cambra &lt;jdacambra@amrgroup.ca&gt;
Cc: Jon Gulayets &lt;Jon.Gulayets@group2.ca&gt;
Subject: RE: Newforma/Vision/Marketing (O:) Drive - Proposal Set-Up Malfunction
Hi Julian â€“
I just sent Craig an email and received your contact information per his out of office.
I am wondering if while Craig is away you would be available to work with Flavio, our IT Consultant to resolve the issue I have identified below.
Dulcie Timmons, Marketing Manager
Group2
Architecture Interior Design Ltd.
200, 4706 Â 48thÂ Â Avenue Red Deer AB T4N 6J4
T +1 403 341 2443
C +1 403 872 5433
group2.ca
From: Dulcie Timmons
Sent: August 25, 2020 10:31 AM
To: Craig LaFranchise &lt;clafranchise@amrgroup.ca&gt;;Flavio.Soares@mnp.ca
Cc: Jon Gulayets &lt;Jon.Gulayets@group2.ca&gt;
Subject: Newforma/Vision/Marketing (O:) Drive - Proposal Set-Up Malfunction
Importance: High
Good Morning,
I am reaching out today with regards to an issue we have been having with regards to the following issue.
The interface between Vision and Newforma is not populating a folder on the Marketing (O:) drive â€“ a typical error via Vision reads â€œThe workflow could not be initiated because the record did not meet the workflow conditionâ€ â€“ sometimes there will be no error and still does not populate. Jon has advised this is an issue but is currently on holidays.
Craig and Flavio, we are hoping to have this issue address sooner than later. Are the two of you able to work together to resolve? Please let me know how I can support the process and feel free to contact me directly if you have any questions.
Thank you!
Dulcie Timmons, Marketing Manager
Group2
Architecture Interior Design Ltd.
200, 4706 Â 48thÂ Â Avenue Red Deer AB T4N 6J4
T +1 403 341 2443
C +1 403 872 5433
group2.ca</t>
  </si>
  <si>
    <t>International Union of Operating Engineers</t>
  </si>
  <si>
    <t>Gilles Losier</t>
  </si>
  <si>
    <t>FW: CGY unable to access VMail</t>
  </si>
  <si>
    <t>Please assign this to me.
Thanks,
Dave Beharrell
Senior Project Specialist
PH.Â +1 7804246398       Ext 328
14505 114th Avenue NW
Edmonton,       AB
T5M2Y8
Dave.Beharrell@mnp.ca
mnp.ca [image]
[image]
[image]
From: Gilles Losier &lt;Glosier@oe955.com&gt;
Sent: August 24, 2020 8:49 AM
To: Dave Beharrell &lt;Dave.Beharrell@mnp.ca&gt;
Subject: CGY unable to access VMail
Importance: High
CAUTION:This email originated from outside of the MNP network. Be cautious of any embedded links and/or attachments.
MISE EN GARDE:Ce courriel ne provient pas du rÃ©seau de MNP. MÃ©fiez-vous des liens ou piÃ¨ces jointes quâ€™il pourrait contenir.
I did the usual procedures, screenshot, log files exit and restart the same issue. Now I have been told that the 2 other people in the CGY office are also having the same issue.
When I check http://192.168.11.2:5478/dm/status_voice_mail_servers
Voicemail system on the server I see this and canâ€™t seem to figure out what the error is[image]
Gilles Losier,MCITP|MCSA: Windows 7
Technology Support Analyst
Operating Engineers Local 955
Direct Line:Â 780.930.4728|EXT: 3044
E:Â glosier@oe955.com
From: Candace Quinton [mailto:CQuinton@oe955.com]
Sent: Monday, August 24, 2020 8:27 AM
To: Gilles Losier &lt;Glosier@oe955.com&gt;
Subject: Phone problem
[image]
Gilles Losier, MCITP|MCSA: Windows 7
Technology Support Analyst 
International Union of Operating Engineers Local 955
17603 â€“ 114th Avenue Edmonton, Alberta T5S2R9 
Direct Line: 780.930.4728| EXT: 3044 
E: glosier@oe955.com</t>
  </si>
  <si>
    <t>Fax to Email</t>
  </si>
  <si>
    <t>Good afternoon,
Our reception team let us know that the fax to email is not working. When a fax comes in is it NOT going through as a PDF to email. The girls have had to go into the faxer app and manually print them off.
If someone can take a look at as soon as possible. We do not know how long this has been going on.
If you need to talk to reception please speak to Rachel
Thank you,
[image]
Jessica Foyle
E: jessica@pulseveterinary.ca
P: 780.570.9999
A: 450 Ordze Road, Unit #320.Â  Sherwood Park, AB T8B 0C5
www.pulseveterinary.ca</t>
  </si>
  <si>
    <t>Site Resources - unable to call out on Shortel</t>
  </si>
  <si>
    <t>[image]
Hey Dave,
I submitted a ticket can you see whats wrong?
[image]Â Riccardo Francese
Business Process Manager
T:       +1 (780) 400-7487
C:       +1 (587) 990-0176
F:       +1 (780) 417-6496
E:       RFrancese@siterg.com
W:       WWW.SITERG.COM
#170, 120 Pembina Rd., Sherwood Park, AB, T8H 0M2
The information contained in this e-mail may       contain confidential or privileged material and is intended only for the       stated addressee(s). If you are not the valid addressee, the use,       disclosure, copying or distribution of this information is prohibited and       may be unlawful. If you have received this email message in error, please       notify the sender immediately and delete all copies of the message from       your computer. All information within or opinions expressed in this       message and/or any attachments are those of the author and are not       necessarily those of the Centurion Group.
From: Theresa Prowse &lt;TProwse@siterg.com&gt; 
Sent: Thursday, August 20, 2020 9:06 AM
To: Riccardo Francese &lt;RFrancese@siterg.com&gt;
Subject: RE: PHONES
Just kidding with the WTFâ€¦
But really we are not able to call out on our Shoretel phones.
[image]
Theresa Prowse
Procurementâ€„-â€„Purchaserâ€„/â€„Buyer
T: +1 (780) 639-1382
C: +1 (780) 573-0648
F: +1 (780) 639-4813
E:TProwse@siterg.com
W:WWW.SITERG.COM
PO Box 210, Cold Lake, AB, T9M 1P1
The information contained in this e-mail may contain confidential or privileged material and is intended only for the stated addressee(s). If you are not the valid addressee, the use, disclosure, copying or distribution of this information is prohibited and may be unlawful. If you have received this email message in error, please notify the sender immediately and delete all copies of the message from your computer. All information within or opinions expressed in this message and/or any attachments are those of the author and are not necessarily those of the Centurion Group.
From: Theresa Prowse 
Sent: Thursday, August 20, 2020 9:03 AM
To: Riccardo Francese &lt;RFrancese@siterg.com&gt;
Cc: Dallas Lauzon &lt;DLauzon@siterg.com&gt;
Subject: PHONES
Hey WTF!!!!! Canâ€™t call out</t>
  </si>
  <si>
    <t>Server Reboot (50.57.5.77 Rackspace)</t>
  </si>
  <si>
    <t>Good afternoon,
We are experiencing some anomalous behavior and latency with one of our applications. The application is running on a rackspace server and even connecting to the server via RDP has produced sporadic errors, so we were hoping to have the server rebooted at some point between 5 and 6 PM this evening, if possible?
Sorry for the short notice, we only recently became aware of the issues and impacts.
Thank you,
CHRIS GUSNOWSKYÂ |Â Business Analyst
Alberta Construction Safety Association
225 Parsons Road SW |Â Edmonton ABÂ |Â T6X 0W6
TÂ 780.453.3311 ext. 7718 |Â FÂ 780.455.1120 |Â TFÂ 1.800.661.ACSA (2272)
www.youracsa.ca
[image][image][image][image]</t>
  </si>
  <si>
    <t>Kyla Maetche - Spam we are receiving</t>
  </si>
  <si>
    <t>For tracking, another email made it through to Kyla (attached).
If we could have a specialist connect with Kyla to review the email headers and identify remedies, that would be best.
Amin Esmaeili
Manager, Client Experience
DIRECT +1 4036864357       Ext 415
310 - 4000 4 St SE
Calgary,       AB
T2G2W3
Amin.Esmaeili@mnp.ca
mnp.ca [image]
[image]
[image]
From: Amin Esmaeili
Sent: August 7, 2020 3:03 PM
To: Raimund Schwind &lt;Raimund.Schwind@mnp.ca&gt;; Rob Sharp &lt;Rob.Sharp@mnp.ca&gt;; Mike Farhat &lt;Mike.Farhat@mnp.ca&gt;; 'Ali Baig' &lt;Ali.Baig@mnp.ca&gt;
Cc: Jorge Bustamante &lt;Jorge.Bustamante@mnp.ca&gt;; Paul Duhamel &lt;Paul.Duhamel@mnp.ca&gt;; Flavio Soares &lt;Flavio.Soares@mnp.ca&gt;
Subject: FW: Anti-Spam Issues
Hey Raimund,
I wanted to bring this to your attention as BCI seems to be having consistent anti-spam issues.
1. Spam goes through
2. Legit emails blocked.
3. Some spam considered trusted (banner)
4. Some spam donâ€™t have â€œblock senderâ€ option in the banner.
Kyla has provided screenshots below.
I know #1 and #2 are debatable, though hopefully there is possible tweaks we can make to make it more accurate.
#3 and #4 are pretty odd.
I wasnâ€™t sure which ticket to put this into as I see there are a few already relating to email/spam.
#1252535 â€“ was the ticket Rob assisted Kyla with.
Can we get a full review started of their anti-spam so as to improve itâ€™s filtering for the 4 points above?
@Rob, @Mike, @Ali, if you guys have any additional insights on this issue, please add your thoughts.
Thanks!
From: Kyla Maetche &lt;Kyla@gobluecircle.com&gt;
Sent: August 6, 2020 5:09 PM
To: Amin Esmaeili &lt;Amin.Esmaeili@mnp.ca&gt;
Cc: Dirk Bruggencate &lt;Dirk@gobluecircle.com&gt;; Flavio Soares &lt;Flavio.Soares@mnp.ca&gt;
Subject: RE: Anti-Spam Issues
CAUTION:This email originated from outside of the MNP network. Be cautious of any embedded links and/or attachments.
MISE EN GARDE:Ce courriel ne provient pas du rÃ©seau de MNP. MÃ©fiez-vous des liens ou piÃ¨ces jointes quâ€™il pourrait contenir.
Hello Amin,
No worries in the least, Iâ€™m definitely sitting at my desk here and didnâ€™t see the phone pop up. Might have been on a call with Rob when you called me back, or it was simply not working as itâ€™s routed to my cell phone. Sorry!
Rob was able to fix my issue with quote forms from the website by pinpointing the IP address and I changed the from field to one internal email address to give it the extra push it needed without any BCC options. I tested all of the forms and they came through within a few minutes, instead of the next day if at all. Which was a huge win!
I really appreciate you looking into some more consistencies for us when it comes to what is categorized as spam and what isnâ€™t. Rob let me know that we canâ€™t really release letâ€™s say all â€œtelusplanetâ€ or â€œgmailâ€ emails as they are easy to create and could lead to more spam. However, more consistency on what is considered spam, and how we can handle it without having to log in hourly and manage quarantined messages throughout the day. Itâ€™s just not totally realistic.
At the top of each email we are presented with a coloured bar letting us know where the email came from, and what we can do with it. Iâ€™m noticing very clear spam coming though without the hyper link options of Allow Sender | Block Sender. Sometimes, they are even green, which is alarming. Iâ€™m going to include a few screen shots below of some from today.
The following 3 are basic run of the mill spam messages of website design that we receive frequently as an example. Itâ€™s stating they are outside of our organization but no hyperlinks are present to allow or block. That means I have to highlight the email and login to the quarantine area and block manually. But, as they are heavy spam they just choose another email address and send it again.
[image]
[image]
[image]
These are 2 emails I received this morning, that are the bigger issue. They have the green bar considering them trusted. If you take one moment to look at these it is very clearly spam. But,...</t>
  </si>
  <si>
    <t>SE Telecom</t>
  </si>
  <si>
    <t>Trish Buck</t>
  </si>
  <si>
    <t>Request for site survey at Praxair Edmonton  - 34th Street</t>
  </si>
  <si>
    <t>Hello Dave,
Please see the attached PO and service order to request a site survey at PraxairÂ  - 9501 34th street, Edmonton.
This is the same site where you will be completing the Network Cleanup so you can have the technician take a quick look at the IT room while on site.
Please advise when you can have someone available to go to site.
Thanks,
Trish Buck
Purchasing Manager
P : 905.952.5256
tbuck@setelecom.ca
www.setelecom.ca
[image]
Making it our business to look after yours!
17075 Leslie St Units 7,8,9 &amp; 10Â |Newmarket, Ontario, Canada,Â L3Y 8E1
For service related issues and or an afterhours emergency service request please call the office atÂ 905.884.8324Â and follow the prompts.
Facility Video Tour
This email and any files transmitted with it are confidential and intended solely for the use of the individual or entity to whom they are addressed. If you have received this email in error please notify the sender. This message contains confidential information and is intended only for the individual named. If you are not the named addressee you should not disseminate, distribute or copy this email. Please notify the sender immediately by email if you have received this email by mistake and delete this email from your system. If you are not the intended recipient you are notified that disclosing, copying, distributing or taking any action in reliance on the contents of this information is strictly prohibited. If you prefer not to receive any further emails please reply with the wordsÂ â€œremove meâ€Â in the subject line.</t>
  </si>
  <si>
    <t>FW: Action Needed: iOS Distribution Certificate Expires in 30 Days</t>
  </si>
  <si>
    <t>Jana Lumsden       CPA, CMA
Chief Financial Officer
EÂ Â Â Â Â  jlumsden@mhkinsurance.com
DÂ Â Â Â  587.525.6029Â 
CÂ Â Â Â  780.999.7111
12316-107 Avenue, Edmonton, AB  T5M 1Z1
www.mhkinsurance.com
[image]
[image]
We're here to help with your insurance needs. Emails       and phone calls are still encouraged. Appointments are required for       in-office broker meetings. Please wear a mask when       visiting.
MHK welcomes       e-Transfer payments to banking@mhkinsurance.â€‰com.
If you       receive this email in error, please notify us by reply email and destroy       this message. MHK complies with Canada's Anti-Spam and Alberta's PIPA       Legislations. If you no longer wish to receive emails from MHK, please       reply with 'Unsubscribe' in the subject   line.
From: Apple Developer &lt;developer@email.apple.com&gt; 
Sent: Wednesday, August 19, 2020 1:47 PM
To: Accounting &lt;mhkaccounting@mhkinsurance.com&gt;
Subject: Action Needed: iOS Distribution Certificate Expires in 30 Days
Dear Jana Lumsden, Your iOS Distribution Certificate will no longer be valid in 30 days. To generate a new certificate, sign in and visit Certificates, Identifiers &amp; Profiles. Certificate: iOS Dis
Caution! This message was sent from outside your organization.
sophospsmartbannerend
[image]
Dear Jana Lumsden,
Your iOS Distribution Certificate will no longer be valid in 30 days. To generate a new certificate, sign in and visitCertificates, Identifiers &amp; Profiles.
Certificate: iOS Distribution
Team ID: NPKF6B9X9S
To learn more about expired certificates, visit the certificates support page.
Best regards,
Apple Developer Program Support
TM and Â© 2020 Apple Inc.
One Apple Park Way, MS 301-1TEV, Cupertino, CA 95014.
All Rights Reserved / Privacy Policy / Account / Support
[image]</t>
  </si>
  <si>
    <t>URGENT: Phone &amp; WIFI Connections Support Needed</t>
  </si>
  <si>
    <t xml:space="preserve">Hi there,
We seem to be having some issues with our internet connectivity today.Â  Both Bill and I have received feedback from outside contacts that theyâ€™ve had trouble getting in touch with us via our phones.
Speaking from my personal experience â€“ a colleague was calling me this morning and kept trying â€“ she said she would dial the number â€“ it would ring, then beep three times and then disconnect.Â  She eventually emailed me and asked I call her.Â  I have been able to make calls out with no problem.
Bill has also had someone try calling him â€“ and later emailed asking him to call him because he canâ€™t get through with his land line number.
When I arrived this morning â€“ I had to reboot twice to get my computer to connect to the wifi.Â  It just would not connect.
Bill also mentioned that during a meeting where he was connecting via Teams in his office to our team in the boardroom â€“ he was having trouble staying connected on the wifiâ€¦it appeared that the connection kept dropping.
Can someone have a look at both our wifi settings/connections and phone connections.
Much thanks!
[image][image][image][image][image]
Michelle Wispinski |Â  Executive Assistant to President &amp; CEO
Suite 1005 | 10104 103 AvenueÂ |Â Edmonton, AB | T5J 0H8
Tel: 780.420.4005 | Cell: 780.217.2576
mwispinski@maclabdevelopment.com | www.maclabdevelopment.com
We have moved. Please note our new address.
</t>
  </si>
  <si>
    <t>Nextdigital.ca main page not working.</t>
  </si>
  <si>
    <t>### Which application has a problem or bug?  _x000D_
 Other  _x000D_
  _x000D_
### Other_x000D_
404 when browsing to nextdigital.ca_x000D_
  _x000D_
### If your bug report is for the Next Ticket Dashboard, please use the "Submit a Bug" feature built into the dashboard, provided it's functioning.  _x000D_
The "Submit a Bug" feature is in the debugger. Click the orange X in the title of the "Your Next Ticket" module to load the debugger.  "Submit a Bug" is in the top row.  This is helpful as it automatically includes a massive snapshot of data that makes it easier to debug data issues.  _x000D_
  _x000D_
### Describe the issue._x000D_
404 when browsing to nextdigital.ca</t>
  </si>
  <si>
    <t>Carly Dinan - CSP user count Audit</t>
  </si>
  <si>
    <t>### Summary of Issue_x000D_
CSP user count Audit_x000D_
  _x000D_
### Details of Issue_x000D_
The client only has 8 employees and one server but the active licenses assigned through the CSP portal is almost double that. I would like an audit to be done to review licenses and requirements. PLease provide me with an excel spreadsheet to review with the client._x000D_
  _x000D_
### Have you opened a ticket about this issue before?  _x000D_
 No  _x000D_
  _x000D_
### How many users are impacted by this issue?  _x000D_
 One  _x000D_
  _x000D_
### How would you classify this issue?  _x000D_
 Minor Inconvenience</t>
  </si>
  <si>
    <t>Daniela Ivanova</t>
  </si>
  <si>
    <t>Dorota Dziekan access - cancel ASAP - urgent</t>
  </si>
  <si>
    <t>Good Morning,
Please cancel Dorota Dziekan access to all CASL files and email effective immediately.
She is no longer employed with the company.
Please grant me access to her email and Â all her folders/files saved in her Documents/desktop.
We will appreciate your prompt response and action.
Thank you.
Daniela Ivanova
Corporate Controller
Corrosion and Abrasion Solutions Ltd.
1604 â€“ 10th Street, Nisku, AB, T9E 0A6
O: 780.461.8333
C: 780.983.7344
F: 780.450.2899
Email:daniela.ivanova@casltd.ca
www.casltd.ca
[cid:image002.png@01D5490C.704457E0]
Disclaimer: This message contains information that may be privileged or confidential and is the property of Corrosion and Abrasion Solutions Ltd. or its subsidiaries. It is intended only for the person to whom it is addressed. If you are not the intended recipient, you are not authorised to read, print, retain, copy disseminate, distribute or use this message or any part thereof. If you receive this message in error, please notify the sender immediately and delete all copies of this message.</t>
  </si>
  <si>
    <t>Amanda Trundle</t>
  </si>
  <si>
    <t>FW: Toshiba Printer</t>
  </si>
  <si>
    <t>Hello,
I need you to change this printer to read to the following IP Address so that we can set up capability in the server for it to talk to our CDK Intellidealer software:
EdmontonÂ Â Â Â Â Â Â Â  206.95.110.137Â Â  10.10.5.51Â Â Â Â Â  spare
Please escalate this.
Thanks,
Amanda Trundle, CPA, CMA
Controller
780-482-0282
From: Sandra Bianchini &lt;Sandra.Bianchini@calmont.ca&gt;
Sent: August 13, 2020 4:10 PM
To: Amanda Trundle &lt;Amanda.Trundle@calmont.ca&gt;
Subject: Toshiba Printer
[image]</t>
  </si>
  <si>
    <t>Belinda Lang - slow email</t>
  </si>
  <si>
    <t>I just spoke to Support and they said the same thingâ€¦our email is running really slow
[cid:E8B99B25-CD01-4FE0-9345-7A9CC8B6D0CE]</t>
  </si>
  <si>
    <t>Dynaline Industries</t>
  </si>
  <si>
    <t>Jennifer Davidson</t>
  </si>
  <si>
    <t>Raimund Schwind - Dynaline Industries - Shoretel down</t>
  </si>
  <si>
    <t>### Summary of Issue_x000D_
Dynaline Industries - Shoretel down_x000D_
  _x000D_
### Details of Issue_x000D_
shortel down and inaccessible after power outage.  Dave says we will need to send a tech with keyboard, monitor, and mouse.  Any questions can be called in to Dave
original email text: Good Morning Dave and Shawn,
We had a power outage last night that has wreaked havoc on our servers. Everything is down at the moment including our Shoretel Server. I have tried restarting it manually since I am unable to access it remotely on the Shoreware Director. Is it possible for you to do something on your end?
Even to get us back up and phone lines redirecting to my cell? 7807229622. 
Please let me know. 
Thanks
Sent from Jennifer Davidsonâ€™s iPhone_x000D_
  _x000D_
### Have you opened a ticket about this issue before?  _x000D_
 No  _x000D_
  _x000D_
### How many users are impacted by this issue?  _x000D_
 Everyone  _x000D_
  _x000D_
### How would you classify this issue?  _x000D_
 Work Impacting  _x000D_
  _x000D_
### If your callback number is different than what's on record, please provide it below._x000D_
Service Ticket #1256068 - Outlook Certificate Errors</t>
  </si>
  <si>
    <t>Outlook Certificate Errors</t>
  </si>
  <si>
    <t>CAUTION: This email originated from outside of the MNP network. Be cautious of any embedded links and/or attachments.
MISE EN GARDE: Ce courriel ne provient pas du rÃ©seau de MNP. MÃ©fiez-vous des liens ou piÃ¨ces jointes quâ€™il pourrait contenir.
Hello,
I received these errors when opening Outlook this morning. Do We need to do anything to avoid receiving these errors/comply? Thanks!
[image]
[image]
Nicole Greidanus 
Corporate Digital Solutions
EÂ Â Â Â Â ngreidanus@mhkinsurance.com
DÂ Â Â Â 587.525.6050Â 
CÂ Â Â Â 780.721.1118
12316-107 Avenue, Edmonton, AB T5M 1Z1
www.mhkinsurance.com
[image]
[image]
Weâ€™re ALL here for you! Email or phone us (no visits please).
MHK welcomes e-Transfer payments tobanking@mhkinsurance.com.
If you receive this email in error, please notify us by reply email and destroy this message. MHK complies with Canada's Anti-Spam and Alberta's PIPA Legislations. If you no longer wish to receive emails from MHK, please reply with 'Unsubscribe' in the subject line.</t>
  </si>
  <si>
    <t>Michael Saunders</t>
  </si>
  <si>
    <t>Wallworks - Ongoing HP Plotter Issues</t>
  </si>
  <si>
    <t xml:space="preserve"> This HP Plotter has been a time sink hole for Ali.
 I believe he worked with Exdol on a ticket re: this issue.
 We need to review best driver options, otherwise recommend possibilities for upgrade.
Amin Esmaeili
Manager, Client Experience
DIRECT +1 4036864357       Ext 415
310 - 4000 4 St SE
Calgary,       AB
T2G2W3
Amin.Esmaeili@mnp.ca
mnp.ca [image]
[image]
[image]
From: Michael Saunders &lt;Michael@wallworks.com&gt;
Sent: August 11, 2020 2:35 PM
To: aesmaeili@nextdigital.ca
Subject: HP Plotter
CAUTION:This email originated from outside of the MNP network. Be cautious of any embedded links and/or attachments.
MISE EN GARDE:Ce courriel ne provient pas du rÃ©seau de MNP. MÃ©fiez-vous des liens ou piÃ¨ces jointes quâ€™il pourrait contenir.
Hi Amin,
One of the consequences to the recent upgrade to our server is that I was the only estimator able to print drawings on the HP Designjet 1050C. Mason discovered a driver online that Amil subsequently installed on the server. Although usable this driver is time consuming to use and limits our printing options. We need a better working solution. If you arenâ€™t our current account manager, please forward. Thank you.
Michael Saunders
WALLWORKS
ACOUSTIC ARCHITECTURAL PRODUCTS INC.
Vancouver. Calgary. Edmonton. Winnipeg. Toronto. Montreal.
424 51 Avenue SE, Calgary AB. CA. T2H 0M7
Calgary Office: T(403) 255-3550 Ext 26F: (403) 686-2592
michael@wallworks.com ;www.wallworks.com
[email_signature]</t>
  </si>
  <si>
    <t>Internal Partner Scan-To-Email</t>
  </si>
  <si>
    <t>### Summary of Issue_x000D_
For Internal_x000D_
  _x000D_
### Details of Issue_x000D_
New Printer for Partners - Scan to email isn't working as the IP needs to be added to our internal Relay. Also not sure if a static IP needs to be set for this printer. Current IP is http://192.168.88.59/_x000D_
  _x000D_
### Have you opened a ticket about this issue before?  _x000D_
 No  _x000D_
  _x000D_
### How many users are impacted by this issue?  _x000D_
 Some  _x000D_
  _x000D_
### How would you classify this issue?  _x000D_
 Work Impacting</t>
  </si>
  <si>
    <t>Nextcloud freezing for everyone/kicked out of the cloud repeatedly since 7 a.m.</t>
  </si>
  <si>
    <t>CAUTION: This email originated from outside of the MNP network. Be cautious of any embedded links and/or attachments.
MISE EN GARDE: Ce courriel ne provient pas du rÃ©seau de MNP. MÃ©fiez-vous des liens ou piÃ¨ces jointes quâ€™il pourrait contenir.
Morning,
Everyone in the back of our office keeps getting kicked out of NextCloud and our screens keep freezing.Â  Itâ€™s been like this since 7 a.m. but worse in the last couple hours.Â  It doesnâ€™t seem to be happening to our Receptionist on her computer up front.Â  Is this something that can be fixed?
Thank you.
Linette Rasmussen
Assistant to Robert Simpson
LRasmussen@dursim.com
Durocher Simpson Koehli &amp; Erler LLP
7904 Gateway Blvd.
Edmonton, AB T6E 6C3
Ph:Â  780-420-6850
Fax:Â 780-425-91850</t>
  </si>
  <si>
    <t>Dorota Dziekan</t>
  </si>
  <si>
    <t>CASL Network Down</t>
  </si>
  <si>
    <t>CAUTION: This email originated from outside of the MNP network. Be cautious of any embedded links and/or attachments.
MISE EN GARDE: Ce courriel ne provient pas du rÃ©seau de MNP. MÃ©fiez-vous des liens ou piÃ¨ces jointes quâ€™il pourrait contenir.
Good morning team,
Is someone able to troubleshoot our network connection issues ASAP?
Weâ€™re running an aims trial on the floor this morning and need to be able to access RDS.
Thanks,
-Dan
Sent from my iPhone</t>
  </si>
  <si>
    <t>Shaun Gierent - Scanner need updating</t>
  </si>
  <si>
    <t>### Summary of Issue_x000D_
Scanner need updating_x000D_
  _x000D_
### Details of Issue_x000D_
Scan to email no worky with mnp now_x000D_
  _x000D_
### Have you opened a ticket about this issue before?  _x000D_
 No  _x000D_
  _x000D_
### How many users are impacted by this issue?  _x000D_
 Everyone  _x000D_
  _x000D_
### How would you classify this issue?  _x000D_
 Work Impacting</t>
  </si>
  <si>
    <t>Internet down - Canada ICI Edmonton Manulife office</t>
  </si>
  <si>
    <t>CAUTION: This email originated from outside of the MNP network. Be cautious of any embedded links and/or attachments.
MISE EN GARDE: Ce courriel ne provient pas du rÃ©seau de MNP. MÃ©fiez-vous des liens ou piÃ¨ces jointes quâ€™il pourrait contenir.
Received report that internet is down in our Edmonton Manulife office.
Can you investigate.
Bob</t>
  </si>
  <si>
    <t>Don Yurchevich</t>
  </si>
  <si>
    <t>Don Yurchevich - No Internet</t>
  </si>
  <si>
    <t>Hey team,
Can someone please assist with the issue Don and Jack describe below?
Don is a VIP user.
Thank you,
David
David Stevens
Team Lead, Field Services Technician
DIRECT +1 4036864357
310 - 4000 4 St SE
Calgary, AB
T2G2W3
David.Stevens@mnp.ca
mnp.ca[image]
[image]
From: Don Yurchevich &lt;Don.Y@tritechfallprotection.com&gt;
Sent: Wednesday, August 5, 2020, 7:03 a.m.
To: Jack Emmett; David Stevens
Subject: RE: 
CAUTION: This email originated from outside of the MNP network. Be cautious of any embedded links and/or attachments.
MISE EN GARDE: Ce courriel ne provient pas du rÃ©seau de MNP. MÃ©fiez-vous des liens ou piÃ¨ces jointes quâ€™il pourrait contenir.
Thanks Jack,
David,
I was able to connect to our WiFi and it seems to be working.
Should I have to be connected to WiFi inmy docking station?
Let me know.
Thanks
Don
From: Jack Emmett &lt;Jack.Emmett@cts-industries.com&gt;
Sent: August 5, 2020 6:20 AM
To: David Stevens &lt;dstevens@nextdigital.ca&gt;
Cc: Don Yurchevich &lt;Don.Y@tritechfallprotection.com&gt;
Subject:
Morning David,
Tritech Fall Protection has no internet service this morning. If you could look into this right away that would be great.
Don needs to get up and running.
Thanks David,</t>
  </si>
  <si>
    <t>FW: Ticket#/group2/JON GULAYETS - Poor Performance on RDSVR Share (Projects) -- has been upda</t>
  </si>
  <si>
    <t xml:space="preserve">CAUTION: This email originated from outside of the MNP network. Be cautious of any embedded links and/or attachments.
MISE EN GARDE: Ce courriel ne provient pas du rÃ©seau de MNP. MÃ©fiez-vous des liens ou piÃ¨ces jointes quâ€™il pourrait contenir.
Good morning Jeff / ND Team.Â  We are having issues with the Projects server again today.Â  Occurred earlier this morning around 8:30am and again now 10:45am.Â  Please investigate ASAP.
Thanks!
-jg
Jon Gulayets, Associate
Group2
Architecture Interior Design Ltd.
200, 4706 Â 48th Â Avenue Red Deer AB T4N 6J4
T +1Â 403 340 2200 x 422
C +1 403 872 7422
group2.ca
This email and any files transmitted with it are confidential and intended solely for the use of the individual or entity to whom they are addressed. If you have received this email in error please notify the system manager. This message contains confidential information and is intended only for the individual named. If you are not the named addressee you should not disseminate, distribute or copy this e-mail.
</t>
  </si>
  <si>
    <t>Phones are down for external calling</t>
  </si>
  <si>
    <t>CAUTION: This email originated from outside of the MNP network. Be cautious of any embedded links and/or attachments.
MISE EN GARDE: Ce courriel ne provient pas du rÃ©seau de MNP. MÃ©fiez-vous des liens ou piÃ¨ces jointes quâ€™il pourrait contenir.
Hey Mark,
Howâ€™s it going?
We can make internal calls, but we can't receive or make calls to external numbers.Â Â  I looked at our 3CX dashboard, and there doesnâ€™t appear to be any issues that would affect this.
Can you have a look, please?
Our VOIP provider emailed me yesterday saying that our system is not showing up as registered.Â  I am not sure what this means but have followed up with him.
Cheers,
Chris Quinn
CFO
[image]
9910-103rd Street
Edmonton, AB T5K 2V7
780.426.0015 ext 117
780.970.0056 (cell)
www.ecfoundation.org
Visit ECF on Facebook
or follow us on Twitter!
[Description: Description: imagesCAKE7O7W][http://ec.europa.eu/digital-agenda/futurium/sites/futurium/modules/features/custom/futurium/social-icons/Tw.png]
No Quit, Never Stop!
DISCLAIMER
This communication is intended for the use of the recipient to whom it is addressed, and may contain confidential, personal or privileged information.Â  Please contact us immediately if you are not the intended recipient of this communication, and do not copy, distribute or take action relying on it.Â  Any communication received in error, or subsequent reply should be deleted or destroyed.
If you no longer wish to receive electronic communication from Edmonton Community Foundation, please send an email to: I do not give consent</t>
  </si>
  <si>
    <t>Copitrak down</t>
  </si>
  <si>
    <t>CAUTION: This email originated from outside of the MNP network. Be cautious of any embedded links and/or attachments.
MISE EN GARDE: Ce courriel ne provient pas du rÃ©seau de MNP. MÃ©fiez-vous des liens ou piÃ¨ces jointes quâ€™il pourrait contenir.
Anastasiya Horan
Office Administrator
Durocher Simpson Koehli &amp; Erler LLP
Old Strathcona Law Offices
7904 Gateway Boulevard
Edmonton, AB T6E 6C3
780-420-6850 (ph)
780-425-9185 (fax)
reception@dursim.com</t>
  </si>
  <si>
    <t>FW: Help with a form</t>
  </si>
  <si>
    <t>This needs to go to probably an SA not sure.
[Logo]
Tom CareyÂ  |Â  Project CoordinatorÂ  |Â  p-780.424.NEXT-(6398)Â  |Â  Â tf-1.888.224.5770 Â |Â        Â nextdigital.ca
From: Chris Quinn &lt;CQuinn@ecfoundation.org&gt; 
Sent: Friday, July 31, 2020 3:31 PM
To: Tom Carey &lt;tcarey@nextdigital.ca&gt;
Subject: Help with a form
Howâ€™s it going? Â  Can you direct this to someone that can help fill out this form?Â  It was sent by our Investment Custodian. Cheers, Chris
This sender is trusted.
sophospsmartbannerend
Howâ€™s it going?
Can you direct this to someone that can help fill out this form?Â  It was sent by our Investment Custodian.
Cheers,
Chris</t>
  </si>
  <si>
    <t>SMTP Info</t>
  </si>
  <si>
    <t>Hello,
We are in the process of setting up some automated e-mail from Keymay application server and we require some SMTP information. If a new account is required DoNotReply@keymay.comwas suggested, but Mark should be able to provide a new name if that is not available.
We need the following
SMTP server
SMTP server Port
SSL/TLS requirements for SMTP email service.
Username/password for sending email through smtp server.
Regards,
[image]</t>
  </si>
  <si>
    <t>Sean Berg</t>
  </si>
  <si>
    <t>Sean Berg - rdp issues</t>
  </si>
  <si>
    <t>Hello,
Our team uses a RDP connection to access our files at the office while working from home.
The connection uses this address: 204.191.127.129:60000
When I connected to it, the â€œUnexpected Shutdown Event Trackerâ€ came up which suggests that computer had a problem.
Justin from our IS department said I should send this info to you to investigate.
Sean Berg, B.Sc., HSA
Course Production Coordinator
Alberta Construction Safety Association
Mobile 587-783-4983</t>
  </si>
  <si>
    <t>Raimund Schwind - Security issue with Control and RDSs</t>
  </si>
  <si>
    <t>### Summary of Issue_x000D_
Security issue with Control and RDSs_x000D_
  _x000D_
### Details of Issue_x000D_
Control allows an operator to hop onto various RDS sessions, this is by design and is very useful, however our implementation allows anyone who has access to control or Automate to get into sessions that may be sensitive, such as Carly's.  We need a solution that allows the normal session shadowing to continue for HD, especially for assistance, but protects anyone who may have sensitive information from voyeurism._x000D_
  _x000D_
### Have you opened a ticket about this issue before?  _x000D_
 No  _x000D_
  _x000D_
### How many users are impacted by this issue?  _x000D_
 Everyone  _x000D_
  _x000D_
### How would you classify this issue?  _x000D_
 Work Impacting</t>
  </si>
  <si>
    <t>Concerns &amp; Queries</t>
  </si>
  <si>
    <t>Good Morning
We have a couple of issues we wish to be addressed.
1. We donâ€™t appear to always be getting notices from our regular customers when they issue direct deposits.Â  Has something within our firewall, or some other setting changed to not allow these notifications to come in?Â  It appears to be happening more frequently lately, but that may be the current situation, or vacation.Â  We would still like it checked.
2. WE had emailed Lance last week, but we would like someone to come in and sit with us to discuss plans in the event many members are required to work from home.Â  We were set up in late March, but that solution required the machine to be turned on at the office, and it doesnâ€™t appear to be working any longer.
We are hoping this shouldnâ€™t have been 2 separate requests.Â  Please contact me if you have any questions.
Thanks,
Wayne Lipsett, CPA, CMA
Controller
[image]
6727 75th Street, Edmonton, Alberta, T6E 1T6 Canada
T: 780-421-4372Â Â  F: 780-421-4507Â Â  TF: (888) 421-0488
[mail-icon][Website-icon]
T: 780-462-2448Â Â  F: 780-421-4507Â Â  TF: (844) 462-2448
[mail-icon][Website-icon][social-facebook-button-blue-icon][youtube-icon]
CONFIDENTIAL and/or PRIVILEGED. If received in error please notify the sender and permanently delete.</t>
  </si>
  <si>
    <t>Chris Ippolito - OPAL  - Update Managed Services Proposal</t>
  </si>
  <si>
    <t>### Summary of Issue_x000D_
OPAL  - Update Managed Services Proposal_x000D_
  _x000D_
### Details of Issue_x000D_
The Client Team section is out-of-date and probably other areas too._x000D_
  _x000D_
### Have you opened a ticket about this issue before?  _x000D_
 No  _x000D_
  _x000D_
### How many users are impacted by this issue?  _x000D_
 Some  _x000D_
  _x000D_
### How would you classify this issue?  _x000D_
 Work Impacting</t>
  </si>
  <si>
    <t>Sheldon Briggs</t>
  </si>
  <si>
    <t>Bobcat Calgary - No Internet</t>
  </si>
  <si>
    <t>Has there been an update on this case? Weâ€™re still without internet connection. Â Thank you.
Dan Wilson
Branch Manager
Bobcat of Calgary - Calmont Equipment
403-461-6951
dan.wilson@calmont.ca
On Jul 28, 2020, at 11:03 AM, Board Service &lt;support@nextdigital.ca&gt; wrote:
ï»¿</t>
  </si>
  <si>
    <t>Kim Heroux</t>
  </si>
  <si>
    <t>Lexus of Edmonton - Shoretel Down</t>
  </si>
  <si>
    <t>Good Morning, Â  Our shortel is down, would someone please be able to assist us with this? Â  Thank you, Â  Kim Heroux| Concierge | Lexus of Edmonton Tel: 780-466-8300 | concierge@lexusofe   
Caution! This message was sent from outside your organization.
sophospsmartbannerend 
Good Morning,
Our shortel is down, would someone please be able to assist us with this?
Thank you,
Kim Heroux| Concierge | Lexus of Edmonton 
Tel: 780-466-8300 | concierge@lexusofedmonton.ca Â | www.lexusofedmonton.ca
[cid:image012.png@01D418FF.37D54D80]
Lexus of Edmonton family member since 2016</t>
  </si>
  <si>
    <t>Savan Patel</t>
  </si>
  <si>
    <t>Savan Patel - RDS disconnect frequently</t>
  </si>
  <si>
    <t>### Summary of Issue_x000D_
RDS disconnect frequently_x000D_
  _x000D_
### Details of Issue_x000D_
RDS disconnect frequently while working_x000D_
  _x000D_
### Have you opened a ticket about this issue before?  _x000D_
 No  _x000D_
  _x000D_
### How many users are impacted by this issue?  _x000D_
 One  _x000D_
  _x000D_
### How would you classify this issue?  _x000D_
 Work Impacting  _x000D_
  _x000D_
### If your callback number is different than what's on record, please provide it below._x000D_
587-785-3830</t>
  </si>
  <si>
    <t>Printer Offline</t>
  </si>
  <si>
    <t>Good morning,
My printer is offline and restarting the unit hasnâ€™t helped.
Thanks,
[Email Signature]
Sarah Elliott
Administrative Support / Accounting Support
Ph: (403) 537-9822
Fax: (403) 259-0008
sarahe@janiking.ab.ca
www.janiking.ca</t>
  </si>
  <si>
    <t>Issues with documents - multiple staff</t>
  </si>
  <si>
    <t>Hi there, 
From the past few week Iâ€™m having so many issues with excel docs. Either the screen freezes or the doc. do not open at all. 
Please advise how can we get the issue solved. I had couple managers as well having the same issues. 
The files are located here: 
1. I have to update everyday around 4-5pm
N:\Leaders\Agency Leaders\OHS\9.1 COVID-19 Reports\Working docs\e4c COVID-19 Compiled20200720.xlsx
1. Manager access their folders between 3-5pm everyday but some of them having issues to open the docs.
N:\Leaders\Agency Leaders\OHS\9.1 COVID-19 Reports
Thanks 
M.Luiza Coelho e4c
Senior Manager 
mlcoelho@e4calberta.org
T 780.424.7543 ext 132Â  
9321 Jasper Avenue, Edmonton AB T5H 3T7 
e4calberta.org
--------------------------------------------------------------------------------------------
This message is intended for the use of the individual or entity to which
it is addressed and may contain information that is privileged and 
confidential. If you are not the intended recipient or the employee 
responsible for delivery of the message to the intended recipient, please 
be advised that any dissemination, distribution or copying of this message 
is strictly prohibited. If you have received this message in error, please 
notify us immediately by telephone and return the original email to us or 
destroy this message.
--------------------------------------------------------------------------------------------
e4c supports environmental conservation - please print wisely.</t>
  </si>
  <si>
    <t>Work Ticket</t>
  </si>
  <si>
    <t>I am getting an error report and can not access Work Ticket
[image]
Thank You
Lorrie-Anne Adams
Office Manager
Bonnyville Welding Ltd.
Tel:Â  780-826-3847
Fax: 780-826-1920
Email:Â  ladams@bonnyvillewelding.com</t>
  </si>
  <si>
    <t>Printer Added to Network</t>
  </si>
  <si>
    <t>If possible can we please get the printer set up onto the network?
Printer M454 dw (W1Y45A) in the surgery prep area. Currently hardwired to PVC-D-7094 , and need to get it connected to PVC-D-7096
Thank-you,
Bryce Johnston, BComm, CPA
Hospital Director
Pulse Veterinary Specialists &amp; Emergency
450 Ordze Road, Unit #320
Sherwood Park, AB T8B 0C5
Ph: (780) â€“ 570-9999
[Pulse - Cover]</t>
  </si>
  <si>
    <t>Ethernet Switch / Site Cameras</t>
  </si>
  <si>
    <t>Hi David,
We arenâ€™t having any luck with that new switch going out to our site cameras.
We replaced the SFP in the Stratix out in the field and nothing happened. After that, we replaced the Stratix switch altogether and still not getting any activity.
Is there a chance the Aruba SFP is bad? If so, do we have any spare SFPâ€™s onsite to replace it with?
Thanks,
Codi Hiebert
Engineer Technologist
Baymag Inc.
Plantsite Operations
Exshaw, Alberta
Canada
Phone: 403-673-3790 ext.245</t>
  </si>
  <si>
    <t>Corey Mowles</t>
  </si>
  <si>
    <t>Corey Mowles - Webmail login issues</t>
  </si>
  <si>
    <t>Hello,
Our staff are having a hard time logging into their webmail. When they try to access it through Chrome we get an error message saying the connection is not secure.
Corey Mowles MBA, CRSP
Chief Operating Officer
Edmonton, Alberta, Canada
Direct: 780.395.2992
Edmonton Main: 780.463.5141
Sherwood Park Main: 780.449.6597
www.alignortho.com
[Email Logo Template]
Confidentiality Notice: This message and any attachments are solely for the intended recipient and may contain confidential or privileged information. If you are not the intended recipient, any disclosure, copying, use, or distribution of the information included in this message and any attachment is prohibited. If you have received this communication in error, please notify myself, by reply email and immediately and permanently delete this message and any attachments.</t>
  </si>
  <si>
    <t>URGENT: Wifi issues</t>
  </si>
  <si>
    <t>We have users in our Edmonton office at Manulife saying that they are unable to connect to the Wifi â€“ they are getting a verification error here. The password has been confirmed as the correct one, so Iâ€™m not sure why some are unable to connect, but some are able to.
I am working from home, so I cannot confirm any of this. Please contact Carter Smith at the Edmonton office via csmith@canadaicicapital.caor via his phone 780-702-8088 as someone at the office who is having this issue.
Thank you,
Mike SK
[Logo]
Mike Smith-Knutsen
IT Support Analyst
Canada ICI Capital Corporation
p:[Spacer]780-702-8005 c:  250-995-1286
a:[Spacer]#3540 Manulife Place, 10180-101 Street,
 [Spacer]Edmonton, AB T5J 3S4
w:[Spacer]canadaici.com
e:[Spacer]msmithknutsen@canadaicicapital.ca
[Twitter][Spacer][Linkedin][Spacer][Instagram]
EDMONTON | CALGARY | WINNIPEG | TORONTO | OTTAWA
[Spacer]
This message and any attachments are confidential. If the reader is not the intended recipient, you are hereby notified.</t>
  </si>
  <si>
    <t>Evan Schindel - Printing Problem</t>
  </si>
  <si>
    <t>A bunch of the sales people can not print from their tablets. I as well cannot print from the Desktop in pre-owned.
Sincerely,
[image]
Evan Schindel | General Manager | Lexus of Edmonton 
Tel: 780-466-8300 | eschindel@lexusofedmonton.ca Â | www.lexusofedmonton.ca
[image]
Lexus of Edmonton family member since 2015</t>
  </si>
  <si>
    <t>Shelly Kitchen - Blue Link issues</t>
  </si>
  <si>
    <t>Can someone please help us, everybody in Calgary and Edmonton are getting the same error message.
[image]
[cid:image002.png@01D33C64.42777EC0]
shelly kitchen Â  Â _inside sales
d:587.393.9462 Â | Â p: 403.287.0808
Shelly.Kitchen@cts-industries.comÂ | Â cts-industries.com</t>
  </si>
  <si>
    <t>ShoreTel Showing System Unavailable</t>
  </si>
  <si>
    <t>Hi Dave,
We are having issues with our users being able to login to ShoreTel. They are receiving a System Unavailable message. We rebooted the switches and calls are coming through however the agents are receiving login errors.
Are you able to see any errors on the server side?
Thanks.
Brent Schneider B.Sc, PMP, CISSP, CISA, CRISC, CISMÂ |Â Manager, Information Systems (IS)
Alberta Construction Safety Association
225 Parsons Road SW |Â Edmonton ABÂ |Â T6X 0W6
TÂ 780.453.3311 ext. 7719 |Â FÂ 780.455.1120 |Â TFÂ 1.800.661.ACSA (2272)
www.youracsa.ca
[image][image][image][image]
[HelpPreventTheSpread]</t>
  </si>
  <si>
    <t>Urgent SSL Cert for rdgateway not working?</t>
  </si>
  <si>
    <t>The SSL cert for rdgateway is not working can we please get this updated ASAP. I canâ€™t logon. 
Sent from my iPhone
[image]Â Riccardo Francese
Business Process Manager
T:       +1 (780) 400-7487
C:       +1 (587) 990-0176
F:       +1 (780) 417-6496
E:       RFrancese@siterg.com
W:       WWW.SITERG.COM
#170, 120 Pembina Rd., Sherwood Park, AB, T8H 0M2
The information contained in this e-mail may       contain confidential or privileged material and is intended only for the       stated addressee(s). If you are not the valid addressee, the use,       disclosure, copying or distribution of this information is prohibited and       may be unlawful. If you have received this email message in error, please       notify the sender immediately and delete all copies of the message from       your computer. All information within or opinions expressed in this       message and/or any attachments are those of the author and are not       necessarily those of the Centurion Group.</t>
  </si>
  <si>
    <t>Brad Dennis - WEBSITE BEING BLOCKED</t>
  </si>
  <si>
    <t>### Summary of Issue_x000D_
WEBSITE BEING BLOCKED_x000D_
  _x000D_
### Details of Issue_x000D_
Karen (receptionist) uses a site called EWAY.CA for ordering supplies from Staples. Today she was denied access and the Fortinet shut us down. Can someone please check into it? We use this site on a weekly basis._x000D_
  _x000D_
### Have you opened a ticket about this issue before?  _x000D_
 No  _x000D_
  _x000D_
### How many users are impacted by this issue?  _x000D_
 Everyone  _x000D_
  _x000D_
### How would you classify this issue?  _x000D_
 Work Impacting  _x000D_
  _x000D_
### If your callback number is different than what's on record, please provide it below._x000D_
Karen is our receptionist and will pick up our office number. 780-465-0381</t>
  </si>
  <si>
    <t>Kim Bastide</t>
  </si>
  <si>
    <t>RDS</t>
  </si>
  <si>
    <t>Good morning,
When trying to open up e-mail on RDS â€“ we are getting security alert message.
Kim Bastide
Office Administrator
Corrosion and Abrasion Solutions Ltd.
1604 â€“ 10 Street, Nisku, ABÂ  T9E 0A6
O: 780.461.8333
F: 780.450.2899
Email: kim.bastide@casltd.ca
www.casltd.ca
[cid:image004.png@01D44070.BE0EE8F0]
Disclaimer: This message contains information that may be privileged or confidential and is the property of Corrosion and Abrasion Solutions Ltd. or its subsidiaries. It is intended only for the person to whom it is addressed. If you are not the intended recipient, you are not authorised to read, print, retain, copy disseminate, distribute or use this message or any part thereof. If you receive this message in error, please notify the sender immediately and delete all copies of this message.</t>
  </si>
  <si>
    <t>Email distribution outlook</t>
  </si>
  <si>
    <t>Hi there, 
Please REMOVE the following former employees from the distribution list/outlook as they are inactive users on Outlook.
 Caleb Jacko
 Cole Smith
 Danielle Beaulieu
 Deanna Clarke
 Ernestina Malheiro
 Hana Clark
 Jan Man
 Joylin Fri Ndumanu
 Kara Hewer
 Kathryn East
 Kayla Mcdougall
 Lisa Sumner
 Monique Scheelar
 Paige Butler
 Renay Ristoff
 Sarah Andrews
 Sara-Jayne Johnson Carcerano
 Sherry Saulteaux
 Stephanie Ball
 Vivianne Bridgeman
 Taylor Wood
 Tiffany James
 Wren Cliff
 ZZZ Lauren Pedersen
 ZZZ Naseem Heady
 ZZZ Jazzmin Pablo
 ZZZ Lauren Groves
 Tracy Robison
 Jennie Wiles
Cancel the following RDS accounts as well REMOVE their names from the email directory/Outlook. 
 Rob Fragoso
 Talla Rejaei
 Test 1
 Outreach 1
 Outreach 2
 Outreach 3
 OHS Volunteer
 OHS Volunteer 1
Thanks 
M.Luiza Coelho e4c
Senior Manager 
mlcoelho@e4calberta.org
T 780.424.7543 ext 132Â  
9321 Jasper Avenue, Edmonton AB T5H 3T7 
e4calberta.org
--------------------------------------------------------------------------------------------
This message is intended for the use of the individual or entity to which
it is addressed and may contain information that is privileged and 
confidential. If you are not the intended recipient or the employee 
responsible for delivery of the message to the intended recipient, please 
be advised that any dissemination, distribution or copying of this message 
is strictly prohibited. If you have received this message in error, please 
notify us immediately by telephone and return the original email to us or 
destroy this message.
--------------------------------------------------------------------------------------------
e4c supports environmental conservation - please print wisely.</t>
  </si>
  <si>
    <t>Garnett Germain</t>
  </si>
  <si>
    <t>Garnett Germain - Continued slowness</t>
  </si>
  <si>
    <t>HI there,
My ticket was closed about continued slowness but itâ€™s persisting.Â  Iâ€™ve attached a screenshot of whatâ€™s going on at the time.
[image]
[image]
Garnett Germain CAIB
Client Executive, Commercial Lines
EÂ Â Â Â Â  ggermain@mhkinsurance.com
DÂ Â Â Â  587.525.6013Â 
CÂ Â Â Â  780.910.3870
12316-107 Avenue, Edmonton, AB T5M 1Z1
www.mhkinsurance.com
[image]
[image]
Weâ€™re ALL here for you! Email or phone us (no visits please).
MHK welcomes e-Transfer payments to banking@mhkinsurance.â€‰com.
If you receive this email in error, please notify us by reply email and destroy this message. MHK complies with Canada's Anti-Spam and Alberta's PIPA Legislations. If you no longer wish to receive emails from MHK, please reply with 'Unsubscribe' in the subject line.</t>
  </si>
  <si>
    <t>Copitrak is down! Help please if you are open over the weekend</t>
  </si>
  <si>
    <t>Good morning,
Our copitrak is down and print jobs, photocopies are not being recorded for costs.Â  We canâ€™t scan either with copitrak down.Â  Is there anyway someone may be able to reset Copitrak this weekend?Â  Iâ€™m not sure if there are IT working on the weekends.
Thank you.
Linette Rasmussen
Assistant to Robert Simpson
LRasmussen@dursim.com
Durocher Simpson Koehli &amp; Erler LLP
7904 Gateway Blvd.
Edmonton, AB T6E 6C3
Ph:Â  780-420-6850
Fax:Â 780-425-91850</t>
  </si>
  <si>
    <t>RDS Monitoring</t>
  </si>
  <si>
    <t>Good morning team,
Are you able to advise if we can monitor RDS connectivity for the following laptops over a period of time?
Laptop Number
User Name
X-4192
Bruce Stocks
X-4012
Jim Ross
X-5126
Luis Llanes
X-3230
Bey Sennapha
X-2928
Jeffrey Mamaril
We need to understand how many times RDS connection is lost over a period of 1 week and on which computer stations.
Thanks,
Daniel Chan
Vice President, Canadian Operations
Corrosion and Abrasion Solutions Ltd.
1604 â€“ 10th Street, Nisku, AB, T9E 0A6
O: 780.461.8333
C: 780.996.5547
F: 780.450.2899
Email: daniel.chan@casltd.ca
www.casltd.ca
[image]
Disclaimer: This message contains information that may be privileged or confidential and is the property of Corrosion and Abrasion Solutions Ltd. or its subsidiaries. It is intended only for the person to whom it is addressed. If you are not the intended recipient, you are not authorised to read, print, retain, copy disseminate, distribute or use this message or any part thereof. If you receive this message in error, please notify the sender immediately and delete all copies of this message.</t>
  </si>
  <si>
    <t>RE: TD Bank</t>
  </si>
  <si>
    <t>Hello
It appears that we do need the assistance of Next Digital, I believe an update was done on our server and we are now having issues with logging in to use our remote deposit program with the TD bank
Please see attached from what Kim received from the bank to assist you with getting this done
I have included David with this as he is fully aware as to what computer this is on and could possible assist as I believe he was the one who initially did this
Please do make this a priority so we can do our banking
Your immediate help is appreciated
Thanks in advance
Barb Corsini
Office Manager
PH:Â Â  403 543-3322
Fax:Â  403 543-3325
bcorsini@capital-paper.com
http://www.capital-paper.com/
Capital Paper Recycling Ltd
10595 50th St S.E
Calgary AB
T2C 3E3
"Leaders in paper recovery"
*HOLIDAY ALERT*
Wednesday July 1st 2020
Calgary office is closed
Warehouse hours are 5am â€“ 5pm
Edmonton Office is closed
Warehouse hours are 5:30 â€“ 2:30pm
[image]
From: Barb Corsini 
Sent: Thursday, July 2, 2020 2:01 PM
To: 'Board Service'
Cc: 'David Stevens (dstevens@nextdigital.ca)'; Kim Burns
Subject: RE: TD Bank
Hello
Kim received an email from TD Bank, she is stating Next is not needed, please remove the ticket
Thanks in advance
Barb Corsini
Office Manager
PH:Â Â  403 543-3322
Fax:Â  403 543-3325
bcorsini@capital-paper.com
http://www.capital-paper.com/
Capital Paper Recycling Ltd
10595 50th St S.E
Calgary AB
T2C 3E3
"Leaders in paper recovery"
*HOLIDAY ALERT*
Wednesday July 1st 2020
Calgary office is closed
Warehouse hours are 5am â€“ 5pm
Edmonton Office is closed
Warehouse hours are 5:30 â€“ 2:30pm
[image]
From: Barb Corsini 
Sent: Thursday, July 2, 2020 1:37 PM
To: 'Board Service'
Cc: David Stevens (dstevens@nextdigital.ca); Kim Burns
Subject: TD Bank
Importance: High
Hello
We are having issues with logging into the program so we can do our bank deposits, there was something sent to the system administrator that requires Next to do this so we are able to do deposits, they are stating that an update must have been done as it will not allow us to have access to this anymore
Please make this apriority so we can do a deposit today, I have included David as he is aware of what computer we do this on and could assist if need be
Your immediate help is a greatly appreciated
Thanks in advance
Barb Corsini
Office Manager
PH:Â Â  403 543-3322
Fax:Â  403 543-3325
bcorsini@capital-paper.com
http://www.capital-paper.com/
Capital Paper Recycling Ltd
10595 50th St S.E
Calgary AB
T2C 3E3
"Leaders in paper recovery"
*HOLIDAY ALERT*
Wednesday July 1st 2020
Calgary office is closed
Warehouse hours are 5am â€“ 5pm
Edmonton Office is closed
Warehouse hours are 5:30 â€“ 2:30pm
[image]
Effective immediately, due to the unsecured nature, we cannot accept Interac E-Transfers. *Unless Authorized by Kim Burns.
The information in this email and any attachments is sent by Capital Paper Recycling LTD. and is intended to be confidential and for the use of only the individual or entity named above. The information may be protected by solicitor-client privilege, work product immunity or other legal principles. If the reader of this message is not the intended recipient, you are notified that unauthorized review, retention, dissemination, distribution, copying or other use of or taking any action in reliance upon this information is strictly prohibited. 
If you received this email in error, please notify us immediately by email reply and delete or destroy this message and any copies.</t>
  </si>
  <si>
    <t>Update Required for Bank Deposits</t>
  </si>
  <si>
    <t>Hello
We are having issues with logging into the program so we can do our bank deposits, there was something sent to the system administrator that requires Next to do this so we are able to do deposits, they are stating that an update must have been done as it will not allow us to have access to this anymore
Please make this apriority so we can do a deposit today, I have included David as he is aware of what computer we do this on and could assist if need be
Your immediate help is a greatly appreciated
Thanks in advance
Barb Corsini
Office Manager
PH:Â Â  403 543-3322
Fax:Â  403 543-3325
bcorsini@capital-paper.com
http://www.capital-paper.com/
Capital Paper Recycling Ltd
10595 50th St S.E
Calgary AB
T2C 3E3
"Leaders in paper recovery"
*HOLIDAY ALERT*
Wednesday July 1st 2020
Calgary office is closed
Warehouse hours are 5am â€“ 5pm
Edmonton Office is closed
Warehouse hours are 5:30 â€“ 2:30pm
[image]
Effective immediately, due to the unsecured nature, we cannot accept Interac E-Transfers. *Unless Authorized by Kim Burns.
The information in this email and any attachments is sent by Capital Paper Recycling LTD. and is intended to be confidential and for the use of only the individual or entity named above. The information may be protected by solicitor-client privilege, work product immunity or other legal principles. If the reader of this message is not the intended recipient, you are notified that unauthorized review, retention, dissemination, distribution, copying or other use of or taking any action in reliance upon this information is strictly prohibited. 
If you received this email in error, please notify us immediately by email reply and delete or destroy this message and any copies.</t>
  </si>
  <si>
    <t>RDS sessions = Canada ICI</t>
  </si>
  <si>
    <t>Hi
I am investigating reports that CMS in our RDS environment is having issues for some users.
Can you provide a report for me of who is accessing our rds environment and how long the session has been active for.
Thanks
Bob Troppmann
Managing Partner
Canada ICI Capital Corporation</t>
  </si>
  <si>
    <t>JON GULAYETS - Poor Performance on RDSVR Share (Projects)</t>
  </si>
  <si>
    <t>Please assign to me.
[Logo]
Field Services TechnicianÂ |Â  p-780.424.NEXT-(6398)Â |Â  Â tf-1.888.224.5770Â |Â  Â nextdigital.ca
From: Jon Gulayets &lt;Jon.Gulayets@group2.ca&gt;
Sent: June 29, 2020 10:37 AM
To: Mike Monaghan &lt;mmonaghan@nextdigital.ca&gt;
Subject: RE: Remote Site Visit - Check-In
Struggling with H:/ projects drive again as of right nowâ€¦.Â Â  Â  -jg Â  Jon Gulayets, Associate Â  Group2 Architecture Interior Design Ltd. 200, 4706 Â 48th Â Avenue Red D
Caution! This message was sent from outside your organization.
Allow sender | Block sender
sophospsmartbannerend
Struggling with H:/ projects drive again as of right nowâ€¦.
-jg
Jon Gulayets, Associate
Group2
Architecture Interior Design Ltd.
200, 4706 Â 48th Â Avenue Red Deer AB T4N 6J4
T +1Â 403 340 2200 x 422
C +1 403 872 7422
group2.ca
Group2 is committed to being both responsive and responsible in navigating these extraordinary times with everyoneâ€™s safety in mind. Since the outset of the COVID-19 situation, we have enabled our employees to work remotely, allowing us to continue business operations and maintain our client commitments.
This email and any files transmitted with it are confidential and intended solely for the use of the individual or entity to whom they are addressed. If you have received this email in error please notify the system manager. This message contains confidential information and is intended only for the individual named. If you are not the named addressee you should not disseminate, distribute or copy this e-mail.
From: Mike Monaghan &lt;mmonaghan@nextdigital.ca&gt;
Sent: June-24-20 9:41 AM
To: Jon Gulayets &lt;Jon.Gulayets@group2.ca&gt;
Subject: RE: Remote Site Visit - Check-In
Ok, thank you Jon. I will investigate this shortly.
[Image removed by sender. Logo]
Field Services TechnicianÂ |Â p-780.424.NEXT-(6398)Â |Â Â tf-1.888.224.5770Â |Â Â nextdigital.ca
From: Jon Gulayets &lt;Jon.Gulayets@group2.ca&gt;
Sent: June 24, 2020 9:33 AM
To: Mike Monaghan &lt;mmonaghan@nextdigital.ca&gt;
Subject: RE: Remote Site Visit - Check-In
Network issues yesterday accessing Projects drive for large parts of afternoon.Â  Reported by numerous users.
-jg
Jon Gulayets, Associate
Group2
Architecture Interior Design Ltd.
200, 4706 Â 48th Â Avenue Red Deer AB T4N 6J4
T +1Â 403 340 2200 x 422
C +1 403 872 7422
group2.ca
Group2 is committed to being both responsive and responsible in navigating these extraordinary times with everyoneâ€™s safety in mind. Since the outset of the COVID-19 situation, we have enabled our employees to work remotely, allowing us to continue business operations and maintain our client commitments.
This email and any files transmitted with it are confidential and intended solely for the use of the individual or entity to whom they are addressed. If you have received this email in error please notify the system manager. This message contains confidential information and is intended only for the individual named. If you are not the named addressee you should not disseminate, distribute or copy this e-mail.
From: Mike Monaghan &lt;mmonaghan@nextdigital.ca&gt;
Sent: June-24-20 8:11 AM
To: Jon Gulayets &lt;Jon.Gulayets@group2.ca&gt;
Subject: Remote Site Visit - Check-In
Morning Jon,
Just wanted to touch base as part of our regular remote site visit and determine whether you need our assistance with anything this week? Additionally, have you had reports from any users that are experiencing issues? Please let me know and I will reach out to them ASAP.
Thanks!
[Image removed by sender. Logo]
Field Services TechnicianÂ |Â p-780.424.NEXT-(6398)Â |Â Â tf-1.888.224.5770Â |Â Â nextdigital.ca</t>
  </si>
  <si>
    <t>Quickbooks update</t>
  </si>
  <si>
    <t>Good day,
We have been notified by Quickbooks that we have an update that needs to get done. Could we get someone to get this update completed for us when someone is available.
Please advise
Thank you very much,
Have a great day!
Danielle Villeneuve
[image]
Phone 1-866-967-4760
Fax 1-866-967-2781</t>
  </si>
  <si>
    <t>Signature Orthodontics Inc.</t>
  </si>
  <si>
    <t>Meghan Walker</t>
  </si>
  <si>
    <t>Meghan Walker - New Scanner for Flex room</t>
  </si>
  <si>
    <t>### Summary of Issue_x000D_
New Scanner for Flex room_x000D_
_x000D_
### Details of Issue_x000D_
We need to replace the scanner in the flex room, SO_D-6323.  The new scanner is an Epson Workforce ES-500W, twain driver scanner.  We need it set up to scan into patient charts in Dolphin.  Can I have some remote assistance with this or does it need to be done onsite?_x000D_
_x000D_
### Have you opened a ticket about this issue before?_x000D_
 No_x000D_
_x000D_
### How many users are impacted by this issue?_x000D_
 One_x000D_
_x000D_
### How would you classify this issue?_x000D_
 Work Impacting</t>
  </si>
  <si>
    <t>URGENT: Issue with HeavyJob</t>
  </si>
  <si>
    <t>Can someone call HeavyJob 8004443196
The Consolidation is stuck in a loop and mobile imports are not working
[image]Â Riccardo Francese
Business Process Manager
T: +1 (780) 400-7487
C: +1 (587) 990-0176
F: +1 (780) 417-6496
E: RFrancese@siterg.com
W: WWW.SITERG.COM
#170, 120 Pembina Rd., Sherwood Park, AB, T8H 0M2
The information contained in this e-mail may contain confidential or privileged material and is intended only for the stated addressee(s). If you are not the valid addressee, the use, disclosure, copying or distribution of this information is prohibited and may be unlawful. If you have received this email message in error, please notify the sender immediately and delete all copies of the message from your computer. All information within or opinions expressed in this message and/or any attachments are those of the author and are not necessarily those of the Centurion Group.</t>
  </si>
  <si>
    <t>MHK Servers are up but nothing works</t>
  </si>
  <si>
    <t>MHKâ€™s servers are up, I can log in, but nothing is connecting. Could you please assist? I believe this is a whole user issue
Thanks,
Jana</t>
  </si>
  <si>
    <t>TicketNumber</t>
  </si>
  <si>
    <t>Impact_RecID</t>
  </si>
  <si>
    <t>Severity_RecID</t>
  </si>
  <si>
    <t>Board_RecID</t>
  </si>
  <si>
    <t>DateClassified</t>
  </si>
  <si>
    <t>low-severity alert: creation of forwarding/redirect rule</t>
  </si>
  <si>
    <t>a low-severity alert has been triggered
âš creation of forwarding/redirect rule
severity:â—low
time:2/9/2021 6:15:00 pm (utc)
activity:mailredirect
user:
details: mailredirect. this alert is triggered whenever someone gets access to read your user's email.
                        view alert details</t>
  </si>
  <si>
    <t>hello,
please give stephanie seguin access to the  inbox.</t>
  </si>
  <si>
    <t>hi bryan
welcome back!!
you should not require a new password to save a document.
i feel your frustration with working remotely and not being able to access your documents nor shared drive and not having a successful resolution through our it department.
i am hoping next digital, as i see they are included on this email will provide an explanation as to why they are not able to successfully have resolutions nor solutions to make our working remote successful.
today: be the reason someone smilesðŸ˜Š
bev milne
office manager
mcmurray metis (mna local 1935)
441 sakitawaw trail
fort mcmurray, ab t9h 4p
email:
facebook:www.facebook.com/mcmurraymetis
twitter:www.twitter.com/mcmurraymetis
website:www.mcmurraymetis.org
please consider the environment before printing this email.
this message contains confidential information and is intended only for named addresses.
if you believe that you received this email in error please notify the original sender and delete all copies.
bev
now that iâ€™m back at the office, my computer wonâ€™t allow me to save documents- with out a new pass word
is the local requiring everyone to create new pass words?
it seems to me, since we made the change we are finding our selves paying for all kinds of services, that - this comp any should provide- furthermore, if they are demanding -
i was able to use my computer where i traveled before, and now is has become a money maker for mnp? as they keep sending tickets for services, that should already be provided?
bryan fayant, disaster recovery strategist
mcmurray mÃ©tis (mna local 1935)
441 sakitawaw trail
fort mcmurray, ab t9h 4p
office:
email:
facebook:www.facebook.com/mcmurraymetis
twitter:www.twitter.com/mcmurraymetis
website:www.mcmurraymetis.org
pplease consider the environment before printing this email.
this message contains confidential information and is intended only for the named addressees.
if you believe that you received this email in error please notify the original sender and delete all copies.</t>
  </si>
  <si>
    <t>need my password for exchange to set up email on new phone.
president
d: (403) 723-337
attics â€¢ roofing â€¢spray foam â€¢walls â€¢spider</t>
  </si>
  <si>
    <t>opal doc review - setup o365 tenant
https://nextdigital.itglue.com/404#version=published&amp;documentmode=edit
 no  
 one  
 minor inconvenience</t>
  </si>
  <si>
    <t>bev
now that iâ€™m back at the office, my computer wonâ€™t allow me to save documents- with out a new pass word
is the local requiring everyone to create new pass words?
it seems to me, since we made the change we are finding our selves paying for all kinds of services, that - this comp any should provide- furthermore, if they are demanding -
i was able to use my computer where i traveled before, and now is has become a money maker for mnp? as they keep sending tickets for services, that should already be provided?
, disaster recovery strategist
mcmurray mÃ©tis (mna local 1935)
441 sakitawaw trail
fort mcmurray, ab t9h 4p
office:
email:
facebook:www.facebook.com/mcmurraymetis
twitter:www.twitter.com/mcmurraymetis
website:www.mcmurraymetis.org
pplease consider the environment before printing this email.
this message contains confidential information and is intended only for the named addressees.
if you believe that you received this email in error please notify the original sender and delete all copies.</t>
  </si>
  <si>
    <t>email delivery issues from 
marcel sends emails to  that include photos, and they are never received. work around in place to have him send to a personal email, is working ok.
he can email fine w/o pictures.. 
having problems with sophos anti-spam, unable to login to add marcel to a whitelist.
please assist.
 no  
 one  
 work impacting</t>
  </si>
  <si>
    <t>download  scanner
our fax/printer machine also has a scanner and i am wondering if it was downloaded to my system
 no  
 some  
 work impacting</t>
  </si>
  <si>
    <t>need changes to calmont sales group email list
can you please take shamir shaikh and doug podulsky off of the email list above and add sabrina tabak to the list please.</t>
  </si>
  <si>
    <t>expand drive
expand c: on nc-pgh-rds01 at pilgrim's hospice by 30gb.
approval from opal in 1360396.
 no  
 everyone  
 work impacting</t>
  </si>
  <si>
    <t>managed network computer - 03/26/2021</t>
  </si>
  <si>
    <t>monitoring indicates that there is a configuration expiring in the next 45 days. see attached configuration for details.</t>
  </si>
  <si>
    <t>fw: upgrading an old server</t>
  </si>
  <si>
    <t>project estimator
ph.Â +
14505 114th avenue nw
edmonton, ab
t5m2y8
mnp.ca
i managed to find the ram for that server i was looking for.Â  i was wondering if you could access the following items, all or partially is fine.
i need an older cpu to finish the upgrade.
xeon e5430 quadcore 2.66ghz 12mb l2 cache 1333mhz fsb socketj(lga771) 45nm 64bit 80w processor.
it is for thatÂ older ibmÂ system x3550 (7978)Â server.
i also need the heatsink for this system and a dual 1inch box fan for inside the case.
ibm 26k8082 26k8083 40 mm cpu cooling fan for x3550 1u server.
ibm cpu heatsink system x3550 39y broadmoor boulevard, suite 132, sherwood park, alberta, ca, t8h 0g1</t>
  </si>
  <si>
    <t>re: ticket #1317955/request - email to be forward - received</t>
  </si>
  <si>
    <t>hello,
rashida is now backÂ  at work, please make the following adjustment to 2 emails:
1. remove fiona access to rashidaâ€™s email.
2.  to go to only rashida and wendy
please advise when complete.</t>
  </si>
  <si>
    <t>oulook inbox is showing as empty on my surface pro and mac connections.  still receiving on my phone</t>
  </si>
  <si>
    <t>, m.ed., llb., r.psych.
she/her
chief operating officer
t: 403.205.525
180, 839 5 ave sw  calgary, ab  t2p 3c8
carya (formerly calgary family services)
want to learn more about carya?Â sign up for our newsletter!
in the spirit of our efforts to promote reconciliation, we acknowledge the traditional territories and oral practices of the blackfoot, the tsuut'ina, the stoney nakoda first nations, the mÃ©tis nation region 3, and all people who make their homes in the treaty 7 region of southern alberta. we also respectfully acknowledge that the province of alberta is comprised of treaty 6, treaty 7, and treaty  during business hours (monday-friday, 8:30am-4:3) and in case of an emergency dial 911.
this e-mail is intended solely for the person or entity to which it is addressed and may contain confidential and/or privileged information. any review, dissemination, copying, printing, forwarding or other use of this e-mail by persons or entities other than the addressee is prohibited. if you have received this e-mail in error, please contact the sender immediately and delete the material from your computer.</t>
  </si>
  <si>
    <t>courtney holick - re: tina buchanan, access to email</t>
  </si>
  <si>
    <t>hi nd,
can you please give tina access to email 
as a secondary inbox ?</t>
  </si>
  <si>
    <t>[jira] (tiap-1012) re: set up new printer</t>
  </si>
  <si>
    <t>susanne staer added 1 new comment. toronto innovation acceleration partners/tiap-1012 re: set up new printer 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
susanne staer added 1 new comment.
toronto innovation acceleration partners
/Â Â    Â  tiap-1012
 re: set up new printer 
  susanne staer  11:03Â amÂ est
letâ€™s discuss this now at 11?
view issue
get jira notifications on your phone! download the jira cloud app for android or ios.
manage notifications   Â â€¢Â    give feedback   Â â€¢Â    privacy policy</t>
  </si>
  <si>
    <t>keyboard issue</t>
  </si>
  <si>
    <t>hello. i realized that my keyboard settings have changed. i can no longer type in the ``at`sign for email addresses and i have the weird e symbol.
i tried changing the setting but have had any luck finding what i need to change can you please check my keyboard settings so that i can type email addresses. thanks.
i currently am typing at home with a dell keyboard sk-811
f:
220 summit plaza 190 boudreau road st. albert ab t8n 6b9// landrex.com
private and confidential - the information transmitted is intended only for the person or entity to which it is addressed and may contain proprietary, business-confidential and/or privileged material.Â  if you are not the intended recipient of this message you are hereby notified that any use, review, retransmission, dissemination, distribution, reproduction or any action taken in reliance upon this message is prohibited. if you received this in error, please contact the sender and delete the message and any related attachments or copies.</t>
  </si>
  <si>
    <t>folder access and title change
i have a staff named breanne stephen who moved into a lead role. i need her to have access to our lead folder. i also need her title changed to transitional case coordinator.
 no  
 one  
 work impacting</t>
  </si>
  <si>
    <t>email settings - laura culham-lovig
hi there, i need to give laura access to send emails "on behalf of" or "from" the  email address from her own inbox. 
zheng yuan and myself have this capability already, i just need that replicated for laura. thank you!
 no  
 one  
 work impacting</t>
  </si>
  <si>
    <t>please remove me from your e mail list.</t>
  </si>
  <si>
    <t>fw: monitors</t>
  </si>
  <si>
    <t>hi,
i need two 22 inch monitors for calgary truck center please.
courtney holick, cpa, cma
chief financial officer
14610 yellowhead trail nw edmonton, ab, t5l 3cÂ Â Â Â  toll free: Â Â Â Â  direct: 780-409-335
email:
website:www.calmont.ca
this email, and any files transmitted with it, are confidential and are intended solely for the use of the individual or entity to which they are addressed. any unauthorized use or disclosure is prohibited. please notify the sender if you have received this email in error. thank you for your co-operation.</t>
  </si>
  <si>
    <t>hello i would like to add something onto my digital signature in my email.</t>
  </si>
  <si>
    <t>desktop sage links</t>
  </si>
  <si>
    <t>good afternoon,
can we please get the 3 old links to sage deleted from the server profiles?
there is one for 2018, 2019, 2020, &amp; 2021 â€“ we only need the most current version.</t>
  </si>
  <si>
    <t>blue circle ins.  nc-bci-be02 drive expansion
-please expand nc-bci-be02\d: drive by 30 gb
 no  
 everyone  
 work impacting</t>
  </si>
  <si>
    <t>registration required for bluebeam revu
bluebeam asks for product registration when trying to switch to revu mode.
 no  
 one  
 minor inconvenience</t>
  </si>
  <si>
    <t>office group</t>
  </si>
  <si>
    <t>can you please add stratco@r3demo to the office group,</t>
  </si>
  <si>
    <t>fw: sql server message</t>
  </si>
  <si>
    <t>hi there,
i received this email message, could you please explain what this message means?</t>
  </si>
  <si>
    <t>new phone - authenticator not set up</t>
  </si>
  <si>
    <t>hello,
i did not set up the authenticator app on my new phone prior to wiping my old phone. now i cannot get my work email on my new phone as authenticator keeps sending the code to my mobile device, my old mobile device.
can someone clear this so i can finish the setup on my new phone?
lean coordinatorÂ 
phone/fax: 780.1 111 avenue nwÂ Â edmonton, abÂ Â t5s 1y1</t>
  </si>
  <si>
    <t>login problems new user urgent</t>
  </si>
  <si>
    <t>hi there,
darlene chinna is having issues logging in this morning.Â  she turned on the computer and it is locked. Â please call me as soon as possible.</t>
  </si>
  <si>
    <t>azure global admin</t>
  </si>
  <si>
    <t>i need to discuss the azure global administrator accounts, do they need to be in a group or remove.
senior manager, information technology
phone/fax: 
21421 111 avenue nwÂ Â edmonton, abÂ Â t5s 1y1</t>
  </si>
  <si>
    <t>group client not recieving clientconnect invitation
client has checked her spam/junk folder and we have verified her e-mail address. send 
 yes  
 one  
 work impacting</t>
  </si>
  <si>
    <t>monitor request</t>
  </si>
  <si>
    <t>hi,
i need two 22 inch monitors for calgary truck center please.
, cpa, cma
chief financial officer
14610 yellowhead trail nw edmonton, ab, t5l 3cÂ Â Â Â  toll free: Â Â Â Â  direct: 780-409-335
email: 
website: www.calmont.ca
this email, and any files transmitted with it, are confidential and are intended solely for the use of the individual or entity to which they are addressed. any unauthorized use or disclosure is prohibited. please notify the sender if you have received this email in error. thank you for your co-operation.</t>
  </si>
  <si>
    <t>email account created
email account created for anne mckinnon
 no  
 some  
 work impacting</t>
  </si>
  <si>
    <t>voice and video not working for business connect meetings</t>
  </si>
  <si>
    <t>this morning with our business connect meeting i was unable to start up my video. when the meeting was already in progress. i could hear and see everyone. my voice and video was not working. the only way i could communicate was through chat and to type. then half way through some boxes came up and interrupted my meeting. i had to exit the meeting and restart. i still could not get any video or voice to join in the business connect meeting. i could have some help with this?</t>
  </si>
  <si>
    <t>everest and kilimanjaro</t>
  </si>
  <si>
    <t>can i get you guys to deactivate monitoring on everest and kilimanjaro?Â  i will be decommissioning them over the next couple of days.
it systems administrator
apex
t: 403. blindman drive, red deer county, alberta t4s 2m4
www.apexoil.ca</t>
  </si>
  <si>
    <t>printers
delete from the server: printer named
pml- adminoffice.samsung x4300
pml-reception-samsung-x4300
pml-admission-hp-e77830
pml-admission-hpm477pcl6
pml-councilorsoffice-hpcm2320
 no  
 some  
 minor inconvenience</t>
  </si>
  <si>
    <t>baymag - videocam with tripod</t>
  </si>
  <si>
    <t>hi curt
i spoke with ali yesterday and he was going to open a ticket for some hardware the lab is looking for:
1. camcorder
2. tripod for camcorder
 ext. 22
email: 
hi kara,
could you please check a decent quality video cam with a tripod? i need to get one for the r&amp;d lab.</t>
  </si>
  <si>
    <t>re: re: phone recording</t>
  </si>
  <si>
    <t>hello there,
not sure if kyle from lexus has called in to the help desk to deal with the issue below but could someone please reach out to tom at oak system per his email below in order to have a look into the issue that lexus is having with their call recording software.
shawn parks
business development
ph.Â +       ext 321
14505 114th avenue nw
edmonton,       ab
t5m2y8
mnp.ca 
hi kyle,
are you able to have someone/it department connect me to the call recording server vialogmein12 720 6968
ticket ref:Â 16482
please ensure all new requests or queries are emailed directly toÂ 
 family member since 200   Â www.lexusofedmonton.ca. this will ensure that a case is raised to an available engineer.
on tue, 25 aug at 6:21 pm, oak innovation service desk &lt;&gt; wrote:
hiÂ kyle,
i've called your it support number and i have left a message. i will keep you updated with regards to getting the call recording site back up.
kind regards,
tom
+ 
ticket ref:Â 16482
please ensure all new requests or queries are emailed directly toÂ  this will ensure that a case is raised to an available engineer.
1</t>
  </si>
  <si>
    <t>change vpn idle logout time to 9 hours</t>
  </si>
  <si>
    <t>for ticket creation, please send to me.
darryl burkhardt
field services technician
ph.Â +
14505 114th avenue nw
edmonton,       ab
t5m2y8
mnp.ca 
can you increase it to 9 hours?
i could increase the setting. that setting exists for security purposes. did you want me to increase it? if so, how long would you like it to be?</t>
  </si>
  <si>
    <t>dave, wordpress has been updated on your managed wordpress site(s).</t>
  </si>
  <si>
    <t>need help?contact us.
dave beharrel
a new version of wordpress has been installed and activated on your site. you should probably swing by to make sure everything looks good. Â â€ŒÂ â€ŒÂ â€ŒÂ â€ŒÂ â€ŒÂ â€Œ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 â€ŒÂ â€ŒÂ â€ŒÂ â€ŒÂ â€ŒÂ â€ŒÂ â€ŒÂ â€ŒÂ â€ŒÂ â€ŒÂ â€ŒÂ â€ŒÂ â€ŒÂ â€ŒÂ â€ŒÂ â€ŒÂ â€ŒÂ â€ŒÂ â€ŒÂ â€ŒÂ â€ŒÂ â€ŒÂ â€ŒÂ â€ŒÂ â€ŒÂ â€ŒÂ â€ŒÂ â€ŒÂ â€ŒÂ â€ŒÂ â€ŒÂ â€ŒÂ â€ŒÂ â€ŒÂ â€ŒÂ â€ŒÂ â€ŒÂ â€Œ
wordpress was updated to a new version on your managed wordpress site(s).
we just updated your site with the latest version of wordpress, 5.6..
please do not reply to this email. emails sent to this address will not be answered.
copyright Â© 083</t>
  </si>
  <si>
    <t>fw: group e-mail</t>
  </si>
  <si>
    <t>is this available from outside customers ? when ever i give it out customers say e-mails wont go through.
trying to set it up with a supplier &amp; he is saying the same thing.</t>
  </si>
  <si>
    <t>i received a call from shaw this afternoon that they would like to replace our modem for internet services in red deer.Â  they will be on site tuesday feb 18 between 8am and 10am.Â  i would like a representative from mnp on site when this replacement occurs to ensure there are no issues with replacement.Â  i would suggest (if possible) to reschedule wednesdayâ€™s virtual site visit with an in peron visit tuesday instead.
the modem is being replaced under shaw workorder:
w/o 2</t>
  </si>
  <si>
    <t>do not see messages for chat in mitel.
cannot see messages for chat witin mitel
 no  
 some  
 work impacting</t>
  </si>
  <si>
    <t>hewes business color printer m452 - tray set up</t>
  </si>
  <si>
    <t>hello mnp it,
i would like to set up all users who have the hewes business color printer m452 to have all 3 trays as individual printers:
business m452 â€“ tray 1 manual
business m452 â€“ tray 2 letterhead
business m452 â€“ tray 3 plain
we are struggling with the loss of the accounting color printer, and re-routing print jobs, but not all users have all the trays.
are you able to perform a search on profile users who have one of the above trays, able to have all the trays pushed to them, or does this have to be set up on each user individually to add the other printers. it appears that no one has the business m452 â€“ tray 1 manual tray. most only have the tray 
edmonton main: 780.463.514
www.alignortho.com</t>
  </si>
  <si>
    <t>open files in background
i am being prevented from moving files due to a message stating " file is open in another program".  this is not the case and is preventing me from filing these jobs properly.  generally i have to wait several days to move certain files.  i have had 3-
 yes  
 some  
 work impacting</t>
  </si>
  <si>
    <t>vpn - no connection to shared drive</t>
  </si>
  <si>
    <t>good afternoon
i am connected to forticlient vpn however not able to connect to shared drive. (i previously had connection)
i can be contacted 
today: be the reason someone smilesðŸ˜Š
bev milne
office manager
mcmurray metis (mna local 1935)
441 sakitawaw trail
fort mcmurray, ab t9h 4p
email:
facebook:www.facebook.com/mcmurraymetis
twitter:www.twitter.com/mcmurraymetis
website:www.mcmurraymetis.org
please consider the environment before printing this email.
this message contains confidential information and is intended only for named addresses.
if you believe that you received this email in error please notify the original sender and delete all copies.</t>
  </si>
  <si>
    <t>attn: terry/dave - field law new hire - service ticket #inc0026132 - user onboarding - brent boisver</t>
  </si>
  <si>
    <t>hello,
please see attached form:
1.Â Â Â Â Â Â Â Â Â Â full name of staff member, as well as the ad name:Â brent boisvert // bboisvert
2.Â Â Â Â Â Â Â Â Â Â location of staff member (edm/ cal/ ykn):Â edm
3.Â Â Â Â Â Â Â Â Â Â user group: (lawyer / manager / staff):Â lawyer
4.Â Â Â Â Â Â Â Â Â Â do they need to be part of any hunt group: (reception or central services etc):Â n/a
5.Â Â Â Â Â Â Â Â Â Â do they need mobility? what is the userâ€™s mobile number?Â no
6.Â Â Â Â Â Â Â Â Â Â do they need a did? (yes / no)Â yes (this will be yes 99/100 times)
7.Â Â Â Â Â Â Â Â Â Â if they are taking over an did, what is the did.Â n/a (usually a special request)
8.Â Â Â Â Â Â Â Â Â Â mac address of the phone that the user needs to be assigned to.Â n/a (not required)
9.Â Â Â Â Â Â Â Â Â Â is scribe feature required? (yes/no)Â ***yes***
10.Â Â Â Â Â Â date due by:Â feb 9th, 2021
 lvs-deskside (calgary)
t f  
400 â€“ 444 7 ave sw, calgary alberta t2p 0x8
"field law" and the field law logo are registered trademarks of field llp. all rights reserved.</t>
  </si>
  <si>
    <t>hi,
can you please tell me when the screen warranty expires on x-5494?
, cpa, cma
chief financial officer
14610 yellowhead trail nw edmonton, ab, t5l 3cÂ Â Â Â  toll free: Â Â Â Â  direct: 780-409-335
email:
website:www.calmont.ca
this email, and any files transmitted with it, are confidential and are intended solely for the use of the individual or entity to which they are addressed. any unauthorized use or disclosure is prohibited. please notify the sender if you have received this email in error. thank you for your co-operation.</t>
  </si>
  <si>
    <t>printer accessed by other programs within e4c
other programs are sending print jobs to the hallway cafe's printer. is there a way we can avoid this? can we make it so you cannot accedd the hallway's printer unless you are on site at the cafe?
 no  
 some  
 minor inconvenience</t>
  </si>
  <si>
    <t>- ali's nd password is expired and he cannot login - help urgently please</t>
  </si>
  <si>
    <t>ali's nd password is expired and he cannot login - help urgently please
ali unable to login to ndremote, rds, etc..
please call ali, 403-608-907
 no  
 one  
 unable to work</t>
  </si>
  <si>
    <t>access to m: directory</t>
  </si>
  <si>
    <t>hi there,
i would like to provide a specific colleague with access to certain folders in the m: directory but i would like to check to see who has authorizations in the m: directory first. could you please call me when youâ€™re ready to discuss directory and folder permissions?</t>
  </si>
  <si>
    <t>hi there,
please see below spam email â€“ this was sent to multiple people on our team.Â  can you please block the sender.
our team has been warned and reminded to always pay attention to the â€œsender addressâ€.</t>
  </si>
  <si>
    <t>fw: notice of upcoming new hire - claire a. schneider</t>
  </si>
  <si>
    <t>hello,
this email is to notify you of an upcomingnew hire in hr:
distribution list &amp; action required â€“ claire schneiderdoh february 11, 2021
it
rds: request for rds/network access .
canfit update/login
e-mail: request for outlook account.
(please add access to  )
e-mail signature set-up:
-Â Â Â Â Â Â Â Â Â  name: claire a. schneider cphr
-Â Â Â Â Â Â Â Â Â  position: human resources business partner
-Â Â Â Â Â Â Â Â Â  program: human resources
folder access:
-Â Â Â Â Â Â Â Â Â  n:\business division\human resources
-Â Â Â Â Â Â Â Â Â Â  n:\leaders\agency leaders
apple id creation: request for apple id.
cell-phone access:request for cell-phone.
staff distribution list: leaders, all staff
shore-tel access required.
please send account details to:  ()
payroll/finance
payroll details will be provided once processed.
reception
please update existing employee list.
communications
for information only.
l&amp;d
for information only.
facilities manager (interim david p.)
keys/code required for alex taylor.
should you have any questions or concerns about this request, please let me know.</t>
  </si>
  <si>
    <t>office 365 e3 license for dr. rebekah gilbert</t>
  </si>
  <si>
    <t>1358989
 add licenses  
 office 365 e3  
1
dr. rebekah gilbert</t>
  </si>
  <si>
    <t>kim bussey
please arrange for kim bussey to have full controls &amp; permissions to all folders under: \e4calberta.internal\ shared folders\new projects\elizabeth house
also, please update her signature to be:
kim bussey e 
c   
edmonton ab
e
 no  
 one  
 work impacting</t>
  </si>
  <si>
    <t>outlook mailboxes</t>
  </si>
  <si>
    <t>hi there,
i just noticed today that i have the following outlook mailboxes assigned to me. the highlighted ones i should not have access to. is this new?
also, there should be no one who has access to diana bosman-kwan, jill repchuk or my outlook account due to payroll concerns. please confirm this for me.</t>
  </si>
  <si>
    <t>re:  telus business connect phone</t>
  </si>
  <si>
    <t>hi there,
can you please have the telus business connect phone appdownloaded onto the following computers below.Â  in addition, this will need to be on the desktop as well as rds for all units. Â these are all in the nursing station so if you need assistance for screen share on anything else, please contact joscelyne rivard at ext. 104.
 joscelyne rivard
 nursing station
 nursing station 2</t>
  </si>
  <si>
    <t>problem - mfp resources - teams calling within rds</t>
  </si>
  <si>
    <t>mfp resources
teams calling within rds
client would like to use teams from within next cloud rds to do video meeting/conferencing
does not want to have to go to desktop</t>
  </si>
  <si>
    <t>hewes color printer transition</t>
  </si>
  <si>
    <t>hello lance,
it is confirmed that we will be retiring the hewes color accounting printer. we will leave it in place for the time being and review its function in 60 days. we are not ordering more toner at this time. do not remove this printer device from users.
i would like to immediately install the hewes color ricoh color copier for any color copies Â to the hewes and shpk rds thinprint users who are physically in the hewes office, to have an option to select this printer. it is already on the print service as the ricoh fax, but will need a separate printer created to be the â€œhewes ricoh colorâ€ printer. we only use 8.5 x 1
edmonton main: 780.463.514
www.alignortho.com</t>
  </si>
  <si>
    <t>tina buchanan</t>
  </si>
  <si>
    <t>fw: surface pro 7 quote</t>
  </si>
  <si>
    <t>hello,
could you please provide me a quote for a new surface pro 7 tablet. Â this will be for a new employee starting on feb 16.</t>
  </si>
  <si>
    <t>lagging</t>
  </si>
  <si>
    <t>hi,
my computer is still lagging.</t>
  </si>
  <si>
    <t>hello,
i am not sure but does mnp manage our privileges on teams or does someone internal have administrator access for that? i donâ€™t currently have any access to create new team channels for our my team and am wondering if that might be possible?</t>
  </si>
  <si>
    <t>block sender</t>
  </si>
  <si>
    <t>hi there
could you please block this sender for everyone?Â  they made it through our spam filters and i see a few of us received it.</t>
  </si>
  <si>
    <t>domain admin and exchange admin accounts</t>
  </si>
  <si>
    <t>hey team,
this is for total-r inc.Â  we need to create domain admin and exchange admin accounts for the people mentioned in the email below.Â  the attached is an admin approval for these accounts already.
please look into this and flip the change request for review.Â  iâ€™ve uploaded the signed form into it glue already.Â  this will be tied to a project estimate being worked on by the projects team, but these accounts can be created now to allow as requested.</t>
  </si>
  <si>
    <t>hello!
we have a new service request for lifestyle options.Â 
site: lifestyle options edmonton whitemud
address: 4069 106 street edmonton, ab t6j4n
scope of work: fix phone lineÂ in unit 115.Â 
please use po-1826Â 
toll free:Â 
website: Â www.libertysecurity.ca</t>
  </si>
  <si>
    <t>fw: robyn sage change</t>
  </si>
  <si>
    <t>approved, it please set up additional roles per attached.
vice president finance
t:       +
c:       +
f:       +
e:       
w:       www.siterg.com
#170 - 120 pembina rd, sherwood park, alberta, t8h 0m2</t>
  </si>
  <si>
    <t>luiza coelho - fw: notice of upcoming new hire - sadaf mirzahi</t>
  </si>
  <si>
    <t>m.luizacoelho e ext 132
9321 jasper avenue, edmonton ab t5h 3t7
e4calberta.org</t>
  </si>
  <si>
    <t>itms phone system down
our mitel system was not allowing anyone to log in or incoming or outgoing phone calls
 no  
 everyone  
 unable to work</t>
  </si>
  <si>
    <t>- why does my calendar lose it's color coding sometimes?</t>
  </si>
  <si>
    <t>why does my calendar lose it's color coding sometimes?
some days i log in an my calendar has lost all its color coding
 no  
 one  
 minor inconvenience</t>
  </si>
  <si>
    <t>opal - tech guide review - nc low disk space
https://nextdigital.itglue.com/839
owain knows this was coming :)
teams!
 no  
 one  
 minor inconvenience</t>
  </si>
  <si>
    <t>sajjad moving offices, please move adobe acrobat
sajjad is moving office from office 251 to .
both computers are turned on and ready to go.
 no  
 one  
 work impacting</t>
  </si>
  <si>
    <t>urgent: kjeld spearing</t>
  </si>
  <si>
    <t>please reactivate immediately 
sent from my iphone
business process manager
t:       +
c:       +
f:       +
e:       
w:       www.siterg.com
#170, 120 pembina rd., sherwood park, ab, t8h 0m2</t>
  </si>
  <si>
    <t>outlook
outlook won't open
 yes  
 one  
 unable to work</t>
  </si>
  <si>
    <t>hello ,
can i have a technician call me to help me log in into laptop. thanks 
sent from my iphone
shop foreman
t: +
c: +
f: +
e: 
w: www.bearaccessenviro.com
7402 - 50 avenue, bonnyville, ab,       t9n 2h9
the information contained in this e-mail       may contain confidential or privileged material and is intended only for       the stated addressee(s). if you are not the valid addressee, the use,       disclosure, copying or distribution of this information is prohibited and       may be unlawful. if you have received this email message in error, please       notify the sender immediately and delete all copies of the message from       your computer. all information within or opinions expressed in this       message and/or any attachments are those of the author and are not       necessarily those of the centurion group.</t>
  </si>
  <si>
    <t>hello,
are you able to assist me in taking over our hot jar account? these are the instructions i have been given:
you will want to work with the registrar for your domain so they can either add a hotjar.txt file to the website that displays the txt entry or they can submit a dns entry that displays the txt entry so that it's searchable on our end.Â 
it's separate from hotjar, but it will show us that you have authorization to make changes to the domain, which means you are authorized to take over ownership of the data collected on this domain in hotjar.
they also have a link here that walks through the steps of creating a separate file: https://help.hotjar.com/hc/en-us/articles/ ex.526  Â   www.lexusofedmonton.ca
 family member since 2018</t>
  </si>
  <si>
    <t>all staff email
can you make sure lynda rouleau is part of the all staff email as she has not been  receiving these emails.
 yes  
 some  
 work impacting</t>
  </si>
  <si>
    <t>service request - calmont bobcat edmonton - assess internet services</t>
  </si>
  <si>
    <t>hello,
please route this request to the calmontbobcat edmonton fst team.
we need to assess:
1 - how many isp connections we have at that location;
2 â€“ check on the firewall which connections are hooked up;
3 â€“ determine the use of the connections like pos, main internet line or any other usage.
it glue documentation for this location is available athttps://nextdigital.itglue.com/5 114th avenue nw
edmonton,       ab
t5m2y
hi there,Â  by the looks of it we are being charged internet services 3 times a month for bobcat edmonton. once from terago and twice on 2 different invoices from telus. should this be sent to mnp to check into?</t>
  </si>
  <si>
    <t>- tillman, linda - termination, january 29, 2021</t>
  </si>
  <si>
    <t>good morning,
please be advised that linda tillmanâ€™s official last day withcarya was on january 29, 202 c: 403.619.712
180, 839 5 ave sw  calgary, ab  t2p 3c8
carya (formerly calgary family services)
we are working remotely to help calgarians through the covid-19 pandemic. please reach out to us if you need support.carya is here for you.
in the spirit of our efforts to promote reconciliation, we acknowledge the traditional territories and oral practices of the blackfoot, the tsuut'ina, the stoney nakoda first nations, the mÃ©tis nation region 3, and all people who make their homes in the treaty 7 region of southern alberta. we also respectfully acknowledge that the province of alberta is comprised of treaty 6, treaty 7, and treaty  during business hours (monday-friday, 8:30am-4:3) and in case of an emergency dial 911.
this e-mail is intended solely for the person or entity to which it is addressed and may contain confidential and/or privileged information. any review, dissemination, copying, printing, forwarding or other use of this e-mail by persons or entities other than the addressee is prohibited. if you have received this e-mail in error, please contact the sender immediately and delete the material from your computer.</t>
  </si>
  <si>
    <t>unhealthy identity synchronization notification: february 8, 2021 0:07 utc</t>
  </si>
  <si>
    <t>find out how to troubleshoot this issue.Â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 ---
---
your identity synchronization from on-premises is unhealthy
on february 8, 2021 0:07 utc, azure active directory did not register a synchronization attempt from the identity synchronization tool in the last 24 hours for  .
for information on troubleshooting this issue, please see the directory synchronization troubleshooter resource.
--- ---
--- 
do not reply to this message. it was sent from an unmonitored email account.
--- ---
---
--- ---
--- 
privacy statement
microsoft corporation, one microsoft way, redmond, wa 98052
--- ---
---</t>
  </si>
  <si>
    <t>bankert, tyson - rehire, february 9, 2021</t>
  </si>
  <si>
    <t>good morning,
please be advised that tyson will be returning to work tomorrow, february 9, 202 c: 403.619.712
180, 839 5 ave sw  calgary, ab  t2p 3c8
carya (formerly calgary family services)
we are working remotely to help calgarians through the covid-19 pandemic. please reach out to us if you need support.carya is here for you.
in the spirit of our efforts to promote reconciliation, we acknowledge the traditional territories and oral practices of the blackfoot, the tsuut'ina, the stoney nakoda first nations, the mÃ©tis nation region 3, and all people who make their homes in the treaty 7 region of southern alberta. we also respectfully acknowledge that the province of alberta is comprised of treaty 6, treaty 7, and treaty  during business hours (monday-friday, 8:30am-4:3) and in case of an emergency dial 911.
this e-mail is intended solely for the person or entity to which it is addressed and may contain confidential and/or privileged information. any review, dissemination, copying, printing, forwarding or other use of this e-mail by persons or entities other than the addressee is prohibited. if you have received this e-mail in error, please contact the sender immediately and delete the material from your computer.</t>
  </si>
  <si>
    <t>luiza coelho - notice of upcoming new hire - tam nguyen</t>
  </si>
  <si>
    <t>hello,
this email is to notify you of an upcoming employee.
we need to enable the account for tam nguyen
distribution list &amp; action required â€“ tam nguyenÂ Â  hiring date feb.8, 2 jasper avenue, edmonton ab t5h 3t7
e4calberta.org</t>
  </si>
  <si>
    <t>re:  email / groups</t>
  </si>
  <si>
    <t>hi there,
are you able to provide me a list of all emails groups only, that are associated with our account.Â  just trying to figure out if weÂ  have one that is not being used that we could change the name of.</t>
  </si>
  <si>
    <t>hello,
i donâ€™t seem to have vehicle tracking in cad.Â  can you please help me out with this? i would appreciate your help as soon as possible as we have a presentation today and i need to check some clearances.
, associate
architect saa, pmp
group2
architecture interior design ltd.
630c 10th street e saskatoon sk s7h 0g9
c +
group2.ca
group2 is committed to being both responsive and responsible in navigating these extraordinary times with everyoneâ€™s safety in mind. since the outset of the covid-19 situation, we have enabled our employees to work remotely, allowing us to continue business operations and maintain our client commitments.</t>
  </si>
  <si>
    <t>network</t>
  </si>
  <si>
    <t>hi â€“ weâ€™re having an issue with our network from our main office to the warehouse. mainly seems to be a communication issue with the printer over there.</t>
  </si>
  <si>
    <t>fw: laptop</t>
  </si>
  <si>
    <t>hi,
i need two laptops please.Â  one for calgary sales at leasing and one for a spare i will keep here.
courtney holick, cpa, cma
chief financial officer
14610 yellowhead trail nw edmonton, ab, t5l 3cÂ Â Â Â  toll free: Â Â Â Â  direct: 780-409-335
email: 
website: www.calmont.ca
this email, and any files transmitted with it, are confidential and are intended solely for the use of the individual or entity to which they are addressed. any unauthorized use or disclosure is prohibited. please notify the sender if you have received this email in error. thank you for your co-operation.</t>
  </si>
  <si>
    <t>toye, cindy - new hire, february 10, 2021</t>
  </si>
  <si>
    <t>good morning,
please be advised that we have cindy toye who will be starting as a coordinator on february 10, 2021 â€“ please see attached form for details.
once her credentials to carya email/cloud are ready, please let me know (please uselacost c: 403.619.712
180, 839 5 ave sw  calgary, ab  t2p 3c8
carya (formerly calgary family services)
we are working remotely to help calgarians through the covid-19 pandemic. please reach out to us if you need support.carya is here for you.
in the spirit of our efforts to promote reconciliation, we acknowledge the traditional territories and oral practices of the blackfoot, the tsuut'ina, the stoney nakoda first nations, the mÃ©tis nation region 3, and all people who make their homes in the treaty 7 region of southern alberta. we also respectfully acknowledge that the province of alberta is comprised of treaty 6, treaty 7, and treaty  during business hours (monday-friday, 8:30am-4:3) and in case of an emergency dial 911.
this e-mail is intended solely for the person or entity to which it is addressed and may contain confidential and/or privileged information. any review, dissemination, copying, printing, forwarding or other use of this e-mail by persons or entities other than the addressee is prohibited. if you have received this e-mail in error, please contact the sender immediately and delete the material from your computer.</t>
  </si>
  <si>
    <t>hi,
thatâ€™s the one saved on the directoryâ€¦might need to have it updatedâ€¦</t>
  </si>
  <si>
    <t>missing sophos
missing sophos on new workstation
 no  
 one  
 minor inconvenience</t>
  </si>
  <si>
    <t>office move at bowness community centre location
hi there, 
the bowmont families together team is moving from our office on the main floor of the bowness community centre to a brand new office space on the second floor of the same building. we will need to have our it moved upstairs. not sure how to proceed :)
 no  
 some  
 minor inconvenience</t>
  </si>
  <si>
    <t>fw: screen shot</t>
  </si>
  <si>
    <t>i canâ€™t read stuff on my screen.Â  i bought a new computer, and every once in a while the screen goes weird.Â  i had copied the cloud icon onto my new computer, and it may not be connecting properly.Â  i works for a while and then it starts getting corrupted.
shelley
sent from my iphone</t>
  </si>
  <si>
    <t>managed server - 03/25/2021</t>
  </si>
  <si>
    <t>pilgrim's hospice
1357867
 add licenses  
 office 365 e3  
1
rebekah gilbert</t>
  </si>
  <si>
    <t>hi,
i need two laptops please.Â  one for calgary sales at leasing and one for a spare i will keep here.
, cpa, cma
chief financial officer
14610 yellowhead trail nw edmonton, ab, t5l 3cÂ Â Â Â  toll free: Â Â Â Â  direct: 780-409-335
email:
website:www.calmont.ca
this email, and any files transmitted with it, are confidential and are intended solely for the use of the individual or entity to which they are addressed. any unauthorized use or disclosure is prohibited. please notify the sender if you have received this email in error. thank you for your co-operation.</t>
  </si>
  <si>
    <t>hello,
this email is to notify you of an upcoming employeehire in the strategy office:
distribution list &amp; action required â€“ lori shortreed doh march 4, 2021
it
rds: request for rds/network access.
canfit update/login
e-mail:request for outlook account.
e-mail signature set-up:
-Â Â Â Â Â Â Â Â Â  name: lori shortreed
-Â Â Â Â Â Â Â Â Â  position: strategic analyst
-Â Â Â Â Â Â Â Â Â  program: strategy office
folder access:
-Â Â Â Â Â Â Â Â Â Â Â Â Â n:\business division\strategy office
-Â Â Â Â Â Â Â Â Â Â Â Â Â n:\general information\internal
-Â Â Â Â Â Â Â Â Â Â Â Â Â n:\leaders\agency leaders
apple id creation: request for apple id.
cell-phone access:( will be delivered by luiza).
staff distribution list: leaders, all staff
shore-tel access required. na
please send account details to: kourch chan ()
payroll/finance
payroll details will be provided once processed.
reception
please update existing employee list.
communications
for information only.
l&amp;d
for information only.
facilities manager (interim david p.)
keys/code required for alex taylor.
should you have any questions or concerns about this request, please let me know.</t>
  </si>
  <si>
    <t>hello,
this email is to notify you of an upcoming employeehire in the strategy office:
distribution list &amp; action required â€“ eric vanspronsen doh march 8, 2021
it
rds: request for rds/network access .
canfit update/login
e-mail:request for outlook account.
e-mail signature set-up:
-Â Â Â Â Â Â Â Â Â  name: eric vanspronsen
-Â Â Â Â Â Â Â Â Â  position: strategic analyst
-Â Â Â Â Â Â Â Â Â  program: strategy office
folder access:
-Â Â Â Â Â Â Â Â Â Â Â Â Â n:\business division\strategy office
-Â Â Â Â Â Â Â Â Â Â Â Â Â n:\general information\internal
-Â Â Â Â Â Â Â Â Â Â Â Â Â n:\leaders\agency leaders
apple id creation: request for apple id.
cell-phone access:( will be delivered by luiza)
staff distribution list: leaders, all staff
shore-tel access required. na
please send account details to: kourch chan ()
payroll/finance
payroll details will be provided once processed.
reception
please update existing employee list.
communications
for information only.
l&amp;d
for information only.
facilities manager (interim david p.)
keys/code required for alex taylor.
should you have any questions or concerns about this request, please let me know.</t>
  </si>
  <si>
    <t>g sinkins thinkbook laptops</t>
  </si>
  <si>
    <t>as per customer setup two lenovo 15 thinkbooks
install sophos home premium
office 365
see sk for details.
partner
ph. +
14505 114th avenue nw
edmonton, ab
t5m2y8
mnp.ca</t>
  </si>
  <si>
    <t>- printer: datamax-oâ€™neil h-8308x</t>
  </si>
  <si>
    <t>printer: datamax-oâ€™neil h-8308x
good morning,
the label printer dimensions are off in our settings and is printing out quarter pages, not full pages. last time it took sri a bit to figure out, but it ended up being the dimensions in the printer settings were wrong. please adjust proper page dimensions on label printer datamax-oâ€™neil h-8308x</t>
  </si>
  <si>
    <t>nunavut planning commission - backup settings review
please review the veeam backup jobs and notifications to review them with current standards.  noted that nextdigital.ca addresses and a distribution groups was still in service for the daily jobs.
 no  
 one  
 minor inconvenience</t>
  </si>
  <si>
    <t>veeam renewal - 03/23/2021</t>
  </si>
  <si>
    <t>no access to all staff general folder
hello i do not have access to the all staff general folder within the shared folder. thank you
 no  
 one  
 work impacting</t>
  </si>
  <si>
    <t>hello,
our pos (point of sales) machine says no ethernet connection.</t>
  </si>
  <si>
    <t>remove computer from domain</t>
  </si>
  <si>
    <t>hello,
we have an employee that due to the pandemic we had to let go.Â  in part of his severance package we let him keep his company laptop.Â  we do however need you to contact him and remove it form the calmont domain and set up a admin user account so he can use it going forward.Â Â  his contact information is anthony miller phone . he is aware you will be calling.
let me know if you require anything else.</t>
  </si>
  <si>
    <t>ibsgazdc02.igloo.local: gpsvc service is not running.  you have an important alert from azure active</t>
  </si>
  <si>
    <t>we have detected a critical alert on one of your instances.Â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 ---
---
Â alert for ibsgazdc02.igloo.local                    
youâ€™re receiving this email because we have detected a critical alert on one of your addomainservice instances.
--- ---
--- 
title:
--- 
gpsvc service is not running.
---
--- --- 
description:
--- 
if the service is stopped or disabled, settings configured by the admin will not be applied and applications and components will not be manageable through group policy. any components or applications that depend on the group policy component might not be functional if the service is disabled.
---
--- --- 
raised:
--- 
february 6, 2021 1:04 utc
---
--- --- 
server:
--- 
ibsgazdc02.igloo.local
---
--- --- 
service:
--- 
igloo.local
---
--- --- 
tenant:
--- 
---
--- ---
---
--- 
recommended action
1. run 'net start gpsvc' on the affected domain controller.
to check health of your services monitored by azure active directory connect health, visit the azure ad connect health portal.
if you no longer wish to receive these notifications, read the instructions for updating your settings. only global administrators can change settings.
--- ---
---
--- ---
--- 
privacy statement
microsoft corporation, one microsoft way, redmond, wa 98052
--- ---
---</t>
  </si>
  <si>
    <t>fyi - this is "from" our board chair, thomas raedler. it almost fooled me....but i know he would never say "cheers".
  cpa, ca
provincial accountant
4809-48 avenue 
red deer, ab t4n 3t
fax: (
https://urldefense.com/v3/http://www.schizophrenia.ab.ca;!!cbowfw0!oupt65razzh60dmmx0avotkaxz2xfgl_8gzjmwwjr8af6qxlqb_wh_zop1n57iy0qa$ 
-----original message-----
hello carrie
are you free at the moment? i need your help with something.</t>
  </si>
  <si>
    <t>urgent help</t>
  </si>
  <si>
    <t>hey
emails are coming from our ceo that he didnâ€™t sent. they are coming from a gmail account.
the emails are going to other employees.
can you help shut this down asap.
block this email as well from incoming on all users.</t>
  </si>
  <si>
    <t>nd internal need a cable run from patch panel to switch
for a new network jack run to kuby energy, i need a cable run run from the patch panel to switch and assigned to kuby energy, just call me and let me know which ports to use and i will plug in the cable into the basement switch where the cable was run
 no  
 some  
 minor inconvenience</t>
  </si>
  <si>
    <t>dell server renewal - support expires 23-mar-2021</t>
  </si>
  <si>
    <t>notice of upcoming new hire - erin mueller</t>
  </si>
  <si>
    <t>hello,
this email is to notify you of an upcoming employee hire in the housing first program:
distribution list &amp; action required â€“ erin mueller doh: february 22, 2021
it
rds: request for rds/network access.
canfit update/login
e-mail: request for outlook account.
e-mail signature set-up:
-Â Â Â Â Â Â Â Â Â  name: erin mueller
-Â Â Â Â Â Â Â Â Â  position: senior team lead
-Â Â Â Â Â Â Â Â Â  program: housing first
folder access:
-Â Â Â Â Â Â Â Â Â  please provide same access as drewe robowtham and andy (andrew) kennedy
apple id creation: request for apple id.
cell-phone access:request for cell-phone.
staff distribution list: leaders, all staff icmt and rrh
shore-tel access required.
please send account details to:
payroll
payroll details will be provided once processed.
finance
mastercard ($5000.00)
reception
please update existing employee list.
communications
for information only.
l&amp;d
for information only.
facilities manager (interim david p.)
alex taylor school access and keys to icmt office and rrh office.
should you have any questions or concerns about this request, please let me know.</t>
  </si>
  <si>
    <t>notice of upcoming new hire - sadaf mirzahi</t>
  </si>
  <si>
    <t>hello,
this email is to notify you of an upcoming employee hire in the strategy office:
distribution list &amp; action required â€“ sadaf mirzahi doh february 9, 2021
it
rds: request for rds/network access.
canfit update/login
e-mail: request for outlook account.
e-mail signature set-up:
-Â Â Â Â Â Â Â Â Â  name: sadaf mirzahi
-Â Â Â Â Â Â Â Â Â  position: research and evaluation coordinator
-Â Â Â Â Â Â Â Â Â  program: strategy office
folder access:
-Â Â Â Â Â Â Â Â Â Â Â Â Â n:\business division\strategy office
-Â Â Â Â Â Â Â Â Â Â Â Â Â n:\general information\internal
-Â Â Â Â Â Â Â Â Â Â Â Â Â n:\leaders\agency leaders
apple id creation: request for apple id.
cell-phone access:( will be delivery on tuesday )
staff distribution list: leaders, all staff
shore-tel access required. na
please send account details to: kourch chan ()
payroll/finance
payroll details will be provided once processed.
reception
please update existing employee list.
communications
for information only.
l&amp;d
for information only.
facilities manager (interim david p.)
keys/code required for alex taylor.
should you have any questions or concerns about this request, please let me know.</t>
  </si>
  <si>
    <t>hi ken
are you able to give me a call today please, i am having issues with excel
things are appearing blank when i open</t>
  </si>
  <si>
    <t>fw: access to jenn stroeder's files</t>
  </si>
  <si>
    <t>hi,
can you please provide samara kambeitz access to jennifer stroederâ€™ s profile on the cloud?Â  she needs to access some documents that are on there.
please advise the steps she needs to access it once it is set up.</t>
  </si>
  <si>
    <t>cascade countertop - cable run to shop</t>
  </si>
  <si>
    <t>shawn kubiski
partner
ph. +
14505 114th avenue nw
edmonton, ab
t5m2y8
mnp.ca
shawn,
can you do up a quote for me for a cable run over at cascade. riccardo is requesting it.
ticket # 1358808 â€“ here are the details:
- 2 cat6 ft6 cables - 30m each Â  @ $1.90 m sell price
- 4 cat 6 keystone jacks Â Â Â Â Â Â Â Â Â Â Â Â Â Â Â  @ $5.28 ea
â€“ 1 - 2 port faceplate Â Â Â Â Â Â Â Â Â Â Â Â Â Â Â Â Â Â Â Â  @ $2.24 ea
- 1 wall caddy Â Â Â Â Â Â Â Â Â Â Â Â Â Â Â Â Â Â Â  Â Â Â Â Â Â Â Â Â Â Â Â Â Â Â  @ $1.25 ea
- 4 hours labor Â Â Â Â Â Â Â Â Â Â Â Â Â Â Â Â Â  Â Â Â Â Â Â Â Â Â Â Â Â Â Â Â  @ $5 114th avenue nw
edmonton, ab
t5m2y8
mnp.ca</t>
  </si>
  <si>
    <t>quote request -  new ceo theresa watson - docking station</t>
  </si>
  <si>
    <t>extended summary
quote request -  - new ceo theresa watson - docking station (laptop - dell inspiron 13-5378)
description
joanne chaolner - new ceo teresa requires compatible docking station
new ceo theresa watson - docking station (laptop - dell inspiron 13-5378)
 the primary contact in connectwise  
calgary
 next digital calgary  
wed 10 feb, 2021  
 no  
 accessories (mice, keyboards, ram/ssd upgrades etc)  
 other  
docking station for laptop model - dell inspiron 13-5378
docking station</t>
  </si>
  <si>
    <t>helen wong - duggan house printer relocation</t>
  </si>
  <si>
    <t>hello,
there is a printer in the duggan house office that was set up for use to my printer only.
we like to move that printer to the main floor, (i think diane may be able to do - diane to confirm)
can someone reach out to diane to set up the link for diane to use the printer at the office.</t>
  </si>
  <si>
    <t>added 1 new comment. toronto innovation acceleration partners/tiap-1005 judy blumstock @ tiap - file/box cleanup 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
 added 1 new comment.
toronto innovation acceleration partners
/Â Â    Â  tiap-1005
 judy blumstock @ tiap - file/box cleanup 
    6:30Â pmÂ est
hi chuck 
sorry about this - i couldn't get free when you called. 
would tomorrow at 3 pm work? that is toronto time, as i recall your team is edmonton based.
best 
judy
sent from my iphone
on feb 4, 2021, at 5:37 pm, chuck corvec &lt;&gt; wrote:ï»¿
view issue
get jira notifications on your phone! download the jira cloud app for android or ios.
manage notifications   Â â€¢Â    give feedback   Â â€¢Â    privacy policy</t>
  </si>
  <si>
    <t>cant gte my cdk intellidealer to open
try to go to the login page and it won't load
 no  
 one  
 work impacting</t>
  </si>
  <si>
    <t>quotevalet: accepted: #aaaq20060 next digital inc. - friday, february 5, 2021 - lenov laptop</t>
  </si>
  <si>
    <t>14505 114th avenue nw, edmonton, ab, t5m 2y8
dear shawn kubiski,
this is an automated notification from the quotevalet system.
****quote accepted****acceptance details:
name: sk
email address: 
signature: *****************
from 
acceptance key: 8673ae65cdb9f9dff6774d5869fdeafd
quote #aaaq20060 next digital inc. - friday, february 5, 2021 - lenov laptop
internal review quote link: https://www.quotevalet.com/concierge.aspx?tenantid=cea2edee-e401-4b8b-9e82-d745c217b9a3&amp;documentid=ede9f0ae-1a49-4d9b-97bd-a46e6fd0ac21&amp;internal=1 - the online quote delivery and acceptance vehicle forquotewerks.</t>
  </si>
  <si>
    <t>hi sean, we are experiencing another issue with excel.Â  i tried to open a file and received the message below.Â  my work around was to download the file and save it as rent roll 2021 ( (ext. 2)
the edmonton cdc is transforming 10 derelict properties into neighbourhood assets:Â 
learn more about ourÂ project 10Â initiative on our website!</t>
  </si>
  <si>
    <t>connectwise automate  
1357016
does connectwise sso work withthe automate thick client?  darryl has to sign in twice when using it - once into cw and then into his ms account.  jorge and i also get 2 credential prompts.</t>
  </si>
  <si>
    <t>fortinet renewal - support expires 22-mar-2021</t>
  </si>
  <si>
    <t>printer setting
please set colour print for my computer 
with the pml- counsellor xerox c8045
 no  
 one  
 minor inconvenience</t>
  </si>
  <si>
    <t>quotevalet: accepted: #aaaq20055 adobe dc</t>
  </si>
  <si>
    <t>14505 114th avenue nw, edmonton, ab, t5m 2y8
dear shawn kubiski,
this is an automated notification from the quotevalet system.
****quote accepted****acceptance details:
name: linette rasmussen
email address: 
signature: *****************
from 
acceptance key: 76329f00b3322313d670ef0b7b8a814d
quote #aaaq20055 adobe dc
internal review quote link: https://www.quotevalet.com/concierge.aspx?tenantid=cea2edee-e401-4b8b-9e82-d745c217b9a3&amp;documentid=fba02148-eab3-4de6-8387-3377ad08f5a3&amp;internal=1
this email was created using quotevalet - the online quote delivery and acceptance vehicle forquotewerks.</t>
  </si>
  <si>
    <t>re: scheduled outage - edmonton february 7th</t>
  </si>
  <si>
    <t>good afternoon
please note that the power outage has been rescheduled to february 15, 2021 (monday â€“ family day). as such, the server willnot be shut down this sunday february 7, 202
this communication is intended for the use of the recipient to which it is addressed, and may contain confidential, personal and or privileged information. please contact us immediately if you are not the intended recipients of this communication, and do not copy, distribute, or take action relying on it. any communication received in error, or subsequent reply, should be deleted or destroyed.
apologies about time discrepancy, but this will end by sunday, february 7th at16:00.
good morning everyone,
the edmonton office will be having a scheduled power outage on sunday, february 7th beginning at 08:00Â mst and ending at sunday, february 7th at 20:00 mst.
category: power outage
location: edmonton
start: sunday, feb 7 â€“ 08:00 mst
end: sunday, feb 7 â€“ 16:0,  or email  and we will be happy to assist you in any way we can.</t>
  </si>
  <si>
    <t>need to change password
neeed to change password
 no  
 one  
 minor inconvenience</t>
  </si>
  <si>
    <t>mnp,
there are two staff we need to have access to their outlook mailboxes through the microsoft portal, as follows:
1. nicole greidanus (ex-employee) â€“ accessible by , jana lumsden and jill repchuk
cÂ Â Â Â  
12316-107 avenue, edmonton, ab  t5m 1z1
www.mhkinsurance.com
we're here to help with your insurance needs. emails       and phone calls are still encouraged. appointments are required for       in-office broker meetings. please wear a mask when       visiting.
mhk welcomes       e-transfer payments to 
if you       receive this email in error, please notify us by reply email and destroy       this message. mhk complies with canada's anti-spam and alberta's pipa       legislations. if you no longer wish to receive emails from mhk, please       reply with 'unsubscribe' in the subject   line.
good morning,
i just noticed that i do not have access to mackenzieâ€™s email (by logging on to outlook/office 36Â 
12316-107 avenue, edmonton, ab t5m 1z1
www.mhkinsurance.com
we're here to help with your insurance needs. emails and phone calls are still encouraged. appointments are required for in-office broker meetings. please wear a mask when visiting.
mhk welcomes e-transfer payments to 
if you receive this email in error, please notify us by reply email and destroy this message. mhk complies with canada's anti-spam and alberta's pipa legislations. if you no longer wish to receive emails from mhk, please reply with 'unsubscribe' in the subject line.</t>
  </si>
  <si>
    <t>frogbelly - webcam with privacy guard</t>
  </si>
  <si>
    <t>project estimator
ph.Â +
14505 114th avenue nw
edmonton, ab
t5m2y8
mnp.ca
that will do â€“ something so it isnâ€™t on all the time or accessible all the time.</t>
  </si>
  <si>
    <t>luiza coelho - email directory update</t>
  </si>
  <si>
    <t>hi there, 
please remove it help desk  from e4c email directory and add support - mnp it managed services 
let me know if you have any questions,</t>
  </si>
  <si>
    <t>assistance to open a file saved from a disc
our client brought us a cd disc woith video surveillance from an accident that we needed to download/copy so that we could upload the file to an insurance company adjuster. michelle completed this, shared to me on the 's' drive, however i can't open any the files and need your assistance to do so. thank you, kim
work: 587-525-603
 no  
 one  
 work impacting</t>
  </si>
  <si>
    <t>adobe acrobat installed on rds for lina fan to use.</t>
  </si>
  <si>
    <t>the primary contact in connectwise  
st. albert
1356988
 next digital edmonton  
thu 11 feb, 2021  
adobe acrobat installed on rds servers for lina fan to use. (1 license, perhaps a few more) this it not for everyone to use on rds.</t>
  </si>
  <si>
    <t>sage accounting software upgrade
hello! i need help installing the 2021 version of sage on our accounting pc. it goes beyond my basic knowledge of installation because there is some tricky stuff related to it living on the server. i attempted to do it myself and keep getting an error message that the connection manager needs to be upgraded, and i remember encountering this same issue when i attempted to upgrade last year as well. could you please have someone who knows their way around sage 50 accounting to call me on monday feb 
 no  
 some  
 work impacting</t>
  </si>
  <si>
    <t>need backup information from january 22</t>
  </si>
  <si>
    <t>david,
iâ€™m wondering if you guys have a system backup from january 22 or sometime there about but prior to jan 2. if you could get back to me first thing friday morning i would really appreciate it.
no form of electronic communication is secure and may be intercepted by others. carya cannot guarantee the receipt of electronic communication nor a timely response. where communication is confidential or time sensitive we recommend you call  during business hours (monday-friday, 8:30am-4:3) and in case of an emergency dial 911.
this e-mail is intended solely for the person or entity to which it is addressed and may contain confidential and/or privileged information. any review, dissemination, copying, printing, forwarding or other use of this e-mail by persons or entities other than the addressee is prohibited. if you have received this e-mail in error, please contact the sender immediately and delete the material from your computer.</t>
  </si>
  <si>
    <t>update signature
please add cell phone number to email signature
780 721 233
 no  
 one  
 minor inconvenience</t>
  </si>
  <si>
    <t>same issues still occurring</t>
  </si>
  <si>
    <t>good afternoonÂ 
i am still having issues with my computer.Â 
-d-700
sent from my iphone
joeyleslie, (she/her) e
f
edmonton ab t5h 3t7
e4calberta.org</t>
  </si>
  <si>
    <t>laptop very slow to or will not start up
the laptop number is x-609
 no  
 everyone  
 work impacting</t>
  </si>
  <si>
    <t>hockey edmonton - surface pro</t>
  </si>
  <si>
    <t>joe â€“ hockey edmonton
surface w/ type cover â€“ standard i5/8g/256
curt giacomoni
project estimator
ph.Â +
14505 114th avenue nw
edmonton, ab
t5m2y8
mnp.ca</t>
  </si>
  <si>
    <t>computers on antivirus plan</t>
  </si>
  <si>
    <t>hello,Â 
i don't think we have all our computers on our antivirus plan. can you let me know what you have and i can see which ones we need to add, if that's the easiest way?</t>
  </si>
  <si>
    <t>a networked piece of machinery needs to have access to a secured file location.
we have a drill line that gets it's files via a shared folder on our 'open' drive. the server does not allow everyone access. can we please add the user to the rights to access the folder on our server?
the file location is on our  server2k8/open/mdl ocean cnc files
the computer credentials are:
user:  auduser
pw:   sunrise
please consider this an urgent matter
 no  
 one  
 unable to work</t>
  </si>
  <si>
    <t>stephen warde - ssd - seagate barracuda 2tb</t>
  </si>
  <si>
    <t>stephen warde
good morning curt. i'm looking for another ssd, same one as i ordered last time, seagate barracuda 2 tb solid state drive 2.5"internal sata (sata/600)
project estimator
ph.Â +
14505 114th avenue nw
edmonton, ab
t5m2y8
mnp.ca</t>
  </si>
  <si>
    <t>luiza coelho - fw: notice of upcoming new hire - lori shortreed</t>
  </si>
  <si>
    <t>fyi
m.luizacoelho e ext 132
9321 jasper avenue, edmonton ab t5h 3t7
e4calberta.org</t>
  </si>
  <si>
    <t>quote - yhp</t>
  </si>
  <si>
    <t>is does not.
m.luizacoelho e ext 132
9321 jasper avenue, edmonton ab t5h 3t7
e4calberta.org</t>
  </si>
  <si>
    <t>quote request - poundmaker - system(x-2730) needs replacement hdd/ 3 systems need ram upgrad...</t>
  </si>
  <si>
    <t>extended summary
quote request - poundmaker - system(x-2730) needs replacement hdd/ 3 systems need ram upgrade(x-2730, 1576 &amp; 3797)
description
poundmaker
thomas: system(x-2730) needs replacement hdd/ 3 systems need ram upgrade
system(x-2730) needs replacement hdd/ 3 systems need ram upgrade(x-2730, 1576 &amp; 
 next digital edmonton  
fri 5 feb, 2021  
 no  
 accessories (mice, keyboards, ram/ssd upgrades etc)  
 ram upgrade  
 hdd/ssd  
x-1576:mn-lenovo4004h1u/sn mj50wn8   x-2730:mn-lenovo10ay001rus/sn mj01yg6a    x-3797: lenovo10hy0020us/sn mj0431v7    all system currently have 4gb and should add 4gb each
 250gb ssd  
 2.5" sata  
1
1x 2.5" ssd and 3 pieces of 4gb ram</t>
  </si>
  <si>
    <t>renewal - vmware - 03/21/2021</t>
  </si>
  <si>
    <t>gordie mcrorie</t>
  </si>
  <si>
    <t>hi
this ticket can be closed as gordie is back to work.
i will still need his email though, as he is only part time.</t>
  </si>
  <si>
    <t>fw: attn: peter - avidxchange upcoming webinar - "avid create-a-check + avidpay: power over your pay</t>
  </si>
  <si>
    <t>please block emails coming from anyone at @avidxchange.com</t>
  </si>
  <si>
    <t>quote request - usb a to b cable for printer - usb a to b request</t>
  </si>
  <si>
    <t>usb a to b cable for printer
poundmaker's lodge
usb a to b request
 the primary contact in connectwise  
st. alberta
1356988
 next digital edmonton  
thu 11 feb, 2021  
 no  
 accessories (mice, keyboards, ram/ssd upgrades etc)  
 other  
usb a to b cable for printer connection to computer.
usb a to b cable</t>
  </si>
  <si>
    <t>access to all tickets in client portal</t>
  </si>
  <si>
    <t>submitted on behalf of rhonda at alberta pulse.
turn on permissions to view all tickets in client portal.
chris ippolito
manager, client experience
ph.Â +       ext 312
14505 114th avenue nw
edmonton,       ab
t5m2y8
mnp.ca 
to be honest, the last time i looked was probably summer.Â  june/july/aug
rhonda
hi rhonda,
i'll submit a request to get that turned back on. do you remember the last time you were able to see all the tickets? i want to see if something was changed on our end that caused this to happen.</t>
  </si>
  <si>
    <t>dell server renewal - support expires 21-mar-2021</t>
  </si>
  <si>
    <t>hi,
must reboot everyday to get printer to function.
can this be fixed?
, senior registered interior designer
ncidq certificate #017331 leed ap idas idc
group2
architecture interior design
630c 10th street e saskatoon sk s7h 0g9
t +
group2.ca
group2 is committed to being both responsive and responsible in navigating thes extraordinary times with everyoneâ€™s safety in mind. since the outset of the covid019 situation, we have enable our employees to work remotely, allowing us to continue business operations and maintain our client commitments.
this email and any files transmitte with it are confidential and intended solely for the use of the individual or entity to whom they are addressed.Â  if you have received this email in error please notify the system manager. this message contains confidential information and is intended only for the individual named. if you are not the named addressee you should not disseminate, distribute or copy this email.</t>
  </si>
  <si>
    <t>lab computer - install pi datalink</t>
  </si>
  <si>
    <t>hi david,
when you are at the plant next wednesday can you install pi datalink on the downstairs lab computer?
i tried to test our excel document that allows the lab tech to enter data into the historian but it failed since we donâ€™t have pi datalink on that machine.</t>
  </si>
  <si>
    <t>greetings,
in resolving a separate issue on my laptop we identified that my microsoft office was upgraded from office  and it seems to be invalidated during these upgrades.
in looking at the issue more in-depth yesterday, it appears that i will no longer be able to use office products after february 7,  version; unfortunately on a fairly tight timeline.
please call me at the cafÃ© at  once this ticket has been looked at.</t>
  </si>
  <si>
    <t>create sophos account for carepros
carepros lists their av and spam filter as sophos, but there appears to be no sophos central login for the client
 no  
 some  
 minor inconvenience</t>
  </si>
  <si>
    <t>grant luiza coelho permission to e4c shared folder
as luiza coelho is the lead in e4c's shared folder restructuring - could you please grant her access and read permission to n:\housing &amp; mental health division?  thank you.
 no  
 one  
 work impacting</t>
  </si>
  <si>
    <t>hello,
can you please talk to  and have her aatrix upgraded immediately.
we need this done today
Â riccardo francese
business process manager
t:       +
c:       +
f:       +
e:       
w:       www.siterg.com
#170, 120 pembina rd., sherwood park, ab, t8h 0m2</t>
  </si>
  <si>
    <t>hi there,
martin has been having trouble with meetings held of teams and google meets. he is able to hear everyone in the meeting, but they cannot hear him.
weâ€™ve gone through and adjusted the mic settings to ensure it is connecting to his headset, and that noise cancellation is off. the mic icons show that it is picking up his voice, but others in the meeting still canâ€™t hear him. this problem does not happen during zoom meetings.
do you have any thoughts for further trouble shooting we can do?</t>
  </si>
  <si>
    <t>fw: re: phone recording</t>
  </si>
  <si>
    <t>high-severity alert: microsoft 365 compliance center</t>
  </si>
  <si>
    <t>a high-severity alert has been triggered
âš microsoft 365 compliance center
severity:â—high
time:2/4/2021 9:47:36 pm (utc)
activity:protection
details: 1 message hit on a5cff8b5-c23e-467f-2000-08d8c95403-1, sent by  to  at time 2/4/2021 9:47:36 pm.
                        view alert details</t>
  </si>
  <si>
    <t>email functionality missing</t>
  </si>
  <si>
    <t>greetings,
when receiving html based emails in the past i had the option to download images in order to view emails from various vendors.Â  that functionality seems to have been removed and all html based emails appear black or are unreadable, see below.
i am not sure if this is part of the upgrade to 365 or is part of a new security update but it does impact most information coming from vendors or marketing tools (which we use and test internally first).</t>
  </si>
  <si>
    <t>email coming from a closed ssa email account</t>
  </si>
  <si>
    <t>good morning,
i received this email last evening and it appears to have come from debbie harper, a closed ssa account, and an unknown account.Â  someone else had mentioned that they received an email that appeared to come from debbie harper as well.Â  debbie harper has not worked for ssa for nearly a year. please check into this for us.</t>
  </si>
  <si>
    <t>fw: quote on surface with accessories</t>
  </si>
  <si>
    <t>good morning,
we need another ms surface package.
can i please get a quote as per our other orders in the past.</t>
  </si>
  <si>
    <t>a low-severity alert has been triggered
âš creation of forwarding/redirect rule
severity:â—low
time:2/3/2021 5:00:00 pm (utc)
activity:mailredirect
user:
details: mailredirect. this alert is triggered whenever someone gets access to read your user's email.
                        view alert details</t>
  </si>
  <si>
    <t>home printer once again not accessible through remote access</t>
  </si>
  <si>
    <t>good morning
my versa link printer is once again not connected via remote accessâ€¦..this has happened a few times since april of 2 jasper avenue, edmonton ab t5h 3t7
e4calberta.org</t>
  </si>
  <si>
    <t>- fw:  | local printing</t>
  </si>
  <si>
    <t>see below please!
can this be done overnight?
ï»¿
external sender: do not click any links or open any attachments unless you trust the sender and know the content is safe.
hi carie,
please advise mnp to update default printer for all users to print locally instead of via the printer server in azure.
ip for konica minolta printer is .
let me know if you need anything further details.</t>
  </si>
  <si>
    <t>fw: e1 and e3 licensing</t>
  </si>
  <si>
    <t>hello,
can we please get 48 more e3 licenses for availability on our system and decrease our e1 licenses by 82 (i believe we have 282)
let me know.
riccardo
business process manager
t: +
c: +
f: +
e: 
w:www.siterg.com
#170, 120 pembina rd., sherwood park, ab, t8h 0m2</t>
  </si>
  <si>
    <t>request for quote to be sent to partners eugene erler &amp; robert simpson and to office manager anastas</t>
  </si>
  <si>
    <t>good morning,
one of the partners eugene erler has asked that i email mnp to request a quote for purchasing the adobe professional or adobe program where we can bookmark our adobe documents to send for filing to the courts.Â  i believe it would be the same adobe program joseph nagy in our office inquired of for him and his staff here in the office.Â  his assistant advised me it was called adobe professional but iâ€™m not sure if that is the correct name?
when you email the quote please forward it to:
reception â€“ 
office manager â€“ anastasiya horan - anastasia ()
eugene erler &amp; robert simpson as partners â€“ &amp;</t>
  </si>
  <si>
    <t>can you please contact hcss and look into archiving all heavybid file from before 2017 and including 2017?
we would like to get them off the list.
business process manager
t:       +
c:       +
f:       +
e:       
w:       www.siterg.com
#170, 120 pembina rd., sherwood park, ab, t8h 0m2</t>
  </si>
  <si>
    <t>disable account
catorina-amanda ryan
no longer employeed
 no  
 one  
 other</t>
  </si>
  <si>
    <t>printer name
please add "julie" in front of printer hp colourlazerjet mfp m278-m281 (redirected 72)
 no  
 some  
 minor inconvenience</t>
  </si>
  <si>
    <t>toshiba printer is still jamming please send tech back to look at it</t>
  </si>
  <si>
    <t>toshiba studio6550c  
 needs a service please</t>
  </si>
  <si>
    <t>[jira] (tiap-1005) judy blumstock @ tiap - file/box cleanup</t>
  </si>
  <si>
    <t>chuck corvec added 3 new comments. toronto innovation acceleration partners/tiap-1005 judy blumstock @ tiap - file/box cleanup 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
chuck corvec added 3 new comments.
toronto innovation acceleration partners
/Â Â    Â  tiap-1005
 judy blumstock @ tiap - file/box cleanup 
  chuck corvec  3:01Â pmÂ est
 called judy
 no answer
 left voicemail
 waiting for call back
  chuck corvec  3:01Â pmÂ est
waiting for judy to call back
  chuck corvec  3:02Â pmÂ est
 called judy
 no answer
 left voicemail
 waiting for call back
view issue
get jira notifications on your phone! download the jira cloud app for android or ios.
manage notifications   Â â€¢Â    give feedback   Â â€¢Â    privacy policy</t>
  </si>
  <si>
    <t>hi dave,
can we have our  phone banks updated to include just one work group for all incoming sales calls -- new and used:
ray sakin -- ext 4702
matthew demosthenous -- ext 1084
shaizad maknojia -- ext 4040
victoria leonardo -- ext 1082
sanshia fernando -- ext 1086
abbas sumra -- ext 4704
daisy chen -- ext 4700
george chau -- ext 4119
shahbaz marediya -- ext 1047
lito santiago -- ext 4106
pauline kamin -- ext 4103
aaron buenaventura - ext 1023
damien nadarajah -- ext 4122</t>
  </si>
  <si>
    <t>could you also delete, cassieâ€™s and carina email</t>
  </si>
  <si>
    <t>priscilla dahdona</t>
  </si>
  <si>
    <t>hi
could you please disable and remove the forwarding on the email of priscilla dahdona.
this will no longer be needed.</t>
  </si>
  <si>
    <t>new user</t>
  </si>
  <si>
    <t>hi
please set up an email, user name and password for david rutherford.Â hhe will be working out of calmont leasing, calgary.Â  please set him up the same as gord max
his start date is february 9, 2021.</t>
  </si>
  <si>
    <t>nd vpn
please send me nd vpn forticlient settings
already have forticlient installed</t>
  </si>
  <si>
    <t>automation for jira made 1 update.Â susanne staer added 1 new comment.Â  toronto innovation acceleration partners/tiap-1010 kristi steed - miworkerbees 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
automation for jira made 1 update.Â susanne staer added 1 new comment.Â 
toronto innovation acceleration partners
/Â Â    Â  tiap-1010
 kristi steed - miworkerbees 
updates
  automation for jira  9:47Â amÂ est
status: waiting for customer  waiting for support
comments
  susanne staer  9:47Â amÂ est
hmm, ok â€“ it is correct then. maybe kristi just doesnâ€™t accept her invites lol. thanks â€“ we can close this ticket then.
view issue
get jira notifications on your phone! download the jira cloud app for android or ios.
manage notifications   Â â€¢Â    give feedback   Â â€¢Â    privacy policy</t>
  </si>
  <si>
    <t>could you please delete tommy, michelle, vernon, errin, jon young, cecileâ€™s emails and the forwarding email boxes as well.</t>
  </si>
  <si>
    <t>install webcams/speakers</t>
  </si>
  <si>
    <t>hi cheryl,
i am pretty sure that we do not have any of your stock at our office but i will check the bench in the morning and we will send a quote if we do not.</t>
  </si>
  <si>
    <t>added 1 new comment. toronto innovation acceleration partners/tiap-1005 judy blumstock @ tiap - file/box cleanup 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
 added 1 new comment.
toronto innovation acceleration partners
/Â Â    Â  tiap-1005
 judy blumstock @ tiap - file/box cleanup 
    5:16Â pmÂ est
hi â€“ can we talk tomorrow (thursday) late in the day toronto time? 5:30 pm?</t>
  </si>
  <si>
    <t>fortinet renewal - support expires 20-mar-2021</t>
  </si>
  <si>
    <t>fw: new email address request</t>
  </si>
  <si>
    <t>please disable michele dowlingâ€™s email account, she is no longer employed by e4c,</t>
  </si>
  <si>
    <t>partner
ph. +
14505 114th avenue nw
edmonton, ab
t5m2y8
mnp.ca
shawn can you sell me a lenovo laptop still? something similar to below. want to connect it to a separate monitor and wireless mouse/keyboard.</t>
  </si>
  <si>
    <t>quote request -  - 2x apple computers - sara and sable</t>
  </si>
  <si>
    <t>- 2021 evergreening - 2 new apple machines to be ordered for sara and sable.
2x apple computers - sara and sable
 the primary contact in connectwise  
calgary
 next digital calgary  
tue 9 feb, 2021  
 yes  
 laptop/ultrabook/tablet computer  
 recommended tier laptop - i5, 8gb ram, 256gb ssd, 14", milspec tested (lenovo only), 3 year warranty  
2
as part of cadas 2021 evergreening strategy, sara bateman and sable sweetgrass have been selected for an upgrade (apple computers).
cada machines mostly consist of macbook air, however please connect with sara and sable to identify their specifications and generate a quote for cada, to be presented to helen.
 yes  
 the computer is part of this quote request  
 the monitor(s) to be connected are part of this quote request  
additional monitors/adapters may not be needed, however please identify what will be required for home usage and at the office (i.e docking stations etc.)</t>
  </si>
  <si>
    <t>fw: laptop for plant</t>
  </si>
  <si>
    <t>hello curt
please quote one only only hp 15.6 laptop (probook 450 g7) and elitebook equivelant.Â  also quote one only docking station.
gilles lafond
purchasing manager
baymag inc
plant # x 23</t>
  </si>
  <si>
    <t>queue groups</t>
  </si>
  <si>
    <t>good morning,
we will be testing our ivr system on friday as we havenâ€™t used in close to a year. with that i was looking at our agents and noticed some of them are not assigned to the correct groups for taking calls in queue. can we please ensure the following agents are assigned to only the groups listed below:
registration group and tech group:
alexander shayne- extension 1861
christina chen- extension 1891
chantelle emmelkemp- extension 1879
faduma ali- extension 1892
holly slade- extension 1876
karen deveau- extension 1875
kim mellow- extension 1871
katie todd- extension 1857
cor group:
asha atkin:-extension 1898
josh kim â€“ extension 1810
jessica mihaly-lassonde 1852
misty musial- extension 1872</t>
  </si>
  <si>
    <t>cannot email from connectwise manage on firefox
when using cw manage in firefox using the email button/function i cannot actually click on/type in the main body of the message dialog. i have to switch to chrome with the ticket url and it works there. somewhat disruptive to my workflow as i usually use firefox exclusively for cw.
 no  
 one  
 minor inconvenience</t>
  </si>
  <si>
    <t>- install 3cx phone for windows</t>
  </si>
  <si>
    <t>good morning,
iâ€™m getting an increasing amount of calls at work while working from home, but i am unable to respond to the without the Â  ext. 107 ( though i canâ€™t answer it currently as i am working from home)</t>
  </si>
  <si>
    <t>renewal - ssl - 02/26/2021</t>
  </si>
  <si>
    <t>techtool activation</t>
  </si>
  <si>
    <t>can someone call chuck â€“ this is an issue with his computer.      
courtney holick, cpa, cma
cfo
calmont
hi courtney,
chuck asked me to send you the case regarding the laptop that we sent to next digital.</t>
  </si>
  <si>
    <t>renewal - ssl - 03/11/2021</t>
  </si>
  <si>
    <t>re: completion: ticket#1333897/albertapulsegrowers/jwatson desktop client portal -- has been updated</t>
  </si>
  <si>
    <t>hello!
can someone call me about this ticket.
call 780-621-
as i understood we didnâ€™t need it anymore coming in from website.
can this be escalated as priority 1 thank you!</t>
  </si>
  <si>
    <t>renewal - ssl - 03/14/2021</t>
  </si>
  <si>
    <t>renewal - ssl - 02/06/2021</t>
  </si>
  <si>
    <t>renewal - domain - 03/11/2021</t>
  </si>
  <si>
    <t>renewal - ssl - 03/07/2021</t>
  </si>
  <si>
    <t>renewal - domain - 03/06/2021</t>
  </si>
  <si>
    <t>quotevalet: accepted: #aaaq19917 next digital inc. - thursday, january 7, 2021 - test</t>
  </si>
  <si>
    <t>14505 114th avenue nw, edmonton, ab, t5m 2y8
dear shawn kubiski,
this is an automated notification from the quotevalet system.
****quote accepted****acceptance details:
name: sk on behalf of customer
email address: 
signature: *****************
from 
acceptance key: 97e05503b6a50ea03b05
quote #aaaq19917 next digital inc. - thursday, january 7, 2021 - test
internal review quote link: https://www.quotevalet.com/concierge.aspx?tenantid=cea2edee-e401-4b8b-9e82-d745c217b9a3&amp;documentid=069fd0b5-0cbd-4825-9329-1cdda0d49487&amp;internal=1
this email was created using quotevalet - the online quote delivery and acceptance vehicle forquotewerks.</t>
  </si>
  <si>
    <t>hi,
can you please give sarah access to the used trucks folder in the s drive?</t>
  </si>
  <si>
    <t>renewal - ssl - 03/03/2021</t>
  </si>
  <si>
    <t>renewal - domain - 02/08/2021</t>
  </si>
  <si>
    <t>renewal - domain - 03/04/2021</t>
  </si>
  <si>
    <t>renewal - ssl - 02/15/2021</t>
  </si>
  <si>
    <t>managed network firewall - 02/04/2021</t>
  </si>
  <si>
    <t>renewal - software - 03/12/2021</t>
  </si>
  <si>
    <t>managed network wifi access - 02/16/2021</t>
  </si>
  <si>
    <t>renewal - domain - 03/10/2021</t>
  </si>
  <si>
    <t>renewal - ssl - 03/10/2021</t>
  </si>
  <si>
    <t>firewall/router - 03/15/2021</t>
  </si>
  <si>
    <t>susanne staer added 1 new comment. toronto innovation acceleration partners/tiap-1019 upgrade to zoom - staff 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
susanne staer added 1 new comment.
toronto innovation acceleration partners
/Â Â    Â  tiap-1019
 upgrade to zoom - staff 
  susanne staer  3:48Â pmÂ est
further to this, john mcgraw has his own computer and may not need your help. he mentioned the following â€“ would that be a good idea?
note that zoom upgrades around every monday or so. i might recommend that it start a regular upgrade schedule with the team as everyone uses it every day. perhaps every other month for zoom and all other software (system, office, zoom etc).
makes sense to me â€“ what do you say?
view issue
get jira notifications on your phone! download the jira cloud app for android or ios.
manage notifications   Â â€¢Â    give feedback   Â â€¢Â    privacy policy</t>
  </si>
  <si>
    <t>renewal - fortinet - 02/07/2021</t>
  </si>
  <si>
    <t>renewal - ssl - 02/05/2021</t>
  </si>
  <si>
    <t>managed network wifi access - 02/18/2021</t>
  </si>
  <si>
    <t>field law cgy - jillissa willaims-ondik her shoretel app is not working</t>
  </si>
  <si>
    <t>this is the message we get.
  lvs-deskside (calgary)
t  f  
400 â€“ 444 7 ave sw, calgary alberta t2p 0x8
"field law" and the field law logo are registered trademarks of field llp. all rights reserved.
hi dave,
i recently did a name change for jillissa willaims-ondik her shoretel app is not working, her ext is 7758. name is jwilliams-ondik changed from jwondik.</t>
  </si>
  <si>
    <t>firewall/router - 02/08/2021</t>
  </si>
  <si>
    <t>renewal notice - managed network wifi access - 02/18/2021</t>
  </si>
  <si>
    <t>renewal - fortinet - 02/02/2021</t>
  </si>
  <si>
    <t>- adefidipe, grace - return to work, february 8, 2021</t>
  </si>
  <si>
    <t>good afternoon,
please be advised that grace adefidipe (formerly ojekunle) will be returning from her mat leave on monday, february 8, 2021 â€“ please see attached form for details.
please advise when her credentials are ready for computer/cloud and penelope live and sandbox (please usec@rya202  e:  f: 
180, 839 5 ave sw  calgary, ab  t2p 3c8
carya (formerly calgary family services)
we are working remotely to help calgarians through the covid-19 pandemic. please reach out to us if you need support.carya is here for you.
in the spirit of our efforts to promote reconciliation, we acknowledge the traditional territories and oral practices of the blackfoot, the tsuut'ina, the stoney nakoda first nations, the mÃ©tis nation region 3, and all people who make their homes in the treaty 7 region of southern alberta. we also respectfully acknowledge that the province of alberta is comprised of treaty 6, treaty 7, and treaty  during business hours (monday-friday, 8:30am-4:3) and in case of an emergency dial 911.
this e-mail is intended solely for the person or entity to which it is addressed and may contain confidential and/or privileged information. any review, dissemination, copying, printing, forwarding or other use of this e-mail by persons or entities other than the addressee is prohibited. if you have received this e-mail in error, please contact the sender immediately and delete the material from your computer.</t>
  </si>
  <si>
    <t>renewal - fortinet - 03/05/2021</t>
  </si>
  <si>
    <t>renewal - ssl - 03/02/2021</t>
  </si>
  <si>
    <t>pilgrim's hospice - nc thinprint license</t>
  </si>
  <si>
    <t>hello,
i am currently following the procedure to create a new user for the pilgrim's hospice organization.
documents - user onboarding (itglue.com)
service ticket #1357867. new user is rebekah gilbert.
https://ndconnect.nextdigital.ca/v4_&amp;companyname=nextdigital
according to the procedure, if there are no more licenses on the thinprint management console, i am to email 
herein is the email.
field services technician
ph.Â +
14505 114th avenue nw
edmonton, ab
t5m2y8
mnp.ca
this email and any accompanying attachments contain confidential information intended only for the individual or entity named above. any dissemination or action taken in reliance on this email or attachments by anyone other than the intended recipient is strictly prohibited. if you believe you have received this message in error, please delete it and contact the sender by return email. in compliance with canada's anti-spam legislation (casl), if you do not wish to receive further electronic communications from mnp, please reply to this email with "remove me" in the subject line.</t>
  </si>
  <si>
    <t>renewal - domain - 03/14/2021</t>
  </si>
  <si>
    <t>good morning
i get this message when i start up my computer.
not sure if i should uninstall it.
your direction is appreciated.
yasmin
intern administratorÂ 
the 
 ext. 252
please note that all aaa staff are working remotely, and the office at duggan house is closed to the public until further notice. we strive to maintain a high level of service and will respond to your email within  ext. 252
please note that all aaa staff are working remotely, and the office at duggan house is closed to the public until further notice. we strive to maintain a high level of service and will respond to your email within 3 business days. please visitwww.aaa.ab.ca for further updates. thank you for your patience during this time.</t>
  </si>
  <si>
    <t>firewall/router - 02/21/2021</t>
  </si>
  <si>
    <t>appliance - 02/03/2021</t>
  </si>
  <si>
    <t>good morning,
yesterday, i received two email addresses that were sent  
stephen renaud has not been with ssa for about a year, but his email should be forwarded to user: tanya behm.
chido aganmayo hasnâ€™t been with ssa since october 2020, and it was requested that her email be discontinued.
can you please check and ensure that these are not being forwarded to my email?
as well as, occasionally i will receive calendar notifications for user: karim alhiane
i have attached an image of what i am referring to. can you please look into this and see why i am receiving his calendar notifications?</t>
  </si>
  <si>
    <t>fw: invoice #20550812 due **spam email**</t>
  </si>
  <si>
    <t>please mark as spam
, bba
business manager
11403 â€“ 174 street edmonton, ab t5s 2p Â Â Â Â Â Â Â Â Â Â Â Â  toll free: Â Â Â Â Â Â  direct:  ext. 
fax: Â (</t>
  </si>
  <si>
    <t>renewal - ssl - 02/21/2021</t>
  </si>
  <si>
    <t>licensing - 02/12/2021</t>
  </si>
  <si>
    <t>renewal - ssl - 02/08/2021</t>
  </si>
  <si>
    <t>renewal - domain - 02/27/2021</t>
  </si>
  <si>
    <t>renewal - domain - 02/26/2021</t>
  </si>
  <si>
    <t>renewal - domain - 02/05/2021</t>
  </si>
  <si>
    <t>renewal - fortinet - 02/16/2021</t>
  </si>
  <si>
    <t>susanne staer added 1 new comment. toronto innovation acceleration partners/tiap-1018 skype not working - need help right away pls 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
susanne staer added 1 new comment.
toronto innovation acceleration partners
/Â Â    Â  tiap-1018
 skype not working - need help right away pls 
  susanne staer  1:4
view issue
get jira notifications on your phone! download the jira cloud app for android or ios.
manage notifications   Â â€¢Â    give feedback   Â â€¢Â    privacy policy</t>
  </si>
  <si>
    <t>lenovo managed server - 03/05/2021</t>
  </si>
  <si>
    <t>renewal - domain - 02/10/2021</t>
  </si>
  <si>
    <t>renewal - fortinet - 03/11/2021</t>
  </si>
  <si>
    <t>renewal - domain - 03/13/2021</t>
  </si>
  <si>
    <t>mnp sss - add mike and kulvinder to unifi controller
mike and kulvinder don't have admin accounts on the unifi controller. other sss's are configured. sss's are super admins.
 no  
 some  
 minor inconvenience</t>
  </si>
  <si>
    <t>renewal - domain - 03/16/2021</t>
  </si>
  <si>
    <t>computer sound is not coming through my headset
computer sound is not coming through my headset
 no  
 one  
 work impacting</t>
  </si>
  <si>
    <t>renewal - vmware - 03/14/2021</t>
  </si>
  <si>
    <t>good morning,
please give sabrina tabak access to the s drive.</t>
  </si>
  <si>
    <t>renewal - software - 03/05/2021</t>
  </si>
  <si>
    <t>fw: request for 2 desktops</t>
  </si>
  <si>
    <t>good afternoon,
i will be needing 2 more lenovo desktops please.</t>
  </si>
  <si>
    <t>renewal - fortinet - 02/03/2021</t>
  </si>
  <si>
    <t>hi,
i have access to everything but used trucks, admin, and winnipeg.</t>
  </si>
  <si>
    <t>renewal - fortinet - 02/13/2021</t>
  </si>
  <si>
    <t>renewal - fortinet - 03/02/2021</t>
  </si>
  <si>
    <t>firewall/router - 03/02/2021</t>
  </si>
  <si>
    <t>quote request -  - new surface laptop for james wheeler</t>
  </si>
  <si>
    <t>- new hire needs workstation
new surface laptop for james wheeler
 the primary contact in connectwise  
vancouver
 dropshipped to client site directly from distribution  
please check with  on preference for delivery.
tue 9 feb, 2021  
 yes  
 laptop/ultrabook/tablet computer  
 recommended tier tablet - i5, 8gb ram, 256gb ssd, 12" touchscreen, 3 year warranty with accidental damage protection  
1
 docking station  
 other  
please include dual monitor setup, docking station and necessary cables/adapters as an option on the quote.
 has requested a quote for a surface laptop that is to be setup for a new cts hire james wheeler.
 yes  
 the computer is part of this quote request  
 the monitor(s) to be connected are part of this quote request</t>
  </si>
  <si>
    <t>renewal notice - firewall/router - 03/19/2021</t>
  </si>
  <si>
    <t>fwd: [advisory] telus network maintenance release #1860217 - march 04, 2021 at 01:01 mountain time -</t>
  </si>
  <si>
    <t>get outlook for android
 - network maintenance affecting igloo building supplies group ltd.'s telus services starting march 04, 2021 at 01:01 mountain time
dear igloo building supplies group ltd.,
please note this is a system generated message. the telus team would like to advise you of an upcoming impact to your telus services between march 04, 2021 at 01:01 mountain time - march 04, 2021 at 05:00 mountain time. every effort will be taken to minimize this service interruption. we apologize for any inconvenience this may cause.
maintenance window: march 04, 2021 at 01:01 mountain time - march 04, 2021 at 05:00 mountain time
change reference number: 1860217
reason for release
 telus needs to perform ahardware upgrade change activity on the infrastructure that impacts your services with us. the activity is needed due tonetwork modernization/evolution
 this maintenance will help ensure your service continues to work how and when you want it to
 this outage could occur at any time during the window and last for periods of up to90 minutes per service
 please note that services without a redundant connection will experience a loss of service during the maintenance window above
 the services with a redundant connection will experience reconvergence hits rather than interruption to service
 telus has made every effort to select a time which is a low usage time for all customers affected by this activity
services affected
customer namecsidcustomer servicesnotesaddress
--- --- --- --- --- 
igloo building supplies group ltd.2 184 st nw_business internet 20-100 mbps_0001Â 1211ibsg_edtnab_12832 184 st nw_bi/wan l3 vpn wireless resiliency_0001Â 12832 184 st nw, edmonton, ab
contact information
general inquiries: if you have any questions about this advisory please contact telus national change management:
 email:
 phone:  (08:00 - 16:30 mt monday to friday)
service issues: if a problem with your service is found upon completion of this work activity report it to:
 your telus support desk / general repair / assurance number (if applicable); or,
 the telus national customer support centre (ncsc) at 
let them know your call is related to this change advisory and provide the above change reference number.</t>
  </si>
  <si>
    <t>renewal - vmware - 03/17/2021</t>
  </si>
  <si>
    <t>remote desktop connection not connecting</t>
  </si>
  <si>
    <t>good morning,
i canâ€™t log onto the remote desktop this morning even after shutting down for a couple mins and restarting my computer six times.Â  iâ€™m not sure what to do now?
assistant to robert simpson
durocher simpson koehli &amp; erler
7904 gateway blvd.
edmonton, abÂ Â  t6e 6c
fax:</t>
  </si>
  <si>
    <t>domain renewal notice</t>
  </si>
  <si>
    <t>please quote a renewal for the attached domain, config attached, which expires within 90 days.</t>
  </si>
  <si>
    <t>something else is going on now, thereâ€™s been no internet at kensington since 2:30 pm. i called shaw, they tell me the modem is up. there appears to e a problem with the firewall.</t>
  </si>
  <si>
    <t>renewal - fortinet - 02/08/2021</t>
  </si>
  <si>
    <t>renewal - fortinet</t>
  </si>
  <si>
    <t>log in for pay stubs</t>
  </si>
  <si>
    <t>i have yet to set up my log in for pay stubs. if someone could assist it would be much appreciated.</t>
  </si>
  <si>
    <t>ssl certificate renewal notice</t>
  </si>
  <si>
    <t>please quote a renewal for the attached ssl certificate, config attached, which expires within 90 days.</t>
  </si>
  <si>
    <t>hello,
our client  has requested the following for their operations:
options to secure computer, monitor, mouse, keyboard so they do not get damaged or vandalized. the client operates group homes and has asked for solutions to secure or protect the expensive items from clients grabbing and throwing them in a crisis. is there a security box or something that we could mount the computer to?
please provide several options if available, so we can provide feed back to the client.</t>
  </si>
  <si>
    <t>fw: foxit</t>
  </si>
  <si>
    <t>hi,
can you please get foxit for caitlin?
, cpa, cma
chief financial officer
14610 yellowhead trail nw edmonton, ab, t5l 3cÂ Â Â Â  toll free: Â Â Â Â  direct: 780-409-335
email:
website:www.calmont.ca
this email, and any files transmitted with it, are confidential and are intended solely for the use of the individual or entity to which they are addressed. any unauthorized use or disclosure is prohibited. please notify the sender if you have received this email in error. thank you for your co-operation.</t>
  </si>
  <si>
    <t>- fw: lenovo renewal - mexico - expiry date 25/03/2021</t>
  </si>
  <si>
    <t>update the contact of the vendor for the mexico server renewal
and leave the ticket open until we renew it.
whoever worked on the ticket can talk with me to understand the process for future
dear amin,
i hope you are well.
iâ€™m contacting you regarding the renewal of the machines stated on the attached quote which are installed in mexico, the current support will expire on25/03/2021. these were renewed last year. please let me know if you will be interested in extending the support this year again.
i look forward to hearing from you.</t>
  </si>
  <si>
    <t>good afternoon,
we need to get the following employees (shawn myers, heidi taves &amp; shannon earle) set up and connected to our vpn.
they operate out of another office and are not based here at the metis local.
can you please contact each employee, go on their computer and set up their vpn, show them how it works and test that the system is working.</t>
  </si>
  <si>
    <t>connectwise automate  
1356846
ibsg - los cabos - vpn tunnel failed on igloo building supplies group\ibsgedmdc01 at edmonton main for  result ping fail  - packet loss = 100%..
does this monitor take into account that the fortigate is now part of a ha cluster?  we can still ping workstations on the internal subnet and the second fg is online at .</t>
  </si>
  <si>
    <t>fw: mail 1 of 1: your order 10-p1-695704 (so:1010631724)</t>
  </si>
  <si>
    <t>hi team,
when we went to register the renewal license we got this response in regards to sn:fl200d3a15001432 not being accepted by fortinet due to it being less than 12 months of support. they are looking for us to do a co-term on the unit for the remaining duration of the end of support which is 2022-01-17. we have no problem doing this but we would require an rma. can you please let us know of next steps?</t>
  </si>
  <si>
    <t>blue screen - error</t>
  </si>
  <si>
    <t>hi mnp,
what to do next?
appreciate your help.
Â Â verticalÂ development manager
suite 1005Â  10104 103 avenueÂ  edmonton, abÂ  t5j 0hÂ  cell:Â Â 
www.maclabdevelopment.com
sent from my ipad</t>
  </si>
  <si>
    <t>hewes ohi workstation display</t>
  </si>
  <si>
    <t>hello mnp it,
last friday oarrie helped me with display setting on the hewes ohi workstation.
this includes a presentation monitor on the left and the primary monitor on the right.
now all rds users at this workstation, logged in, have the primary monitor set at the left on the presentation monitor.
this is opposite of the workstation settings. can this please be reviewed while in an rds session during the remote site visit tomorrow?</t>
  </si>
  <si>
    <t>jonathan pruden</t>
  </si>
  <si>
    <t>hi
jonathan pruden has been terminated from calmont.
please have his emails forwarded to tonya noseworthy for a period of 6 months.
also, please provide her with full access to his email account.
do not offboard him, but only change his user name and password for windows.
please provide this information to me.</t>
  </si>
  <si>
    <t>hi mnp,
i seem to be having issues getting in to the hr mailbox, can you please help? 
much thanks,
leanna
, ma, ccc, cphr
hr manager
t: 403.205.524
180, 839 5 ave sw  calgary, ab  t2p 3c8
carya (formerly calgary family services)
stay up to date with the latest carya news, programs, and events by signing up for ourmonthly newsletter.
in the spirit of our efforts to promote reconciliation, we acknowledge the traditional territories and oral practices of the blackfoot, the tsuut'ina, the stoney nakoda first nations, the mÃ©tis nation region 3, and all people who make their homes in the treaty 7 region of southern alberta. we also respectfully acknowledge that the province of alberta is comprised of treaty 6, treaty 7, and treaty  during business hours (monday-friday, 8:30am-4:3) and in case of an emergency dial 911.
this e-mail is intended solely for the person or entity to which it is addressed and may contain confidential and/or privileged information. any review, dissemination, copying, printing, forwarding or other use of this e-mail by persons or entities other than the addressee is prohibited. if you have received this e-mail in error, please contact the sender immediately and delete the material from your computer.</t>
  </si>
  <si>
    <t>- call log report from february 2018 and december 2019</t>
  </si>
  <si>
    <t>due date of monday, feb. 8
chris ippolito
manager, client experience
ph.Â +       ext 312
14505 114th avenue nw
edmonton,       ab
t5m2y8
mnp.ca 
good afternoon,
i am hoping you can help me locate from information in our file and sent it to me.
i need to know the number of calls/issues reported to next digital between february 2018 and december 2019 regarding internet disruption.Â we were using wiband during this period and issues were to be reported through next.
if you could send me the number of issues by month and a brief description, such as â€œno internet connectionâ€ or â€œoff and on connectionâ€ or whatever the case maybe.
i would appreciate your timely reply.Â thanks, chris.
  facebook</t>
  </si>
  <si>
    <t>fw: laptop and docking station for bethany</t>
  </si>
  <si>
    <t>hi there,
i need to order a laptop and docking station, please send me the quote.</t>
  </si>
  <si>
    <t>iskwew internet connection
poorinternet connection or  poor wifi signal at iskwew healing lodge
 yes  
 everyone  
 work impacting</t>
  </si>
  <si>
    <t>printer issue
cannot connect to the pml admission xerox c8045???
 yes  
 some  
 unable to work</t>
  </si>
  <si>
    <t>new employee setup required - darlene chhina</t>
  </si>
  <si>
    <t>hi there,
could you please assist me with setting up a new employee by this friday, february Â 
cÂ Â Â Â  
12316-107 avenue, edmonton, ab  t5m 1z1
www.mhkinsurance.com
we're here to help with your insurance needs. emails       and phone calls are still encouraged. appointments are required for       in-office broker meetings. please wear a mask when       visiting.
mhk welcomes       e-transfer payments to banking@mhkinsurance.â€‰com.
if you       receive this email in error, please notify us by reply email and destroy       this message. mhk complies with canada's anti-spam and alberta's pipa       legislations. if you no longer wish to receive emails from mhk, please       reply with 'unsubscribe' in the subject   line.</t>
  </si>
  <si>
    <t>hi there,
our computer pvc-d-7096 still canâ€™t print to the surgery printer.
can you please fix this and set it as the default printer for this workstation.</t>
  </si>
  <si>
    <t>rds stuck</t>
  </si>
  <si>
    <t>good morning,
my computer wonâ€™t log onto the cloud, it keeps trying to log on?Â  thank you.</t>
  </si>
  <si>
    <t>good afternoon,
i have given quentins desktop (10226) to diana and it will need to have great plains and prophix set up on it.Â  it will also need to be configured to print to the network printer if it isnâ€™t already.
this needs to be done asap.</t>
  </si>
  <si>
    <t>fw: issues printing a file</t>
  </si>
  <si>
    <t>please assign to me.
jeff meadows
field services technician
ph.Â 
4922 - 53 st.
red deer,       ab
t4n2e9
mnp.ca 
jeff, i keep trying to print this attached file to 11x17 paper to ricoh 2500 printer and it keeps telling me there is an error. i had apex check their file to see if it was locked and it is not. first attempt it prints first page then i get the error. 
c: 
toll free: 
email:</t>
  </si>
  <si>
    <t>hello
when i connect to cw automate (webserver nextvision.nextdigital.ca), i am supposed to be able to enter my email and password one time, but it asks for the email address two times. this is an issue with myÂ , which is required for use this tool. it asks once for connectwise, and then another for microsoft. my understanding is that it should only ask the one time. this has been going on for a few months now.</t>
  </si>
  <si>
    <t>re: infinity metis corp 365 licences</t>
  </si>
  <si>
    <t>hi myles and corey,
to be clear, youâ€™d like us to add 4 additional business premium licenses to our existing o365 tenant for infinity mÃ©tis corporation? we have a credit card on file and licenses are billed monthly so this can be added quickly. corey, do you approve this? it will add an extra $102.20/month.
myles, iâ€™m unclear what you want to do with the free licenses in your screenshot: it looks like theyâ€™re on a separate o36 ext 50
4922 - 53 st.
red deer,       ab
t4n2e9
mnp.ca</t>
  </si>
  <si>
    <t>machine-o-matic - manufacturing2 user needs to move to new rds</t>
  </si>
  <si>
    <t>machine-o-matic - manufacturing2 user needs to move to new rds
manufacturing2 user needs to move to new rds
 no  
 one  
 minor inconvenience</t>
  </si>
  <si>
    <t>fw: idexx data backup &amp; recovery offline</t>
  </si>
  <si>
    <t>hi there,
can you please call idexx and grant them access to the server so that they can trouble shoot the failed backups.</t>
  </si>
  <si>
    <t>password not working for the loop
can i get "the loop" password reset please? i am unable to login anymore.
 no  
 one  
 minor inconvenience</t>
  </si>
  <si>
    <t>fw: pc</t>
  </si>
  <si>
    <t>hello,
can i please receive a quote for a computer with installation for the 9th counsellors' desk?
please advise on where we are on the two previous computer orders
january 18th, 2021 and the january 27th, 202
poundmakerâ€™s lodge treatment centre</t>
  </si>
  <si>
    <t>hello,
i am currently on calmont business wifi since saturday and not sure why and it has slowed down all my rbc and cibc and bobcat access.
should i not maybe be on another other then? the only other option on my computer is calmont guest?</t>
  </si>
  <si>
    <t>- prep l-11019 for new user</t>
  </si>
  <si>
    <t>prep l-11019 for new user
our prior ceo removed her files from this macbook, and had it factory re-set.  please set this up for new user erika scott.  please ensure that it has vpn, zoom and all of the office programs on the local machine.
 no  
 one  
 other</t>
  </si>
  <si>
    <t>- power shutdown at edmonton office affecting servers on february 7, 2020</t>
  </si>
  <si>
    <t>power shutdown at edmonton office affecting servers on february 7, 2020
please note that there is a power outage at sterling place on sunday, february 7 from 8:00 am until 4:00 pm.
1.	it needs to send a notification to all staff informing them of the shutdown as it affects the edmonton server.
2.	i will be at the office on friday february 5 to shut down the xerox machine, air conditioning unit at the server, the csd printers, csd computers, spare computers and other computers that are still on. 
3.	it should power off the servers on saturday evening (february 6) at around 8:00 pm.
4.	it will come onsite to power the servers back on sunday (february 7) at around 5:00 pm. please also turn on the ac unit at the server room and the csd computers at the same time. 
5.	i will take care of the alarm with the sheriff office. 
6.	i will be at the edmonton office on monday afternoon and can change it to morning if required. 
please coordinate these with me.
please note that there is a power outage at sterling place on sunday, february 7 from 8:00 am until 4:00 pm.
1.	it needs to send a notification to all staff informing them of the shutdown as it affects the edmonton server.
2.	i will be at the office on friday february 5 to shut down the xerox machine, air conditioning unit at the server, the csd printers, csd computers, spare computers and other computers that are still on. 
3.	it should power off the servers on saturday evening (february 6) at around 8:00 pm.
4.	it will come onsite to power the servers back on sunday (february 7) at around 5:00 pm. please also turn on the ac unit at the server room and the csd computers at the same time. 
5.	i will take care of the alarm with the sheriff office. 
6.	i will be at the edmonton office on monday afternoon and can change it to morning if required. 
please coordinate these with me.</t>
  </si>
  <si>
    <t>fw: re: phoenix support systems - price increase effective february 15th, 2021</t>
  </si>
  <si>
    <t>hi team, can you please look at the attached e-mail and see why the bounceback and reference to tritech?
please connect with tim to make sure this is corrected.</t>
  </si>
  <si>
    <t>hi,
i have the same problem again on the quickbooks after i log in to the rds. the message â€œ this action requires windows administrator permissionsâ€ comes back again.
, cpa, cga
 www.ccllp.ca
t 780 487 1 178 street, edmonton ab, t5s 1r5</t>
  </si>
  <si>
    <t>disconnected from the cloud
i keep getting disconnected from the ssa cloud, the past few days it's been worse then ever, it seems like when i log on it shuts down in a couple of minutes to 30 mins each time i log on. it shuts down due to network conectivity. this has been an ongoing issue.
 yes  
 one  
 work impacting</t>
  </si>
  <si>
    <t>so how we doing on the licences, i'm unsure if you have any as of yet to provision to infinity or not.
on feb. 1, 2021 3:40 p.m., jeff meadows &lt;&gt; wrote:
hi myles,
infinitymetiscorp.com is primarily hosted on google/gmail, although there is a small office36
4922 - 53 st.
red deer, ab
t4n2e9
mnp.ca
good morning all,
after speaking with corey last week , he informed me that next digital is responsible for the office 365 licences as a third party vendor.
looking for information regarding licences for infinity metis corp.</t>
  </si>
  <si>
    <t>issues with outlook</t>
  </si>
  <si>
    <t>apparently there are issues with outlook and folks cannot get onto outlook.Â  please advise asap.Â  thanks.</t>
  </si>
  <si>
    <t>hi myles,
the current office365 tenant has:
 3 microsoft 365 business premium
 1 microsoft 365 audio conferencing
 1 onedrive for business (plan 
4922 - 53 st.
red deer,       ab
t4n2e9
mnp.ca 
so how we doing on the licences, i'm unsure if you have any as of yet to provision to infinity or not.
on feb. 1, 2021 3:40 p.m., jeff meadows &lt;&gt; wrote:
hi myles,
infinitymetiscorp.com is primarily hosted on google/gmail, although there is a small office36
4922 - 53 st.
red deer, ab
t4n2e9
mnp.ca
good morning all,
after speaking with corey last week , he informed me that next digital is responsible for the office 365 licences as a third party vendor.
looking for information regarding licences for infinity metis corp.</t>
  </si>
  <si>
    <t>[medium] alert for sophos central []</t>
  </si>
  <si>
    <t>this email alert was generated by sophos central. do not reply to this email.
sophos central event details for 
what happened: pua 'generic ml pua' detected in network location '\nc-e4c-fs01\home$\support\downloads\yourtemplatefinder.f436aa3ad24d4cee83e62889e68edef1 (1).exe' requires attention
where it happened: nc--rds03
path: \nc-e4c-fs01\home$\support\downloads\yourtemplatefinder.f436aa3ad24d4cee83e62889e68edef1 (1).exe
what was detected: generic ml pua
user associated with device: -support
how severe it is: medium
help sources:
sophos central specific articles: https://community.sophos.com/kb?topicid=9000.
sophos central frequently asked questions (faq) - https://community.sophos.com/kb/en-us/119598.
sign in to https://central.sophos.com/ for more information
note: depending on the alert email frequency setting you choose, we will either send one email for one alert of each type (for example, an alert for a protection-failed event) in any 24-hour period, or send one email for each alert. you might have more alerts of the same type in the dashboard of the sophos central console.</t>
  </si>
  <si>
    <t>hello,
can you please create an auto reply from our inspections email/inbox which is active until march 31st, 2021? after that, it can be removed.
the message should say:
this email is not monitored regularly from october to march. if your matter is urgent, please</t>
  </si>
  <si>
    <t>new idea or request  
 other  
anyone who does a use creation
 daily  
not sure
tip: if this is for a new dashboard or report, you could sketch up a concept on a napkin, in paint, or excel, and attach it to this request.</t>
  </si>
  <si>
    <t>hi mnp
i seem to be having issues with the search functionâ€¦i took a snip below.Â  i know that i send rachel something last week, but it does not pull it up, as an example.
leanna
, ma, ccc, cphr
hr manager
t: 403.205.524
180, 839 5 ave sw  calgary, ab  t2p 3c8
carya (formerly calgary family services)
stay up to date with the latest carya news, programs, and events by signing up for ourmonthly newsletter.
in the spirit of our efforts to promote reconciliation, we acknowledge the traditional territories and oral practices of the blackfoot, the tsuut'ina, the stoney nakoda first nations, the mÃ©tis nation region 3, and all people who make their homes in the treaty 7 region of southern alberta. we also respectfully acknowledge that the province of alberta is comprised of treaty 6, treaty 7, and treaty  during business hours (monday-friday, 8:30am-4:3) and in case of an emergency dial 911.
this e-mail is intended solely for the person or entity to which it is addressed and may contain confidential and/or privileged information. any review, dissemination, copying, printing, forwarding or other use of this e-mail by persons or entities other than the addressee is prohibited. if you have received this e-mail in error, please contact the sender immediately and delete the material from your computer.</t>
  </si>
  <si>
    <t>scansnap online udate?</t>
  </si>
  <si>
    <t>good day,
please see below my inquiry regarding a scansnap online update on my acsa desktop.</t>
  </si>
  <si>
    <t>access to vpn
while doing an onboarding i found myself needing access to my mapped drives for network detective to work. can i get access for this please.
 no  
 one  
 minor inconvenience</t>
  </si>
  <si>
    <t>- sage 50 updates</t>
  </si>
  <si>
    <t>please install the waiting update for sage 50 on both the edmonton public and edmonton catholic systems.</t>
  </si>
  <si>
    <t>good afternoon
can you please check and let me know if there is an active email account for norm belanger? he wonâ€™t have a user account, only email.
shubhneet
, cpa
intermediate accountant
12509 124 street
edmonton, ab, t5l 0n (ext 76
f:</t>
  </si>
  <si>
    <t>buy a subscription to keep using your product</t>
  </si>
  <si>
    <t>your trial will be disabled on february 10, 2021Â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 ---
---
your trial is endingâ€”buy a subscription to keep using your product
you have 1 expired trial that will be disabled on february 10, 2021. to continue using your products, buy a paid subscription in the microsoft 365 admin center.
--- ---
--- 
buy now &gt;
--- ---
--- 
if your trial is disabled on february 10, 2021:
 your users will no longer be able to access any of the services associated with this subscription.
 your admins will be able to access the admin center, but theyâ€™ll no longer be able to assign licenses to users.
--- ---
--- 
more information
 how to extend a trial.
 how to cancel a trial.
--- ---
--- 
your trial that will be disabled:
producttotal licensesstart date
--- --- --- 
microsoft teams commercial cloud500000november 12, 2019
--- ---
---
account information
organization name: 
domain: youracsa.ca
--- ---
---
this is a mandatory service communication. to set your contact preferences or to unsubscribe from other communications , visit the promotional communications manager. privacy statement. 
il sâ€™agit de communications obligatoires. pour configurer vos prÃ©fÃ©rences de contact pour dâ€™autres communications, accÃ©dez au gestionnaire de communications promotionnelles. dÃ©claration de confidentialitÃ©..
microsoft corporation,one microsoft way, redmond, wa 98052
--- ---
---</t>
  </si>
  <si>
    <t>good monring,  
can you please hide my printer from the list?   
in addition, i would like to install an adobe on my computer.   
can you please ontact me at  ext 126</t>
  </si>
  <si>
    <t>hello,
i am trying to open sharepoint links shared with me by my predecessor and they seem to be blocked, as are most links i try to open in outlook. hoping i can get some help with a few of these items. i understand someone will be delivering a new surface pro to my office later today â€“ perhaps they could help address these issues then too?</t>
  </si>
  <si>
    <t>mike's email added to office</t>
  </si>
  <si>
    <t>can you please add  to the office group, thanks?
 inc.
relationships â€“ results â€“ reputation
#100-18215 11</t>
  </si>
  <si>
    <t>fw: dns changes for calmontleasing.ca</t>
  </si>
  <si>
    <t>note: ticket #1357152
spoke with ken regarding this ticket.
good morning roque,
iâ€™m sorry i donâ€™t understand what you mean by that. iâ€™m not sure what or how to do this.
good morning ivanna,
could you please have your team to add the two following cname's into the dns zone file of calmontleasing.ca
calmontleasing.ca
host:
_ac4e884dcd938688f801abff732babb4
value:
_cad4705482aec52c953f8e572d71af79.vtqfhvjlcp.acm-validations.aws
host:
_d5a867ce2418deb5ea5.www
value:
_e7ef60b66e11a9eddaa37e14962c8f extÂ 3868
go.trader.caÂ âÂ autotrader.ca
hello team,
https://www.calmontedm.ca/ will become calmontleasing.ca. calmont and their 3rd party (mnp) currently have ownership of that domain.
can we please send them step by step of what they will need to do to make sure that calmontleasing.ca will now replace calmontedm.ca?
once completed, can we please apply a 30
go.trader.caÂ âÂ autotrader.ca</t>
  </si>
  <si>
    <t>need file copied in error removed</t>
  </si>
  <si>
    <t>good day,
i was getting ready for month end and accidentally copies a folder in error:Â  can you please remove:Â  s:\fa&amp;a\business operations\bsi fa&amp;a\bear access and enviro 2021\1. january\2.6 work in progress\12. december.Â  it will not let me delete due the â€˜thumbsâ€™ folder and i tried to restore previous version and it would not remove it.Â  had this issue previously in different folder.</t>
  </si>
  <si>
    <t>cannot print
this computer was remotely set up by a it on friday
i cannot print and i need to be able to print my reports as soon as possible
it requires an accounting user id #
 yes  
 some  
 unable to work</t>
  </si>
  <si>
    <t>- locking all computers after 10 minutes of inactivity</t>
  </si>
  <si>
    <t>locking all computers after 10 minutes of inactivyt
i would like it applied accross all ecf computers that they get locked after 10 minutes of inactivity.
 no  
 everyone  
 minor inconvenience</t>
  </si>
  <si>
    <t>luiza coelho - email receiving issue</t>
  </si>
  <si>
    <t>hi there, 
apparently iâ€™m not receiving emails from , he works at wcb and time to time he sends me update on staff status, i looked at sophos but did not see his emailthere. 
can mnp look into ? thanks 
 e ext 132Â  
9321 jasper avenue, edmonton ab t5h 3t7 
e4calberta.org
--------------------------------------------------------------------------------------------</t>
  </si>
  <si>
    <t>- folder on "edmonton rentals" drive - access restrictions</t>
  </si>
  <si>
    <t>hi,
i need to make the folder on â€œedmonton rentalsâ€ drive labelled bd - accessible to only myself and chris mccabe. both read/write permissions.</t>
  </si>
  <si>
    <t>hello all
can you please ensure that myles chambers has admin permission with mcmurray metis at mnp.</t>
  </si>
  <si>
    <t>microsoft teams not appearing on outlook calendar</t>
  </si>
  <si>
    <t>all:
i am having issues with my microsoft outlook not allowing for calendar meetings to be set up with teamsâ€¦ button is missing.
i have tried both computer and server restarts with out success.
health, safety &amp; environmental manager
t:       +
c:       +
f:       +
e:       
w:       www.siterg.com
#170, 120 pembina road, sherwood park, ab, t8h 0m2</t>
  </si>
  <si>
    <t>(on behalf of brenda neufeld) - emailing panorex films</t>
  </si>
  <si>
    <t>good afternoon,
just a quick note in regards to our e-mail. i tried 6 times to send a film to an oral surgeon it wouldnâ€™t send.
i restarted my computer 2 times. Â i was able to finally send it there was a pop up about an anti virus. i wonder if this is blocking from my e-mails being sent.</t>
  </si>
  <si>
    <t>hi david,
can you guys look into the loadout scale script again?
the guys out in loadout were having issues so i logged into the scale ftp site and there were 2 ext. 4 st se
calgary, ab
t2g2w ext.24
4922 - 53 st.
red deer, ab
t4n2e9
mnp.ca</t>
  </si>
  <si>
    <t>urgent: cil log notifications</t>
  </si>
  <si>
    <t>can we make sure that e-mails outside of the organization are allowed to this distribution list
business process manager
t:       +
c:       +
f:       +
e:       
w:       www.siterg.com
#170, 120 pembina rd., sherwood park, ab, t8h 0m2</t>
  </si>
  <si>
    <t>error trying to log into cyrious</t>
  </si>
  <si>
    <t>good morning,
when you have a chance to take a look please:
i can be reached on my cell if you need me. a colleague just had the same error.
phone:Â  403-275-444
cell:Â Â Â Â Â 
email:Â 
4940 â€“ 102nd avenue se  calgary, ab  t2c 2x8
www.nationalneon.com</t>
  </si>
  <si>
    <t>new hp printer/scanner issue</t>
  </si>
  <si>
    <t>hi,
when trying to scan a document i get the following error message:
you cannot use this function because it has been disabled.
to turn on webscan, from the settings tab, click security, click administrator settings, select enable for webscan, and then click apply.
could you help me with this please?
karl ivarson, b. sc.
inspector, ,
email: 
cell (</t>
  </si>
  <si>
    <t>phone in main office dropping calls, appears to need to be replaced
the phone for the main office at weac, does not work well.  drops calls, won't always transfer, etc.  could we see if we could get it replaced with another phone we currently have at weac, but the extension changed?
 no  
 everyone  
 unable to work</t>
  </si>
  <si>
    <t>re: urgent help</t>
  </si>
  <si>
    <t>add this ip to firewall 
-----original message-----
hey
emails are coming from our ceo that he didnâ€™t sent. they are coming from a gmail account.
the emails are going to other employees.
can you help shut this down asap.
block this email as well from incoming on all users.</t>
  </si>
  <si>
    <t>office wifi issues</t>
  </si>
  <si>
    <t>richard ignacz
project specialist
ph.Â +
14505 114th avenue nw
edmonton,       ab
t5m2y8
mnp.ca 
hey richard, are you able to assist us with diagnosing our office wifi issues. we are getting 20mbps down max and we are on the 
office:(
carepros.ca</t>
  </si>
  <si>
    <t>hi there,
we have not been receiving emails from one of our insurers in several months and nothing has appeared in my junk or quarantined mail.Â  is it possible to see if any emails from â€œsendgrid.netâ€ are blocked?Â  Â Â i donâ€™t believe anyone on my team is receiving the emails.
i was only told the email is coming from @sendgrid.net so let me know if you require anything else.</t>
  </si>
  <si>
    <t>- julian ceramic tile edm - service order 47962</t>
  </si>
  <si>
    <t>hi dave,
we have a request coming up that requires a tech on site at julian ceramic tile in edmonton. tech will need to work with our  tech dave here at our office so we will need to coordinate together on this one to have same date/time. 
currently our tech, dave, is doing a system install in winnipeg right now and will be back friday so i will know more then. we might be looking to book this for the later part of next week around february 11th or 1
tf:Â  
isit.caÂ  
itÂ Â  Â Â  communicationsÂ Â  Â Â  security camerasÂ Â  Â Â  network cabling</t>
  </si>
  <si>
    <t>fw: field law: mitel desk phone procurement inquiry</t>
  </si>
  <si>
    <t>hello!
would i be able to get a quote for mitel model â€“ ip48 main:
email:
long view approved for general use</t>
  </si>
  <si>
    <t>install visio on my new surface tablet</t>
  </si>
  <si>
    <t>i need the microsoft visio licence moved over from my old surface tablet to my new one.</t>
  </si>
  <si>
    <t>outlook
outlook asks if i can start it in safe mode and won't open.
 no  
 one  
 work impacting</t>
  </si>
  <si>
    <t>good morning,
could someone please show me how to get my icons back in the top task bar? for some reason this is missing.</t>
  </si>
  <si>
    <t>- sales rds freezing after 20 seconds</t>
  </si>
  <si>
    <t>sales rds freezing after 20 seconds
rds keeps crashing on me.  i can log in and it works for about 2</t>
  </si>
  <si>
    <t>zebra printer</t>
  </si>
  <si>
    <t>hello, 
the zebra label printer that you guys recently helped install will not connect to for printing.
could you take a look please.</t>
  </si>
  <si>
    <t>fw: welcome to sophos central shai-anne verville</t>
  </si>
  <si>
    <t>hi there,
can you please change shai-anneâ€™s last name from verville to spaidal.</t>
  </si>
  <si>
    <t>hi,
thereâ€™s a document on the w:drive called the carya current phone list and itâ€™s saying no one else can edit it because i have it open however i donâ€™t. i also just tried to open it and i couldnâ€™t edit it because it said it was locked for editing by me. can you fix this? thanks,
angela
, msw, rsw
she/her
manager, strong families in community
p: 403-205-525
180, 839 5 ave sw  calgary, ab  t2p 3c8
carya (formerly calgary family services)
we are working remotely to help calgarians through the covid-19 pandemic. please reach out to us if you need support.carya is here for you.
in the spirit of our efforts to promote reconciliation, we acknowledge the traditional territories and oral practices of the blackfoot, the tsuut'ina, the stoney nakoda first nations, the mÃ©tis nation region 3, and all people who make their homes in the treaty 7 region of southern alberta. we also respectfully acknowledge that the province of alberta is comprised of treaty 6, treaty 7, and treaty  during business hours (monday-friday, 8:30am-4:3) and in case of an emergency dial 911.
this e-mail is intended solely for the person or entity to which it is addressed and may contain confidential and/or privileged information. any review, dissemination, copying, printing, forwarding or other use of this e-mail by persons or entities other than the addressee is prohibited. if you have received this e-mail in error, please contact the sender immediately and delete the material from your computer.</t>
  </si>
  <si>
    <t>hi
can you please add shamir shaikh to the group email ctce parts?</t>
  </si>
  <si>
    <t>hi support,
over at , we need port 24 on switch "pgh-sw05" enabled and connectedÂ to the internet. this will be used for the front entrance display, so it will likely need to go on a public use vlan or something like that.</t>
  </si>
  <si>
    <t>sage update asap thank you</t>
  </si>
  <si>
    <t>can we get our sage updated please asap. they have done another update so we can get our t4â€™s out properly. we are closed by 4:30 tonight, or please let me know when you can do it and iâ€™ll make sure no one is on the equipment.</t>
  </si>
  <si>
    <t>is this a distribution list that sends to multiple people or just a shared mailbox
business process manager
t:       +
c:       +
f:       +
e:       
w:       www.siterg.com
#170, 120 pembina rd., sherwood park, ab, t8h 0m2</t>
  </si>
  <si>
    <t>issue with check scanner</t>
  </si>
  <si>
    <t>adebola adeneye
field services technician
ph.Â +
14505 114th avenue nw
edmonton,       ab
t5m2y8
mnp.ca 
good morning ade!Â  hope you areÂ doing well!
ade, i'm having issues with the bank machine again.Â  in the past we resolved that there are times when i would have to use the 'restart webclient driver'.Â  this time i get an error message about the mac not being able to identify malware. i've attached the screen shot.
can you please advise what i can do?Â  i have some deposits that i need to make.</t>
  </si>
  <si>
    <t>sk studio - access udp port 3022</t>
  </si>
  <si>
    <t>good day,
on the weekend, i was trying to do a virtual bike race at the office but i could not access the website due to some errors that we associated with firewalls ect on the router i think.Â  the website is called rgt and the error message is below highlighted in yellow â€“ is there anyway that this can be looked at and allow me to make this work?
if you have an antivirus or firewall installed on your os please disable these first and re-start rgt cycling and rgt screen and try again.
if you are still experiencing issues, the firewall on your router or computer is blocking communication to our server on udp port 3022, but itâ€™s likely this is on your router.
please add udp port 3022 to exemption list for both outgoing and incoming traffic.</t>
  </si>
  <si>
    <t>outlook exchange not working on my new cell hpne</t>
  </si>
  <si>
    <t>hi
i need help configuring / setup my windows (work) outlook to setup on my company cell phone.
please advise asap
i am on hold with your support for last 30 min</t>
  </si>
  <si>
    <t>quote request -  - panasonic wireless phone tca385 and belt clips</t>
  </si>
  <si>
    <t>jordan schlamp
panasonic wireless phone tca385 and belt clips
 the primary contact in connectwise  
edmonton
0
 next digital edmonton  
tue 2 feb, 2021  
 yes  
 voice equipment  
1 panasonci wireless telephone kxtca385 and 1 package (5 in a package) of belt clips kxa385 for the panasonic tca385 wireless phones</t>
  </si>
  <si>
    <t>mann northway - dropping calls</t>
  </si>
  <si>
    <t>good morning tim,
i am seeing a bit of higher usage on the lines but nothing indicating loss of calls
mnp support, can you please check the lines at mann northway on  ?</t>
  </si>
  <si>
    <t>hello,
the lap laptop does not have the accounting color printer installed.
please make arrangement with amanda in the hewes lab to remote and assign the hewes accounting color printer to the hewes lap laptop.
amanda can be reached at .</t>
  </si>
  <si>
    <t>move email signatures to me new surface tablet</t>
  </si>
  <si>
    <t>hello,
is there a way to move my email signatures from my old surface tablet to my new one?
kind regards,</t>
  </si>
  <si>
    <t>hpe managed server renewal - support expires 19-mar-2021</t>
  </si>
  <si>
    <t>cannot get my shoretel set up</t>
  </si>
  <si>
    <t>hello,
i have a new surface tablet and i am unable to get my shoretel set up properly. this would be considered a high priority items as my phone line could be affected.
matthew nasby, crsp, csp, cit, p. gscÂ Â cor manager
225 parsons road sw Â edmonton abÂ Â t6x 0w ext. 185 Â tfÂ )
www.youracsa.ca</t>
  </si>
  <si>
    <t>hi
please set up an email, user name and password for stephanie seguin.Â she will be working out of calmont leasing, edmonton.Â  please set her up the same as adena papaianni
her start date is february 8, 2021.</t>
  </si>
  <si>
    <t>hi
please set up an email, user name and password for alyssa windrim.Â she will be working out of calmont leasing, edmonton.Â  please set her up the same as adena papaianni
her start date is february 3, 2021.</t>
  </si>
  <si>
    <t>access to old server profile - zimmerman</t>
  </si>
  <si>
    <t>good afternoon,
please let this email serve as my approval for mnp to help darren wright gain access to any files/programs saved under steven zimmermansâ€™s server profile. i have no concerns about the old profile password being changed and provided to darren to login as steve or setting darren up with a link on his server profile to access steveâ€™s files. please call darren wright directly at 403-877-384.</t>
  </si>
  <si>
    <t>renewal notice</t>
  </si>
  <si>
    <t>please quote a renewal for the item, config attached, which expires within 90 days.</t>
  </si>
  <si>
    <t>please set up system admin access for trent threadkell on all company databases as soon as possible.</t>
  </si>
  <si>
    <t>copy of current service agreement</t>
  </si>
  <si>
    <t>good afternoon,
our auditors have requested a copy of our current service agreement for it support.
can a copy be emailed to me please?</t>
  </si>
  <si>
    <t>remote access issues</t>
  </si>
  <si>
    <t>i have vpn installed on my surface tablet, however it isnâ€™t letting me access my network drives properly. i also do not know if i am getting my calls forwarded to my vm because i cannot access my shoretel. my cell# is .
i am sort of dead in the water until this gets resolved.
kind regards,
matthew nasby, crsp, csp, cit, p. gscÂ Â cor manager
225 parsons road sw Â edmonton abÂ Â t6x 0w ext. 185 Â tfÂ )
www.youracsa.ca</t>
  </si>
  <si>
    <t>notice of upcoming new hire - bronwyn s. ryan</t>
  </si>
  <si>
    <t>hello,
this email is to notify you of an upcoming employee hire in hr:
distribution list &amp; action required
it
rds: request for rds/network access .
canfit update/login
e-mail:request for outlook account.
(please add access to the )
e-mail signature set-up:
-Â Â Â Â Â Â Â Â Â  name: bronwyn s. ryan
-Â Â Â Â Â Â Â Â Â  position: human resources generalist
-Â Â Â Â Â Â Â Â Â  program: human resources
folder access:
-Â Â Â Â Â Â Â Â Â  n:\business division\human resources
-Â Â Â Â Â Â Â Â Â Â  n:\leaders\agency leaders
apple id creation:request for apple id.
cell-phone access:request for cell-phone.
staff distribution list:leaders, all staff
shore-tel access required.
please send account details to:  ()
payroll/finance
payroll details will be provided once processed.
reception
please update existing employee list.
communications
for information only.
l&amp;d
for information only.
facilities manager (interim david p.)
keys/code required for alex taylor.
should you have any questions or concerns about this request, please let me know.</t>
  </si>
  <si>
    <t>fw: [reminder] amazon s3 and amazon cloudfront migrating service certificates to amazon trust servic</t>
  </si>
  <si>
    <t>hi there,
could someone please help me with this to make sure we still are good?</t>
  </si>
  <si>
    <t>cindy patton was set up as a new email user.
she needs access to see the following emails and have added to her account:
president
main office: 780.8 mount lawn road, edmonton, t5b 4j4</t>
  </si>
  <si>
    <t>mallory st. laurent - new employee email (alexandra skrepnyk)</t>
  </si>
  <si>
    <t>hi there,
please create an email account for our new hire, alexandra skrepnyk. i have cc'd  for approval.
*please add to the ccs email group.</t>
  </si>
  <si>
    <t>notice of upcoming new hire - elisha chung</t>
  </si>
  <si>
    <t>hello,
this email is to notify you of an upcoming employee hire in hr â€“ start date is february 16, 2021:
distribution list &amp; action required
it
rds: request for rds/network access .
canfit update/login
e-mail:request for outlook account.
(please add access to the )
e-mail signature set-up:
-Â Â Â Â Â Â Â Â Â  name: elisha chung
-Â Â Â Â Â Â Â Â Â  position: human resources administrator
-Â Â Â Â Â Â Â Â Â  program: human resources
folder access:
-Â Â Â Â Â Â Â Â Â  n:\business division\human resources
-Â Â Â Â Â Â Â Â Â Â  n:\leaders\agency leaders
apple id creation:request for apple id.
cell-phone access:request for cell-phone.
staff distribution list:leaders, all staff
shore-tel access required.
please send account details to:  ()
payroll/finance
payroll details will be provided once processed.
reception
please update existing employee list.
communications
for information only.
l&amp;d
for information only.
facilities manager (interim david p.)
keys/code required for alex taylor.
should you have any questions or concerns about this request, please let me know.</t>
  </si>
  <si>
    <t>hi there,
this is a request to please grant sajjad ahmad access to a couple of folders on our w drive:
-Â Â Â Â Â Â Â Â Â shared-leadership
-Â Â Â Â Â Â Â Â Â shared-sfc</t>
  </si>
  <si>
    <t>iris server login</t>
  </si>
  <si>
    <t>jack (ccd) is unable to login/rdp from ibsgazapp01 to iris server.</t>
  </si>
  <si>
    <t>infinity metis corp 365 licences</t>
  </si>
  <si>
    <t>good morning all,
after speaking with corey last week , he informed me that next digital is responsible for the office 365 licences as a third party vendor.Â Â 
looking for information regarding licences for infinity metis corp.</t>
  </si>
  <si>
    <t>questions regarding paging - franklin at liberty</t>
  </si>
  <si>
    <t>hi terry,
good day!
i am not sure about it but is the pa system at smithfield lodge (westlock) hooked up to the phone system? they are asking if there's a code to access the pa from the cordlessÂ which was setup in their pembina building. see below inquiry from them.</t>
  </si>
  <si>
    <t>vm setup</t>
  </si>
  <si>
    <t>i would like a vm setup very similar to srg-esrisrv
called it: srg-esrilicense
would it be possible to have this outside our dmz with public ip?
business process manager
t:       +
c:       +
f:       +
e:       
w:       www.siterg.com
#170, 120 pembina rd., sherwood park, ab, t8h 0m2</t>
  </si>
  <si>
    <t>fortinet renewal notice</t>
  </si>
  <si>
    <t>please quote a renewal for the attached fortinet, config attached, which expires within 90 days.</t>
  </si>
  <si>
    <t>email deactivation</t>
  </si>
  <si>
    <t>hi there,
can you please remove the account for alyssia baller. once complete, please email myself and  that she can send out an informational email to staff.</t>
  </si>
  <si>
    <t>- need to set up a new user on microsoft 365</t>
  </si>
  <si>
    <t>need to set up a new user on microsoft 365
see above
 no  
 one  
 unable to work</t>
  </si>
  <si>
    <t>ssl renewal notice</t>
  </si>
  <si>
    <t>please quote a renewal for the attached item, config attached, which expires within 90 days.</t>
  </si>
  <si>
    <t>- re: ticket#1249436/keymay/smtp info -- has been updated</t>
  </si>
  <si>
    <t>hi guys,
we are finally testing the smtp at keymay and are getting an errorâ€¦ unable to connect to smtp serverâ€¦
i believe the issue is that the smtp emails are coming from the km-app-02 server rather than km-app-01 server as we had initially planned. we will have smtp email coming from both servers. if you could setup to allow smtp from km-app-0
office:</t>
  </si>
  <si>
    <t>sond industries - quickbooks outage</t>
  </si>
  <si>
    <t>sond industries - quickbooks outage
onboarding ps had a conversation with "eddie" regarding quickbooks outage.
though the onboarding is still in-progress, we do have sufficient information about the sond environment to provide some sort of diagnosis/support.
please check with sond re: their quickbooks.
 no  
 some  
 work impacting</t>
  </si>
  <si>
    <t>hello,
we need pst files for the following:
1.Â Â Â Â Â Â big bore versus site resource group inc. â€“ there are two pieces to this one:
a.Â Â Â Â Â Â clrusc (cold lake water main) job nos. 10-18-w0849 and 10-18-w0850 â€“ time period is october 2018 to present. Â personnel include trent threadkell, deryk kause, trevor makaruk, colin adams, dominic beaulieu. key word search including phrase or word: big bore, clrusc, cold lake, water main, directional drill, bb, claim
b.Â Â Â Â Â Â husky s6 and s7 job no. 51-18-p0778 â€“ bruce is going to see if we can use the email search we already did for our husky claim, he will reach out to you to see if we can simplify this one.
2.Â Â Â Â Â Â vista view homes versus site energy services inc. job no. 10-15-e1337 â€“ time period january to july 2015.Â  personnel include blair mccaffrey, scott coats, willy deep, chris martineau.Â  key word search se design and consulting, morris estates, vista view homes, e construction
business process manager
t:       +
c:       +
f:       +
e:       
w:       www.siterg.com
#170, 120 pembina rd., sherwood park, ab, t8h 0m2</t>
  </si>
  <si>
    <t>update group2 ticket template
please update the red deer ticket template to include an item to check the disk health on the red deer qnap, san, and the edmonton qnap.
 no  
 one  
 minor inconvenience</t>
  </si>
  <si>
    <t>hi,
one of our employees, kayla parasynchuk, will not be returning from her maternity leave. we can remove her login credentials from the server and from our office 365 account.
megan dargatz, who has been covering her position and will be staying on with us, will need a proper company email address. you can transfer the office 36Â  c: (
Â Â Â Â 10374-276 street
acheson, albertaÂ  t7x 6a5
www.raywalt.ca
â€this message and any attachments are solely for the intended recipient and may contain confidential or privileged information. if you are not the intended recipient, any disclosure, copying, use, or distribution of the information included in this message and any attachments is prohibited. if you have received this communication in error, please notify us by reply e-mail and immediately and permanently delete this message and any attachments. thank you.â€</t>
  </si>
  <si>
    <t>bug with pulse vet
for reference, ticket 1355086. when lukas emails support@, cw is assigning the contact to kim.
 no  
 some  
 minor inconvenience</t>
  </si>
  <si>
    <t>advisory service board rename</t>
  </si>
  <si>
    <t>new idea or request  
 other  
6
 daily  
unknown
tip: if this is for a new dashboard or report, you could sketch up a concept on a napkin, in paint, or excel, and attach it to this request.  
please rename the "future planning" board to "advisory" and update the status options to 
queued
ready to start
in progress
waiting on client
waiting on 3rd party
&gt;resolved</t>
  </si>
  <si>
    <t>need adobe pro on my new surface tablet</t>
  </si>
  <si>
    <t>i got a new surface tablet on friday and i need to have adobe pro moved from my old surface tablet to the new one.
kind regards,</t>
  </si>
  <si>
    <t>hey guys
iâ€™m at smoky lake a b&amp;b and, i canâ€™t connect to my shared drive ? can you get this going
maybe, i need a newer computer or updated?
, disaster recovery strategist
mcmurray mÃ©tis (mna local 1935)
441 sakitawaw trail
fort mcmurray, ab t9h 4p
office:
email:
facebook:www.facebook.com/mcmurraymetis
twitter:www.twitter.com/mcmurraymetis
website:www.mcmurraymetis.org
pplease consider the environment before printing this email.
this message contains confidential information and is intended only for the named addressees.
if you believe that you received this email in error please notify the original sender and delete all copies.</t>
  </si>
  <si>
    <t>laptop
remotely installing new laptop
 no  
 one  
 other</t>
  </si>
  <si>
    <t>office365 user</t>
  </si>
  <si>
    <t>can we please add the temp user to office365 and the cloud access? we did not add them in the fall when we set everything up as we weren't using the account. now i have hired someone and need to "activate" them.
the current username is temp and password was w!nter*202.</t>
  </si>
  <si>
    <t>hi chris,
i havenâ€™t heard anything back regarding this ticket.Â  is the install of this app underway?</t>
  </si>
  <si>
    <t>hi there. i am unclear what the attached emails indicate. i sent emails to both addresses indicated and got this bounce-back. can you clarify.</t>
  </si>
  <si>
    <t>quote request - mnp - new dock or laptop</t>
  </si>
  <si>
    <t>mnp
lyndon
new dock or laptop
 the primary contact in connectwise  
edmonton
 next digital edmonton  
mon 15 feb, 2021  
 no  
 laptop/ultrabook/tablet computer  
 accessories (mice, keyboards, ram/ssd upgrades etc)  
 performance tier laptop - i7, 16gb ram, 512gb ssd, 13.5" touchscreen, 3 year warranty with accidental damage protection  
1
 docking station  
 no  
 mouse/keyboard  
 microsoft wireless desktop 900 (mouse + keyboard)  
1
need a laptop and dock solution that can support microsoft teams with video while docked.</t>
  </si>
  <si>
    <t>price, kate - termination, january 29, 2021</t>
  </si>
  <si>
    <t>good afternoon,
please be advised that kate priceâ€™s last day withcarya is today, january 29, 202 c: 403.619.712
180, 839 5 ave sw  calgary, ab  t2p 3c8
carya (formerly calgary family services)
we are working remotely to help calgarians through the covid-19 pandemic. please reach out to us if you need support.carya is here for you.
in the spirit of our efforts to promote reconciliation, we acknowledge the traditional territories and oral practices of the blackfoot, the tsuut'ina, the stoney nakoda first nations, the mÃ©tis nation region 3, and all people who make their homes in the treaty 7 region of southern alberta. we also respectfully acknowledge that the province of alberta is comprised of treaty 6, treaty 7, and treaty  during business hours (monday-friday, 8:30am-4:3) and in case of an emergency dial 911.
this e-mail is intended solely for the person or entity to which it is addressed and may contain confidential and/or privileged information. any review, dissemination, copying, printing, forwarding or other use of this e-mail by persons or entities other than the addressee is prohibited. if you have received this e-mail in error, please contact the sender immediately and delete the material from your computer.</t>
  </si>
  <si>
    <t>effective today at 5 pm, matt steringa is no longer with us and his access to office 36 (ext. 1)Â Â 
there is lots going on at the cdc. find out more athttp://www.edmontoncdc.orgÂ 
.</t>
  </si>
  <si>
    <t>hi there,
we have a few colleagues who use teams on their personal laptops and their work email has now just merged into their personal email on their laptop. do you have instructions on how to unmerge the two accounts?</t>
  </si>
  <si>
    <t>quote request - mnp - new webcam with mic</t>
  </si>
  <si>
    <t>mnp
ryley's webcam broke
new webcam with mic
 someone else  
lyndon will i assume
edmonton
 next digital edmonton  
wed 10 feb, 2021  
 no  
 accessories (mice, keyboards, ram/ssd upgrades etc)  
 other  
https://www.amazon.com/s?k=nexigo+webcam&amp;crid=2qts7f7cckgz2&amp;sprefix=nexigo+webcam%2caps%2c239&amp;ref=nb_sb_ss_ts-a-p_1_13
nexigo webcam</t>
  </si>
  <si>
    <t>quote request - acsa - surface usb c to hdmi adapter</t>
  </si>
  <si>
    <t>matt nasby - needs display adapter
surface usb c to hdmi adapter
 the primary contact in connectwise  
edmonton
1350817
 dropshipped to client site directly from distribution  
225 parson rd sw, edmoton, ab., t6x 0w6
fri 5 feb, 2021  
 no  
 video adapter  
 yes  
 other  
usb c
 hdmi  
1
for presentation use
1 usb c to hdmi adapter</t>
  </si>
  <si>
    <t>course issues
tanis and i tried to attend an online course and had some issues. we needed to have free adobe connect client which we couldnt download. as well tanis's computer has no audio whatsoever.
 no  
 some  
 minor inconvenience</t>
  </si>
  <si>
    <t>internet/wifi issues in one office</t>
  </si>
  <si>
    <t>we are having internet strength issue in one office in the house side of the building.Â  this effects video conference mostly.
one user for sure uses wifi, lisa pruden is the other person in that office and i am not sure how her computer connects as she is mostly at home.
we would like to have someone review the network connections in this room the next time we have a site visit.</t>
  </si>
  <si>
    <t>monitor not working</t>
  </si>
  <si>
    <t>submitted on behalf of courtney at calmont
chris ippolito
manager, client experience
ph.Â +       ext 312
14505 114th avenue nw
edmonton,       ab
t5m2y</t>
  </si>
  <si>
    <t>hi dave, 
i hope you're doing well!  i was just hoping for your assistance setting dave escolano (1006) up as a mitel connect director user to view reports and everything and also to remove amara wroot (8888) as a director user.</t>
  </si>
  <si>
    <t>rds very slow
rds03 has been very slow this morning, teams would not respond and eventually restart.
everything on the rds is performing slow.
log out and in seems to improve the performance but it is still noticeable.
 no  
 one  
 work impacting</t>
  </si>
  <si>
    <t>good morning,
iâ€™m unable to access our social media accounts. could someone look into this for me.
digital marketing coordinator
14610 yellowhead trail nw edmonton, ab, t5l 3cÂ Â Â Â  direct: 780-409-334Â Â Â Â  fax: 
email:
website:www.calmont.ca</t>
  </si>
  <si>
    <t>- clayton gayle --&gt; galye</t>
  </si>
  <si>
    <t>can you please change his last name to galye
apologies, and change his username, etcâ€¦
we need this done asap
business process manager
t:       +
c:       +
f:       +
e:       
w:       www.siterg.com
#170, 120 pembina rd., sherwood park, ab, t8h 0m2</t>
  </si>
  <si>
    <t>hi
please set up an user name and password for reese zanon.Â he will be working out of calmont truck centre, edmonton.Â  please set him up the same as scott fizzard.
his start date is february 8, 2021.</t>
  </si>
  <si>
    <t>quickbooks</t>
  </si>
  <si>
    <t>morning,
can i get a copy of the  quickbooks file sent to my accountant.
the email is Â Â Â Â Â Â Â Â Â Â Â Â Â Â Â Â Â Â Â Â Â Â  joyce 
cc Â Â Â Â Â Â Â Â Â  Â Â Â Â Â Â Â Â Â Â Â Â Â Â Â Â Â Â Â Â Â Â Â Â Â Â Â Â Â Â Â 
ccÂ Â Â Â Â Â Â Â Â Â Â Â Â Â Â Â Â Â Â Â Â Â Â Â Â Â Â Â Â Â Â Â Â Â Â Â Â Â Â Â Â Â  scott</t>
  </si>
  <si>
    <t>- bayangos, maria - new hire, january 29, 2021</t>
  </si>
  <si>
    <t>good afternoon,
please be advised that maria bayangos is starting tomorrow, january 2 c: 403.619.712
180, 839 5 ave sw  calgary, ab  t2p 3c8
carya (formerly calgary family services)
we are working remotely to help calgarians through the covid-19 pandemic. please reach out to us if you need support.carya is here for you.
in the spirit of our efforts to promote reconciliation, we acknowledge the traditional territories and oral practices of the blackfoot, the tsuut'ina, the stoney nakoda first nations, the mÃ©tis nation region 3, and all people who make their homes in the treaty 7 region of southern alberta. we also respectfully acknowledge that the province of alberta is comprised of treaty 6, treaty 7, and treaty  during business hours (monday-friday, 8:30am-4:3) and in case of an emergency dial 911.
this e-mail is intended solely for the person or entity to which it is addressed and may contain confidential and/or privileged information. any review, dissemination, copying, printing, forwarding or other use of this e-mail by persons or entities other than the addressee is prohibited. if you have received this e-mail in error, please contact the sender immediately and delete the material from your computer.</t>
  </si>
  <si>
    <t>mark as safe please</t>
  </si>
  <si>
    <t>sent from mail for windows 10</t>
  </si>
  <si>
    <t>hello iâ€™m trying to set the autoreply for the  to the below message however i was only able to set it as a regular out of office and when a person emails , it gives them two replyâ€™s, the original which we donâ€™t want anymore as well as the new one that i set in out of office. need help to make it only the one below:</t>
  </si>
  <si>
    <t>remove two apps for business licenses from cada</t>
  </si>
  <si>
    <t>calgary arts developement
1321559
 remove licenses  
 microsoft 365 apps for business  
2</t>
  </si>
  <si>
    <t>fw: new version now available - release 2.5 for tax year 2020</t>
  </si>
  <si>
    <t>adebola adeneye
field services technician
ph.Â +
14505 114th avenue nw
edmonton,       ab
t5m2y8
mnp.ca 
hi ade,
here is the email i received from profile regarding the update, as well as for your records.Â  also please ensure to make sure the update for profile and sage takes place on friday night.</t>
  </si>
  <si>
    <t>hardware issues on work terminal</t>
  </si>
  <si>
    <t>hello,
this is  from national neon. i have been running into some hardware instability on my work terminal since yesterday. it keeps saying the hard drive is not found. sometimes it will run okay, but then it will freeze up or blue screen.Â 
it all began when windows update ran yesterday when i was leaving work. i arrived in the morning today to see that the update was looping and failing, rolling back changes and then trying again upon reboot. it finally booted into windows but is terribly unstable and currently gone back to hdd not found on boot up.
it is unit nn-d-610
sent from my samsung galaxy smartphone.</t>
  </si>
  <si>
    <t>hello,Â  we have a desktop that was used by an employee that has now been working remotely off of a laptop and we would like to hook up this desktop to use for training purposes logging into ms teams.Â  i attempted to log in and it is saying that the computer does not have security to log on.Â  please connect with me to try and get this connected.Â  thanks.
with best regards
production manager
po box 22 ext 22
email:</t>
  </si>
  <si>
    <t>rds is not available on my computer
can't log in to the server; working from home
 no  
 one  
 unable to work</t>
  </si>
  <si>
    <t>- scott, erika - new hire, february 1, 2021</t>
  </si>
  <si>
    <t>good afternoon,
please be advised that we have erika scott starting on monday, february 1, 2021 â€“ please see attached form for details to set-up her accountas soon as possible. once her credentials to carya email/cloud are ready, please let me know (please usec@rya202 c: 403.619.712
180, 839 5 ave sw  calgary, ab  t2p 3c8
carya (formerly calgary family services)
we are working remotely to help calgarians through the covid-19 pandemic. please reach out to us if you need support.carya is here for you.
in the spirit of our efforts to promote reconciliation, we acknowledge the traditional territories and oral practices of the blackfoot, the tsuut'ina, the stoney nakoda first nations, the mÃ©tis nation region 3, and all people who make their homes in the treaty 7 region of southern alberta. we also respectfully acknowledge that the province of alberta is comprised of treaty 6, treaty 7, and treaty  during business hours (monday-friday, 8:30am-4:3) and in case of an emergency dial 911.
this e-mail is intended solely for the person or entity to which it is addressed and may contain confidential and/or privileged information. any review, dissemination, copying, printing, forwarding or other use of this e-mail by persons or entities other than the addressee is prohibited. if you have received this e-mail in error, please contact the sender immediately and delete the material from your computer.</t>
  </si>
  <si>
    <t>sabrina tabak</t>
  </si>
  <si>
    <t>hi
could you please advise of sabrinaâ€™s windows log in
i will need user name and password reset.</t>
  </si>
  <si>
    <t>quote request -  - workstation replacements</t>
  </si>
  <si>
    <t>our helpdesk staff - aging computers causing performance issues
workstation replacements
 the primary contact in connectwise  
medicine hat &amp; area branch
1354322
 next digital red deer  
thu 4 feb, 2021  
 yes  
 desktop computer  
 laptop/ultrabook/tablet computer  
 entry tier - i3 or amd equivalent, 8gb ram, 128-256gb ssd, 3 year warranty  
1
replacing vostro 270s sn: 4837yv1
 recommended tier laptop - i5, 8gb ram, 256gb ssd, 14", milspec tested (lenovo only), 3 year warranty  
1
replacing latitude 3550 sn: 3c69042
i've no idea if the client needs a dock or other peripherals
 yes  
 the computer is part of this quote request  
 other  
i do not know
2
i don't know if client needs monitors for either system
desktop and laptop replacement per ticket: https://ndconnect.nextdigital.ca/v4_&amp;companyname=nextdigital the configurations for the existing hardware are attached to the ticket.</t>
  </si>
  <si>
    <t>gtx 3080 for all projects staff</t>
  </si>
  <si>
    <t>next digital/mnp
 someone else  
richard
edmonton
 next digital edmonton  
fri 29 jan, 2021  
we require geforce rtx 3080 for all staff in projects so we can run microsoft teams and outlook. must be compatible with lenovo t480 laptops.</t>
  </si>
  <si>
    <t>please see attached letter from microsoft and let us know if you guys handle this or if it is something we need to do.</t>
  </si>
  <si>
    <t>christine scaramuzzo added 1 new comment. ontario genomics/og-1080 urgent - remote computer support for bettina hamelin 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
christine scaramuzzo added 1 new comment.
ontario genomics
/Â Â    Â  og-1080
 urgent - remote computer support for bettina hamelin 
  christine scaramuzzo  2:31Â pmÂ est
hi - andrew was to connect with bettina today but has not. can you confirm that someone will asap.</t>
  </si>
  <si>
    <t>this email alert was generated by sophos central. do not reply to this email.
sophos central event details for 
what happened: pua detected: 'coinhive javascript cryptocoin miner' at '\.\globalroot\device\harddiskvolumeshadowcopy5\pagefile.sys'
where it happened: cts-l-5596
path: \.\globalroot\device\harddiskvolumeshadowcopy5\pagefile.sys
what was detected: coinhive javascript cryptocoin miner
user associated with device: cts\erwinb
how severe it is: medium
help sources:
sophos central specific articles: https://community.sophos.com/kb?topicid=9000.
sophos central frequently asked questions (faq) - https://community.sophos.com/kb/en-us/119598.
sign in to https://central.sophos.com/ for more information
note: depending on the alert email frequency setting you choose, we will either send one email for one alert of each type (for example, an alert for a protection-failed event) in any 24-hour period, or send one email for each alert. you might have more alerts of the same type in the dashboard of the sophos central console.</t>
  </si>
  <si>
    <t>remove files
is it possible to have some files removed off my desktop? i do not have access to beable to removed anything that i have sent to my desktop
 no  
 one  
 minor inconvenience</t>
  </si>
  <si>
    <t>deactivate/terminate denise wilson</t>
  </si>
  <si>
    <t>hi there,
could you please deactivate denise wilsonâ€™s profile effective immediately?</t>
  </si>
  <si>
    <t>fw: nortrux rfp</t>
  </si>
  <si>
    <t>can you please advise if this is a legit e-mail, as i do not want to get a virus. it is from a vendor and want to be sure before opening.
if you could please advise.</t>
  </si>
  <si>
    <t>fw:</t>
  </si>
  <si>
    <t>pls see here. i am still getting the message. pls let me know why this is
the case. 
, m.pharm, ph.d.
co-founder and vp consumer healthÂ 
o: (780)  91a street,Â edmonton, alberta,Â t6e 5v2
-----original message-----
-- 
&lt;https://urldefense.com/v3/https://www.facebook.com//;!!cbowfw0!qfhqf1ih6rdgk79vjvp5acrgrphqab_nq_8v9xqxv-dbc0gyxk2iti5phts7eyzsflu4558$ &gt;Â  
&lt;https://urldefense.com/v3/https://ca.linkedin.com/company/sinoveda-canada-inc-;!!cbowfw0!qfhqf1ih6rdgk79vjvp5acrgrphqab_nq_8v9xqxv-dbc0gyxk2iti5phts7eyzslntw-tk$ &gt;Â  
&lt;https://urldefense.com/v3/https://www.instagram.com/sinoveda.health/?hl=en;!!cbowfw0!qfhqf1ih6rdgk79vjvp5acrgrphqab_nq_8v9xqxv-dbc0gyxk2iti5phts7eyzsxrkblgq$ &gt;</t>
  </si>
  <si>
    <t>oarrie oliver - need onboarding process for all-ways mech #1354440</t>
  </si>
  <si>
    <t>need onboarding process for all-ways mech #1354440
need onboarding document added to itglue
here the steps that i have done that could be used in the document
active directory for domain users
-create account under billing ou
-use first initial of the first name and then full last name
-copy or add the ad groups memebership
-make sure nd-fullbill is added
-profile tab, home folder field u \ad.allmech.ca\shares\home\%username%
-enter using email address in the general email field
-add email to the proxyaddress attri
office 365
-create account in office 365 and assigned the required license
sophos
-performed the sophos ad sync and send the welcome email.
mail only account
-create account under mail only
-use first initial of the first name and then full last name
-enter using email address in the general email field
-add email to the proxyaddress attri
office 365
-create account in office 365 and assigned the exchange online plan 1
sophos
-performed the sophos ad sync and send the welcome email.
 no  
 one  
 minor inconvenience</t>
  </si>
  <si>
    <t>good afternoon,
please be advised of the following changes with our senior support team:
-Â Â Â Â Â Â Â Â Â wendy schapansky
oÂ Â position to change from supervisor to network facilitator effective february 1, 202, will need to be forwarded to kevin dunlopâ€™s email 
oÂ Â no direct reports anymore â€“ judit kelecsenyi reports to kevin dunlop
-Â Â Â Â Â Â Â Â Â kevin dunlop
oÂ Â position changed from client services coordinator to acting supervisor with the senior support program effective january 16, 202 c: 403.619.712
180, 839 5 ave sw  calgary, ab  t2p 3c8
carya (formerly calgary family services)
we are working remotely to help calgarians through the covid-19 pandemic. please reach out to us if you need support.carya is here for you.
in the spirit of our efforts to promote reconciliation, we acknowledge the traditional territories and oral practices of the blackfoot, the tsuut'ina, the stoney nakoda first nations, the mÃ©tis nation region 3, and all people who make their homes in the treaty 7 region of southern alberta. we also respectfully acknowledge that the province of alberta is comprised of treaty 6, treaty 7, and treaty  during business hours (monday-friday, 8:30am-4:3) and in case of an emergency dial 911.
this e-mail is intended solely for the person or entity to which it is addressed and may contain confidential and/or privileged information. any review, dissemination, copying, printing, forwarding or other use of this e-mail by persons or entities other than the addressee is prohibited. if you have received this e-mail in error, please contact the sender immediately and delete the material from your computer.</t>
  </si>
  <si>
    <t>trailblazer rv - wireless access point</t>
  </si>
  <si>
    <t>bill @ trailblazer rv
1x access point
1 hour labour â€“ bill will be running cable and putting the wap where it is to go, weâ€™d just need to set it up and make sure it is delivering wifi signal.
curt giacomoni
project estimator
ph.Â +
14505 114th avenue nw
edmonton, ab
t5m2y8
mnp.ca</t>
  </si>
  <si>
    <t>hi,
i was using edmontonâ€™s printers for most of the day today. they seem to have disappeared from my drop down menu and i am no longer able to print the orders to them. not sure what happened.
thcnks,
d:587.393.946
 Â  Â cts-industries.com</t>
  </si>
  <si>
    <t>remote access</t>
  </si>
  <si>
    <t>hi mnp,
i was hoping to adjust the resolution of my remote access sessions and was unaware of how to do this. i believe it needs to be done before login but donâ€™t know how to change this. any help would be appreciated.</t>
  </si>
  <si>
    <t>a high-severity alert has been triggered
âš microsoft 365 compliance center
severity:â—high
time:1/28/2021 4:51:44 pm (utc)
activity:protection
details: 1 message hit on 9ee2de9d-929c-429c-0e9f-08d8c3accb667066805-1, sent by  to  at time 1/28/2021 4:51:44 pm.
              view alert details</t>
  </si>
  <si>
    <t>1) setting up microsoft authenticator on my new phone and 2) frequent " unsuccessful" login attempts</t>
  </si>
  <si>
    <t>hi:
!) i am not able to proceed with the instructions circulated by fidelis of out it department to set up my new iphone with theÂ  authenticator app. the app is already installed on my new phone ( transferred over from my old phone), but i am having trouble setting it up.
while looking into this, i came across the attachedÂ  list of unsuccessful logins into my igloo account from a specific 
- not sure what this is about, perhaps it is one of my own devices, a printer or phone, trying to auto log-in? i am anxious to have this looked into. please attached screenshot</t>
  </si>
  <si>
    <t>2 urgent exchange online (plan 1)</t>
  </si>
  <si>
    <t>1354886
 add licenses  
 office 365 exchange online  
2
urgent - client is disgruntled.</t>
  </si>
  <si>
    <t>jerry wilkinson - credit card expired on cwcarry.com domain registrar</t>
  </si>
  <si>
    <t>credit card expired on cwcarry.com domain registrar
credit card expired on cwcarry.com domain registrar
https://nextdigital.itglue.com/776
 no  
 everyone  
 work impacting</t>
  </si>
  <si>
    <t>- new request - 2 computer</t>
  </si>
  <si>
    <t>hello,
we will need two new computers for our new audio video systems.
1. username: babyboardroom
2. username: imcboardroom
the computer should have full microsoft products on them.</t>
  </si>
  <si>
    <t>dave, your products will auto-renew soon.</t>
  </si>
  <si>
    <t>open this email to find out on what dates they'll auto-renew. Â â€ŒÂ â€ŒÂ â€ŒÂ â€ŒÂ â€ŒÂ â€Œ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 â€ŒÂ â€ŒÂ â€ŒÂ â€ŒÂ â€ŒÂ â€ŒÂ â€ŒÂ â€ŒÂ â€ŒÂ â€ŒÂ â€ŒÂ â€ŒÂ â€ŒÂ â€ŒÂ â€ŒÂ â€ŒÂ â€ŒÂ â€ŒÂ â€ŒÂ â€ŒÂ â€ŒÂ â€ŒÂ â€ŒÂ â€ŒÂ â€ŒÂ â€ŒÂ â€ŒÂ â€ŒÂ â€ŒÂ â€ŒÂ â€ŒÂ â€ŒÂ â€ŒÂ â€ŒÂ â€ŒÂ â€ŒÂ â€ŒÂ â€Œ
24/
dave beharrel â€” customer number: 209915579
your products are about to auto-renew.
you did a good thing. and it's about to pay off. enjoy your day knowing your stuff won't expire. we've got you covered. 
your products will renew automatically on the dates listed below.
manage your renewals
ultimate managed wordpress websites renewal
connected tox4y.023.myftpupload.com
auto-renews on 2021-02-15
$120.42 /        1 year **
notice: your credit card will expire before your products are scheduled to automatically renew. if attempts to bill your credit card are unsuccessful, your products will expire. as a participant in visaÂ®'s and mastercardÂ®'s account update services, we are notified by banks of updates to your expiration date and/or card number, allowing for successful product renewal. to update your credit card information, or to change your automatic renewal status, please sign in to your account. 
important:Â if the credit card we have associated with each product for you has expired or been closed, we will not be able to automatically renew your product(s). to review and update your credit card information, or if you wish to cancel automatic renewal, log in to your account at mnp technology solutions. when you have accessed the account management area, click the "my account" button on the left hand side of the screen. then click the "credit cards and payment info" link. 
we also want to let you know thatthere's been a change to your terms of service. your account will renew for an annual term,based on the original hosting purchase. if you would prefer to renew monthly, you need to change your renewal term to a single month. 
important:Â we will automatically renew the above service(s) on the renewal date and charge the credit card you have associated with each product. to review and update your payment information, or if you wish to cancel automatic renewal,log in to your account.
**total shown is the price for the full term indicated. if you change the term when you renew, your pricing may be different. prices are current as of february-05-21, and may be changed without notice. prices do not include the cost of any "add-on" products that were purchased in connection with the products listed (such as additional bandwidth or email boxes). prices do not include taxes and fees when applicable.
please do not reply to this email. emails sent to this address will not be answered.
copyright Â© 616</t>
  </si>
  <si>
    <t>create edmonton site in cw automate for cooper law
currently, there is only the "main" site for cooper law in automate. according to glue main is fort mcmurray. there should be an edmonton site as well. please add the edmonton site, and rename "main" site to fortmcmurray.  i cant complete this client's onboarding with this.
 no  
 one  
 work impacting</t>
  </si>
  <si>
    <t>access to online resources</t>
  </si>
  <si>
    <t>hello,
with the new sophos web protection system on our computers, i realize it has set some restrictions in terms of the content it allows us to see i.e. sex education. however, is there a way to differentiate what websites it filters and allowing access to resources re. sex ed? i require access to resources that have been sent for a carepros client by their behaviour specialist, but i cannot access because of the sophos system. going forward, especially working with teens and training our staff to facilitate these conversations, these types of resources will be helpful to have access to. are we able to change this please?</t>
  </si>
  <si>
    <t>fwd: it issues</t>
  </si>
  <si>
    <t>shaun gierent
manager, technical services
ph.Â +       ext 360
14505 114th avenue nw
edmonton,       ab
t5m2y8
mnp.ca 
garrett says his email is still not working on his laptop.
shawn kubiski
partner
ph. +
14505 114th avenue nw
edmonton, ab
t5m2y8
mnp.ca
yep, weâ€™ll get it taken care of
shaun gierent
manager, technical services
ph.Â + ext 360
14505 114th avenue nw
edmonton, ab
t5m2y8
mnp.ca
can you look into this and get something working for these guys. they are getting very frustrated with our service.
shawn kubiski
partner
ph. +
14505 114th avenue nw
edmonton, ab
t5m2y8
mnp.ca
good afternoon gentlemen,
unfortunately, i have to send this e mail as a follow up to the conversation we had in your boardroom some weeks ago.
both garrett and deepthi are still having e mail issues, and today garrettâ€™s has escaladed to the point that he can no longer function on the e mail platform that has been designated to us. in addition, he completely lost access to adobe earlier this afternoon. i did what i assume to be a temporary fix as we had time sensitive documents to send out, but i donâ€™t think it was a permanent solution.
garrett has had one of your techâ€™s assisting him, but it has been hours and hours with no resolution.
my e mail yesterday was constantly updating the same two folders within my inbox, and it caused a delay in incoming mail and outgoing mail. in addition, my pdf editor has been acting up and restricting different tools at different times.
while accessing e mails on mobile devices, users including myself are experiencing difficulties opening attachments.
i am hoping that one of you can look into this and lend a hand, as we canâ€™t function without email/adobe.</t>
  </si>
  <si>
    <t>fw: access to mackenzie's outlook (365)</t>
  </si>
  <si>
    <t>good morning,
please provide access for myself, () and alanna rast to the outlook 36Â 
12316-107 avenue, edmonton, ab  t5m 1z1
www.mhkinsurance.commailto:)
we're here to help with your insurance needs. emails       and phone calls are still encouraged. appointments are required for       in-office broker meetings. please wear a mask when       visiting.
mhk welcomes       e-transfer payments to banking@mhkinsurance.â€‰com.
if you       receive this email in error, please notify us by reply email and destroy       this message. mhk complies with canada's anti-spam and alberta's pipa       legislations. if you no longer wish to receive emails from mhk, please       reply with 'unsubscribe' in the subject   line.</t>
  </si>
  <si>
    <t>james armitage - align ortho - create reoccuring ticket for exchange certificate updates</t>
  </si>
  <si>
    <t>align ortho - create reoccuring ticket for exchange certificate updates
align was switched to using a let's encrypt certificate in prep for the o365 migration project. this was delayed due to covid. ticket should reoccur every 60 days.
steps:
1. open exchange management console.
2. expand microsoft exchange on-premises, and click on server configuration.
3. once the panels have loaded, the bottom right panel will be the certificates for exchange.
4. in the list will be multiple certificates with names like "mail.alignortho.com certify - date". select the one with the most recent date.
5. right click the certificate, and select assign service to certificate.
6. the wizard will open for assigning the services, select imap, pop, iis, smtp. click next and then assign to assign the certificate to the services.
 no  
 everyone  
 other</t>
  </si>
  <si>
    <t>disable account
josh cheechoo postpone start date 
i will reaply for his credential
 no  
 one  
 other</t>
  </si>
  <si>
    <t>fw: [caution: suspect sender] request for insurance certificate _c.r. trucking ltd.</t>
  </si>
  <si>
    <t>good morning,
please advise if itâ€™s safe to click on the â€˜open messageâ€™.</t>
  </si>
  <si>
    <t>ip-it ms365 licenses - project plan 3</t>
  </si>
  <si>
    <t>i am having difficulty reassigning a licence for ms project plan 3.Â  i would like to remove the licence assigned to nancy vruwink and reassign to bianca hilbert.Â  in the licencing portal when i â€˜unassign licenceâ€™ from nancy it does not seem to work.
i also attempted to remove it from her user account directly using â€˜manage product licencesâ€™ and it wouldnâ€™t allow removal there either.</t>
  </si>
  <si>
    <t>- rehn's gun 10 faulty keypad</t>
  </si>
  <si>
    <t>hi,  
this gun has a faulty "a" key, will need to be shipped out for repair. gun 29 has been assigned to rehn as replacement.  
gun# 16</t>
  </si>
  <si>
    <t>missing spreadsheet</t>
  </si>
  <si>
    <t>hi,
yesterday i had a spreadsheet disappear, titled: service log spreadsheets.
i had accessed it in am and i use it pretty much daily.
itâ€™s located on â€œiâ€ drive, services, canada services.
i ran a search but unable to locate.
can you please restore asap?</t>
  </si>
  <si>
    <t>[high] alert for sophos central [calmont leasing ltd]</t>
  </si>
  <si>
    <t>this email alert was generated by sophos central. do not reply to this email.
sophos central event details for calmont leasing ltd
what happened: safe browsing detected browser google chrome has been compromised
where it happened: calmont-d-6592
path: c:\program files (x86)\google\chrome\application\chrome.exe
what was detected: intruder
user associated with device: service
how severe it is: high
help sources:
sophos central specific articles: https://community.sophos.com/kb?topicid=9000.
sophos central frequently asked questions (faq) - https://community.sophos.com/kb/en-us/119598.
sign in to https://central.sophos.com/ for more information
note: depending on the alert email frequency setting you choose, we will either send one email for one alert of each type (for example, an alert for a protection-failed event) in any 24-hour period, or send one email for each alert. you might have more alerts of the same type in the dashboard of the sophos central console.</t>
  </si>
  <si>
    <t>hello
can you please create an email specially for membership inquiries.
it should be on my computer and also janine, copied.</t>
  </si>
  <si>
    <t>submitted on behalf of  at alberta pulse
chris ippolito
manager, client experience
ph.Â +       ext 312
14505 114th avenue nw
edmonton,       ab
t5m2y8
mnp.ca 
hi chris,
one of our directors has been having issues with her email.Â  i do not know the whole story of why, but this has been a few months of us not being able send her emails.
when we email her, we get this error message below.Â  can you do some background checking, as i think she has called into the help desk in the past 6 months and i am not
sure of the whole story.Â Â  this is the email we receive when trying to access her @abertapulse.com email
delivery has failed to these recipients or groups:
allison ammeter ()
your message wasn't delivered because the recipient's email provider rejected it.
diagnostic information for administrators:
generating server: yqxpr01mb2502.canprd01.prod.outlook.com
remote server returned '550 5.7.520 access denied, your organization does not allow external forwarding. please contact your administrator for further assistance. as(7555)'
original message headers:
```
received: from yqxpr0101mb1704.canprd01.prod.outlook.com
```
```
(2603:10b6:c00:24::16) by yqxpr01mb2502.canprd01.prod.outlook.com
```
```
(2603:10b6:c00:50::13) with microsoft smtp server (version=tls1_2,
```
```
cipher=tls_ecdhe_rsa_with_aes_256_gcm_sha384) id 15.20.3784.11; thu, 28 jan
```
```
2021 20:08:23 +0000
```
```
received: from yqxpr0101mb1704.canprd01.prod.outlook.com
```
```
(fe80::6cf5:d21a:967b:f3ea) by yqxpr0101mb1704.canprd01.prod.outlook.com
```
```
(fe80::6cf5:d21a:967b:f3ea%7) with mapi id 15.20.3784.019; thu, 28 jan 2021
```
```
20:08:21 +0000
```
```
```
```
```
```
&lt;&gt;, chris allam &lt;&gt;, don
```
```
shepert &lt;&gt;, greg stamp &lt;&gt;,
```
```
jerome isaac &lt;&gt;, kevin auch &lt;&gt;,
```
```
peter konstapel &lt;&gt;, robert semeniuk
```
```
&lt;&gt;, rodney volk &lt;&gt;, "shane
```
```
strydhorst " &lt;&gt;, will muller
```
```
&lt;&gt;, leanne fischbuch &lt;&gt;,
```
```
jenn walker &lt;&gt;, nevin rosaasen
```
```
&lt;&gt;, rhonda lafreniere
```
```
&lt;&gt;
```
```
```
```
thread-topic: apg organization meeting
```
```
thread-index: adb1sfml5mwz+duvr/egx/nqwyak/aaaob4g
```
```
sender:  &lt;&gt;
```
```
date: thu, 28 jan 2021 20:08:21 +0000
```
```
message-id: &lt;&gt;
```
```
accept-language: en-ca, en-us
```
```
content-language: en-us
```
```
x-ms-has-attach: yes
```
```
x-ms-tnef-correlator:
```
```
x-ms-publictraffictype: email
```
```
authentication-results: albertapulse.com; dkim=none (message not signed)
```
```
header.d=none;albertapulse.com; dmarc=none action=none
```
```
header.from=albertapulse.com;
```
```
x-ms-exchange-messagesentrep...</t>
  </si>
  <si>
    <t>hey
this spam got thru today:
director, communications and government relations
mcmurray mÃ©tis (mna local 1935)
441 sakitawaw trail
fort mcmurray, alberta
t9h 4p
email:Â Â Â Â Â Â 
facebook:www.facebook.com/mcmurraymetis
twitter:Â Â Â Â www.twitter.com/mcmurraymetis
website:Â Â www.mcmurraymetis.org
pplease consider the environment before printing this email.
this message contains confidential information and is intended only for the named addressees.
if you believe that you received this email in error please notify the original sender and delete all copies.</t>
  </si>
  <si>
    <t>equipment drop off
anne mcilwaine will be dropping off a surface pro x-312 at your office in calgary on feb 1, at approx 3:30pm.  if you could please do updates on the surface pro, and ensure that it has zoom (the one for all users in the public folder), teams and vpn on it - that would be great.  please wipe the phone and set up for a new user.  please also do all of the updates on it.  i don't have her userid or password yet, but i can add the email later.
 no  
 one  
 work impacting</t>
  </si>
  <si>
    <t>check address book 2020-21 school rep list</t>
  </si>
  <si>
    <t>good morning,
can you check to see if this person is on the list, and if not add or see if the name is correct in the database?
guasp, paola -</t>
  </si>
  <si>
    <t>good day!Â 
we have a parts hunt group with five members. two of these people have different voicemail abilities and i'm trying to get them the same.
ext 2655 - no problems, customers receive voicemail when calling this line or being transferred to this line.
ext 4017 - when someone is transferred through to this line the voicemail doesn't pick up it reverts the call back to the hunt group.
how do we get ext 401
a:Â 500 premier way, sherwood park, ab</t>
  </si>
  <si>
    <t>access to monique auffrey personal file drive
please provide access to monique affrey's personal file drive the 
 no  
 one  
 work impacting</t>
  </si>
  <si>
    <t>sharlene - needs to change the automated message for extension</t>
  </si>
  <si>
    <t>please have terry call me as this i hear has not been solvedâ€¦
sorry for delay, darn covid
take care and stay safe! we are in this together.
(please note the office remains closed at this time. staff are working remotely)
sharlene cook
office administrator
discipline and sanctions
hockey edmonton
zone 8 â€“ mdc â€“ hockey alberta
10618 124 street nw
edmonton, ab t5n 1s ext. 10
www.hockeyedmonton.ca
hockey edmonton aims to foster, through the sport of hockey, development of active, healthy lifestyles.</t>
  </si>
  <si>
    <t>here is a spam email we received
parts manager
280 burnt park drive, red deer county t4s 2l
email: 
website: www.calmont.ca
this email, and any files transmitted with it, are confidential and are intended solely for the use of the individual or entity to which they are addressed. any unauthorized use or disclosure is prohibited. please notify the sender if you have received this email in error. thank you for your co-operation.
hello,
archie meurs shared a rfp file with you
proceed to access.Â Â Â Â Â Â Â Â Â Â Â Â Â Â Â Â   nortrux rfp
we will be delighted to hear what you think about this.</t>
  </si>
  <si>
    <t>re: are you around to help with a mitel issue that mnop cannot solve?</t>
  </si>
  <si>
    <t>hi michelle,
i was assisting ken this morning and we tested it by forwarding to my cell, which worked. i suggested that it might be because she has it set to press 1 to answer and there might not be enough rings to do that. the solution is to change it to answer by going off hook or increase the number of rings.</t>
  </si>
  <si>
    <t>- cannot download files fron gnwt site - event 4661</t>
  </si>
  <si>
    <t>sales representativeÂ 
phone/fax: 780.1 111 avenue nwÂ Â edmonton, abÂ Â t5s 1y1</t>
  </si>
  <si>
    <t>new employee
cathy mckinney- pa team
start date january 29.2021
un
pw
ea
 no  
 one  
 other</t>
  </si>
  <si>
    <t>name change on address book</t>
  </si>
  <si>
    <t>good afternoon,
can you please change, or if not there this name on the 2020-21 school rep address book list.
martina poljan â€“  â€“ i may have had it added but spelled the last name wrong polijan (please change this) to poljan.
please and thank you in advance.
lorna j
administrative coordinator
local 5</t>
  </si>
  <si>
    <t>i need to install an update for a program called triforce quicktools on my pc.
i need rights to instal an update for a program called triforce quicktools on my pc. it is not on the server.
 no  
 some  
 work impacting</t>
  </si>
  <si>
    <t>fw: crypto api private key</t>
  </si>
  <si>
    <t>hello,
one of our staff is getting the popup below â€œcyrptoaptâ€. it has come up consistently for a few days and continues to come up despite clicking â€œdonâ€™t allowâ€. i have scanned the system with sophos with no results.
can you open a ticket to advise and potentially remote in to check the system?</t>
  </si>
  <si>
    <t>change access to folder
a job costing folder (21-01-0</t>
  </si>
  <si>
    <t>- add monique's calendar to theresa's outlook</t>
  </si>
  <si>
    <t>see below, please add moniqueâ€™s calendar to theresaâ€™s outlook.
jorge bustamante
team lead, support specialist
ph.Â +
14505 114th avenue nw
edmonton,       ab
t5m2y during business hours (monday-friday, 8:30am-4:3) and in case of an emergency dial 91 during business hours (monday-friday, 8:30am-4:30pm). for immediate crisis response please contact the distress centre crisis line...</t>
  </si>
  <si>
    <t>sorry to bug you dave. mnpo was trying to assist one of our staff who hasnâ€™t received any calls through their twinned cell phone since yesterday afternoon. i learned the ken cowie was trying to troubleshoot but running into roadblocks and was trying to find you. i didnâ€™t see anything unusual in mitel director except maybe her number of rings.
here are kenâ€™s ticket notes:
ken cowieÂ added a noteÂ yesterday at 4:03 pm
kimberlyâ€™s extension is not forwarding to her cell
just started happening after lunch
she can see the calls come in in mitel connect but her cell never rings
x600
confirmed no issues with mitel or ad accounts
called kimberlyâ€™s direct line - got vm
called cell directly - worked
confirmed call routing settings and call handling mode
reached out to dave
       ba
manager, communications &amp; corporate relations/human resources
eÂ Â Â Â Â  
dÂ Â Â Â  587.6-107 avenue, edmonton, ab  t5m 1z1
www.mhkinsurance.com
we're here to help with your insurance needs. emails       and phone calls are still encouraged. appointments are required for       in-office broker meetings. please wear a mask when       visiting.
mhk welcomes       e-transfer payments to 
if you       receive this email in error, please notify us by reply email and destroy       this message. mhk complies with canada's anti-spam and alberta's pipa       legislations. if you no longer wish to receive emails from mhk, please       reply with 'unsubscribe' in the subject   line.
hi michelle, i am on a cabling job this morning,Â  but can take a look. what's up? regardsÂ  Â  Â  dave beharrell senior project specialist ph.Â + ext 328 14505 5 114th avenue nw
edmonton, ab
t5m2yÂ 
cÂ Â Â Â  
12316-107 avenue, edmonton, ab t5m 1z1
www.mhkinsurance.com
we're here to help with your insurance needs. emails and phone calls are still encouraged. appointments are required for in-office broker meetings. please wear a mask when visiting.
mhk welcomes e-transfer payments to 
if you receive this email in error, please notify us by reply email and destroy this message. mhk complies with canada's anti-spam and alberta's pipa legislations. if you no longer wish to receive emails from mhk, please reply with 'unsubscribe' in the subject line.
this email and any accompanying attachments contain confidential information intended only for the individual or entity named above. any dissemination or action taken in reliance on this email or attachments by anyone other than the intended recipient is strictly prohibited. if you believe you have received this message in error, please delete it and contact the sender by return email. in compliance with canada's anti-spam legislation (casl), if you do not wish to r...</t>
  </si>
  <si>
    <t>program install</t>
  </si>
  <si>
    <t>good morning,
i need to install a program on my local computer. it's the triforce analyzer software. i already have the installation file downloaded; i just can't install it as i don't have rights to create files in the program files (x86) folder.Â 
i'll be away from the office after 1
21421 111 avenue nwÂ Â edmonton, abÂ Â t5s 1y1</t>
  </si>
  <si>
    <t>on hold message for  - christmas greeting</t>
  </si>
  <si>
    <t>a client brought this to my attention, and i tried it myself to confirm.
when a client is put on hold, the message says:
â€œfaber inc Â wishes all our clients a healthy holiday season and a happy new year.
please update to a more suitable message.</t>
  </si>
  <si>
    <t>disable accounts
sara cardinal
stephanie wynnyk
dana haugen
no longer employed at pml
 no  
 some  
 other</t>
  </si>
  <si>
    <t>fw: accepted: social huddle</t>
  </si>
  <si>
    <t>hello,
one of my coworkers received a bounce back from me yesterday, and we arenâ€™t sure why. could you look into this please?</t>
  </si>
  <si>
    <t>please assist teresa with this and let mandy know once complete
aj whitford
field services technician
ph.Â +
14505 114th avenue nw
edmonton,       ab
t5m2y8
mnp.ca 
hi aj,
teresa only have reflex live in her laptop, could you please instal reflex test for her as my original request at the bottom of this email chain?</t>
  </si>
  <si>
    <t>stroeder, jennifer - termination, january 29, 2021</t>
  </si>
  <si>
    <t>good afternoon,
please be advised that jennifer stroederâ€™s last day with carya is on friday, january 29, 202 c: 403.619.712
180, 839 5 ave sw  calgary, ab  t2p 3c8
carya (formerly calgary family services)
we are working remotely to help calgarians through the covid-19 pandemic. please reach out to us if you need support.carya is here for you.
in the spirit of our efforts to promote reconciliation, we acknowledge the traditional territories and oral practices of the blackfoot, the tsuut'ina, the stoney nakoda first nations, the mÃ©tis nation region 3, and all people who make their homes in the treaty 7 region of southern alberta. we also respectfully acknowledge that the province of alberta is comprised of treaty 6, treaty 7, and treaty  during business hours (monday-friday, 8:30am-4:3) and in case of an emergency dial 911.
this e-mail is intended solely for the person or entity to which it is addressed and may contain confidential and/or privileged information. any review, dissemination, copying, printing, forwarding or other use of this e-mail by persons or entities other than the addressee is prohibited. if you have received this e-mail in error, please contact the sender immediately and delete the material from your computer.</t>
  </si>
  <si>
    <t>tallcree -workstation accessories</t>
  </si>
  <si>
    <t>tom carey
curt, we just had a meeting with tallcree and a couple things came to light. they would like to know what the cost is to add vesa mounts for the 28 think centre's plus wireless k&amp;m, and a power bar each do you want this as a sales request?
curt giacomoni
project estimator
ph.Â +
14505 114th avenue nw
edmonton, ab
t5m2y8
mnp.ca</t>
  </si>
  <si>
    <t>hi,
could you please add the following emails to our global list asap?
-Â Â Â Â Â Â Â Â Â ayaz bhanji - 
-Â Â Â Â Â Â Â Â Â tori bardell -Â  
-Â Â Â Â Â Â Â Â Â carman mcnary -  (there is currently an old email for carman that should be replaced by this one)
-Â Â Â Â Â Â Â Â Â jamie pytel -</t>
  </si>
  <si>
    <t>fw: file "lexusofedmonton financial statement - jan 2021.xlsx" has been shared with eschindel@lexuso</t>
  </si>
  <si>
    <t>this email looks suspicious but also very good compared to the normal ones that are more obvious. we are not aware of sending it. maybe you guys can see if it is authentic safely and if not if there is a way to prevent it in the future as i am sure a lot of staff would click it.</t>
  </si>
  <si>
    <t>fw: surface pro pen (replace jenn stroeder's lost pen)</t>
  </si>
  <si>
    <t>hi,
can you please send me a quote for qty 1 surface pro pen?Â  the surface pro is a   e: f: 
180, 839 5 ave sw  calgary, ab  t2p 3c8
carya (formerly calgary family services)
stay up to date with the latest carya news, programs, and events by signing up for ourmonthly newsletter.
in the spirit of our efforts to promote reconciliation, we acknowledge the traditional territories and oral practices of the blackfoot, the tsuut'ina, the stoney nakoda first nations, the mÃ©tis nation region 3, and all people who make their homes in the treaty 7 region of southern alberta. we also respectfully acknowledge that the province of alberta is comprised of treaty 6, treaty 7, and treaty  during business hours (monday-friday, 8:30am-4:3) and in case of an emergency dial 911.
this e-mail is intended solely for the person or entity to which it is addressed and may contain confidential and/or privileged information. any review, dissemination, copying, printing, forwarding or other use of this e-mail by persons or entities other than the addressee is prohibited. if you have received this e-mail in error, please contact the sender immediately and delete the material from your computer.</t>
  </si>
  <si>
    <t>this has been happening for a few months now (since mid-nov) and was bearable until a week ago. whenever i use any program on my laptop (e.g., outlook, zoom, internet browser, etc.) inside or outside the cloud i get a lag. my computer essentially freezes for a few moments then unfreezes. it used to happen every 10-15 min and now it feels like between every 30 sec to 5 min.</t>
  </si>
  <si>
    <t>hi
can i please receive a quote for a computer with installation</t>
  </si>
  <si>
    <t>printing off from google</t>
  </si>
  <si>
    <t>i search google for diagrams, manuals, and want to print receipts from google.Â  i can select print and the printer that i want shows up, i sent the doc to print, but no pages printed. i can print from google on bwottaloe.ca. i try and conduct all co. business on this account because rob is connected and saves some communications.Â   Â  10- 3 pm daily.</t>
  </si>
  <si>
    <t>fw: looking to purchase a surface</t>
  </si>
  <si>
    <t>good morning,
heather, our president, would like me to get quotes on
1. surface pro 7
2. surface book 3
iâ€™m not sure if your pricing is better but if we can get educational pricing that would be great since heather is a teacher.</t>
  </si>
  <si>
    <t>blue screen</t>
  </si>
  <si>
    <t>hi jac,
i am going to pass this along to our support team. iâ€™ve done that here in this email by emailing  i will message our support team coordinator so they know its urgent.
in the meantime have you tried power cycling your computer, by pushing and holding the power button until it powers down?
support team: this is for</t>
  </si>
  <si>
    <t>good morning â€“ i am working on a laptop and would like to have a monitor to go with it
i have monitor but need a cord to go with
looks like i need hdmi- dvi kind of cord
14610 yellowhead trail nw edmonton, ab, t5l 3cÂ Â Â Â  toll free: Â Â fax: 
email:
website:www.calmont.ca
this email, and any files transmitted with it, are confidential and are intended solely for the use of the individual or entity to which they are addressed. any unauthorized use or disclosure is prohibited. please notify the sender if you have received this email in error. thank you for your co-operation.</t>
  </si>
  <si>
    <t>hi,
i was trying to download ariel 7. cell
403.348.525 fax
www.signetma.com
p do you really need to print this e-mail?</t>
  </si>
  <si>
    <t>displays are damaged on two reception phones</t>
  </si>
  <si>
    <t>extended summary
quote request - pulse veterinary specialist and emergency ltd - request for 2x panasonic kx-nt680 phones
description
pulse veterinary specialist and emergency ltd
 because there is a phone with a whited out lcd screen that can't be fixed by the controls on the phone, and another phone with unknown issues that i haven't dealt with.
request for 2x panasonic kx-nt680 phones
 someone else  
450 ordze rd, sherwood park ab, t8h 2t3
1353224
 next digital edmonton  
thu 4 feb, 2021  
 yes  
 accessories (mice, keyboards, ram/ssd upgrades etc)  
 other  
no accessories needed. just wasn't able to get this request created without putting something.
short description: there are 2 phones that need to be replaced as they are having issues. one has an lcd screen that no text can be made out on as it has lost the ability to control it's contract levels and is almost all white. the other phone is an unknown that bryce requested be replaced.
2x panasonic kx-nt680 phones</t>
  </si>
  <si>
    <t>- deactivate nadine reizel's email</t>
  </si>
  <si>
    <t>can you please inactivate  from our email list.</t>
  </si>
  <si>
    <t>folder access</t>
  </si>
  <si>
    <t>hello,
can you please provide read/write access to andrew clifford (aclifford or safety) to the following folder:
y:\ generators \ sr branch files \ generator hse admin</t>
  </si>
  <si>
    <t>new computer set up</t>
  </si>
  <si>
    <t>greetings, i need to purchase and set up a new pc in our officeâ€¦my existing one is old and is soooooooo slowwwwww.
do you provide any services to migrate my existing programs etc to the new computer?</t>
  </si>
  <si>
    <t>hello,
this email is to notify you of an upcoming employee hire:
employee name:Â Â Â Â francis owusuÂ 
department: strategy
job title: strategy Â Â Â 
supervisor: kourch chan
effective date:Â Â  Â Â february 1, 2021
distribution list &amp; action required
it
rds:request for rds/network access
canfit update/login
e-mail:request for outlook account.
e-mail signature set-up:
-Â Â Â Â Â Â Â Â Â name: francis owusu
-Â Â Â Â Â Â Â Â Â position: research &amp; evaluation coordinator
-Â Â Â Â Â Â Â Â Â program: strategy
folder access:
-Â Â Â Â Â Â Â Â Â (kourch working with luiza on accesses)
apple id creation:request for apple id.
cell-phone access:request for cell-phone.
staff distribution list:leaders, all staff
shore-tel access required.
please send account details to: kourch chan ()
payroll/finance
payroll details will be provided once processed.
reception
please update existing employee list.
communications
for information only.
program manager
for information only.
facilities manager
keys/code required for alex taylor.
if you have any questions or concerns please let me know.</t>
  </si>
  <si>
    <t>25 x office 365 e3</t>
  </si>
  <si>
    <t>add licenses  
 office 365 e3  
25</t>
  </si>
  <si>
    <t>- asap!!!  please remove users from the elt email group</t>
  </si>
  <si>
    <t>asap!!!  please remove users from the elt email group
hello,  please remove the following users from the elt email group:
jolene livingston
monique auffrey
rachel anand
 no  
 some  
 unable to work</t>
  </si>
  <si>
    <t>good morning mnp,
i recently updated my password, and now my acsa server drive wont connect. can you help me out?</t>
  </si>
  <si>
    <t>email edits
-i need an email account created for tessa young-haines that has access to teams and replicates the email of rachelle short. 
-i need kimberly bussey's email to be removed from anything attached to weac, but not deleted as she has moved to elizabeth house.
 no  
 some  
 work impacting</t>
  </si>
  <si>
    <t>printer offline
lexmark mc2400 series ps3.  none of the 3 work stations can print to this printer. message comes up that printer is offline
 yes  
 some  
 unable to work</t>
  </si>
  <si>
    <t>configure acsa main line to route to ivr</t>
  </si>
  <si>
    <t>hi dave,
hope all is well!
our call support team was wondering if we could test the ivr functionality for the day on february 5 rather than routing all incoming calls to the reception hg.
we would, potentially, like to begin utilizing the ecc again if testing is successful.
we would require some stand-by support once it is switched in the event of issues.
b.sc, pmp, cissp, cisa, crisc, cismÂ Â manager, information systems (is)
225 parsons road sw Â edmonton abÂ Â t6x 0w ext. 771 Â tfÂ )
www.youracsa.ca</t>
  </si>
  <si>
    <t>new employee
bruce hill- pa team
start date januray 28 2021
un
pw
ea
 no  
 one  
 other</t>
  </si>
  <si>
    <t>tablet issues for neil in service</t>
  </si>
  <si>
    <t>good day,
i was wondering if lance could come out to the dealership.
i have an older lenovo tablet that i am now using and it sometimes gets
glitchy and freezes up.
it may need to be wiped of some of the old programs and files stored on it to
help with itâ€™s performance.</t>
  </si>
  <si>
    <t>hi,Â 
we are having issues with the screen on line 103. the screen is white and almost unreadable.
please let me know if there is any steps i can take to fix this!Â 
rachelÂ 
get outlook for ios</t>
  </si>
  <si>
    <t>ahmad, sajjad - position change, february 1, 2021</t>
  </si>
  <si>
    <t>good afternoon,
please be advised that sajjad ahmadâ€™s position changes from supervisor to manager, counselling services effective february 1, 202 during business hours (monday-friday, 8:30am-4:3) and in case of an emergency dial 911.
this e-mail is intended solely for the person or entity to which it is addressed and may contain confidential and/or privileged information. any review, dissemination, copying, printing, forwarding or other use of this e-mail by persons or entities other than the addressee is prohibited. if you have received this e-mail in error, please contact the sender immediately and delete the material from your computer.</t>
  </si>
  <si>
    <t>cw manage access - revoke 2 users, add nisha</t>
  </si>
  <si>
    <t>this is related to ticket 1349710 which requested access for jenny neville. plans have changed and a different person now needs the same access previously requested for jenny. see below â€“ we need to remove access for 2 people and add nisha instead.
partner
ph. +
14505 114th avenue nw
edmonton,       ab
t5m2y
carly dinan
manager, finance
ph.Â + ext 307
14505 114th avenue nw
edmonton, ab
t5m2y8
mnp.ca</t>
  </si>
  <si>
    <t>- urgent! brian's mnp client portal is not working!</t>
  </si>
  <si>
    <t>urgent! brian's mnp client portal is not working!
hi team,
please assist brian ryu with his mnp client portal, he is unable to enter sales requests and other internal tickets.
this is urgent!
 no  
 one  
 work impacting</t>
  </si>
  <si>
    <t>jessica foyle - needs update on new email address requests</t>
  </si>
  <si>
    <t>good afternoon,
i just need an update on two email address.
alyssia flack (could be under baller)
casey smith</t>
  </si>
  <si>
    <t>quote 1
6x basic laptop â€“ same as aaaq19774-01
2x surface pro + type cover
quote 2
1x surface pro + type cover
1x desktop aio w/ dual screens
printer â€“ b&amp;w, mfp, single user
show multiple choices
curt giacomoni
project estimator
ph.Â +
14505 114th avenue nw
edmonton, ab
t5m2y8
mnp.ca</t>
  </si>
  <si>
    <t>fw: do you have dell monitors?</t>
  </si>
  <si>
    <t>do you have any dell monitors in stock, also have the other two laptops arrived?
business process manager
t: +
c: +
f: +
e: 
w:www.siterg.com
#170, 120 pembina rd., sherwood park, ab, t8h 0m2</t>
  </si>
  <si>
    <t>see below
23 mckenzie cres red deer county, alberta t4s-2h4
www.sandmdiesel.com
follow our facebook at https://www.facebook.com/sandmdiesel/
follow on instagram atÂ  s_mdiesel #smdiesel #sandmdiesel
we have moved as of july 15,2018. please update your files with our new building address. 23mckenzie cres, red deer county alberta t4s-2h4
hey
i do have issues,
my email will just shut down and reopen as im typing
a company told me they are getting emails back when trying to email me that they are marked as spam, when iv always gotten their emails before
internet keeps blocking pages saying to many redirects even though iv cleared cookies
had to install a new printer as old one crapped out and i cant make it work on any computer except mine so maybe network not showing or something
couple tech computers are very slow to respond to internet even though we now have fiber internet
23 mckenzie cres red deer county, alberta t4s-2h4
www.sandmdiesel.com
follow our facebook at https://www.facebook.com/sandmdiesel/
follow on instagram atÂ  s_mdiesel #smdiesel #sandmdiesel
we have moved as of july 15,2018. please update your files with our new building address. 23mckenzie cres, red deer county alberta t4s-2h
4922 - 53 st.
red deer, ab
t4n2e9
mnp.ca</t>
  </si>
  <si>
    <t>hello mnp it,
our installed telephone network has software to extract the number of new calls which may be coming into the office. our phone software is called avaya manager.
i have been directed by â€œcomplete communicationsâ€ our telephone system vendor to use firefox to bring up the ip address of the software portal.
the reporting app is called xima chrinicall. when i type in the ip address, i just get a blank browser screen and a symbol that its not secure.
could you review our align security settings to allow for this ip address? i have tried in chrome and firefox. the support team at complete communications has said that due to java script this app is better used in firefox or internet explorer, than chrome.
http://:9080/
this has not worked in approximately 
edmonton main: 780.463.514
www.alignortho.com</t>
  </si>
  <si>
    <t>new user - diane allenby</t>
  </si>
  <si>
    <t>name: diane allenby
title: dispatcher
location: sherwood park
same access as: albert paradis (including access to dispatcher, etc)
business process manager
t:       +
c:       +
f:       +
e:       
w:       www.siterg.com
#170, 120 pembina rd., sherwood park, ab, t8h 0m2</t>
  </si>
  <si>
    <t>re: permission to download on ssa cloud server</t>
  </si>
  <si>
    <t>vicki - yes this is awkward but when we access zoom on the cloud our mics donâ€™t work.Â  what i usually do is just copy the zoom link and then go off the cloud and open google and past it in.
mnp â€“ if there is a way that we can make zoom work on the cloud it would be very helpful to all of us.</t>
  </si>
  <si>
    <t>service ticket #1312422 - fortinet renewal notice  (#aaaq19677)</t>
  </si>
  <si>
    <t>the eye studio
fwf6
dear customer,
attached is/are support contract/s for your order 10-p5 114 avenue
edmonton, ab, t5m 2y8, ca,
reseller po / additional ship to info : po l016, usa</t>
  </si>
  <si>
    <t>good afternoon,
my vpn connection keeps dropping and one of my coworkers said there is an update for the forticlient vpn. would it be possible to get this update?</t>
  </si>
  <si>
    <t>help</t>
  </si>
  <si>
    <t>hello
i need help setting up my other monitor.
it turns on and i can switch the mouse between monitors but i canâ€™t display anything on it
please help :)</t>
  </si>
  <si>
    <t>fw: some parts i need</t>
  </si>
  <si>
    <t>curt giacomoni
project estimator
ph.Â +
14505 114th avenue nw
edmonton, ab
t5m2y8
mnp.ca
hello.
i need to get some ram for older my ibm x3550 7978 server to replace the 3gb it currently has.Â  i would like to get 4 x 4gb of ram or maybe 4 x  ext.686
important notice of address change
please note that our office has moved and we are now located at 2693 broadmoor boulevard, suite 132, sherwood park, alberta, ca, t8h 0g1</t>
  </si>
  <si>
    <t>hello,
katrina reached out to us as her workstation at the  office is experiencing issues with outlook. outlook is constantly freezing and hanging the entire system. she may require an office reinstall. she stated she is not experiencing these issues with her workstation at home which is running the same software.
please reach out to katrina on thursday Â morning as she is away tomorrow.</t>
  </si>
  <si>
    <t>i file documents to folders on g drive  when using rds.  when i go back ot my desk top teh file folder is not updated!  argghh!  
last week i created a new folder  on gdrive... it does not exist on rds... argghhh   
help!</t>
  </si>
  <si>
    <t>[jira] automation for jira assigned tiap-1006 to you</t>
  </si>
  <si>
    <t>automation for jira assigned this issue to you
toronto innovation acceleration partners/tiap-1006 phil goldbach - urgent support needed 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
automation for jira assigned this issue to you
toronto innovation acceleration partners
/Â Â    Â  tiap-1006
 phil goldbach - urgent support needed 
  automation for jira  2:08Â pmÂ est
assignee: unassigned  jason gessner
view issue
get jira notifications on your phone! download the jira cloud app for android or ios.
manage notifications   Â â€¢Â    give feedback   Â â€¢Â    privacy policy</t>
  </si>
  <si>
    <t>heather mcleod</t>
  </si>
  <si>
    <t>good morning,
can you please reach out to heather as she can not print to the network printer.</t>
  </si>
  <si>
    <t>carry steel update site visit templates
please update the carry steel templates (site visit or otherwise) to use blake hamilton as the site contact instead of david brunton
 no  
 some  
 work impacting</t>
  </si>
  <si>
    <t>good afternoon,
can we please get a new email address with full license (word, excel) for casey smith. please set the password as winter202
a: 450 ordze road, unit #320.Â  sherwood park, ab t8b 0c5
www.pulseveterinary.ca</t>
  </si>
  <si>
    <t>cannot generate new emails or add in extra receipents
when trying to "reply all" to an email i cannot add in another email address. also it wont let me create a new email. when i try to add in a contact it just keeps saying "searching"
 no  
 one  
 unable to work</t>
  </si>
  <si>
    <t>- can't connect to my wireless printer thru wi-fi</t>
  </si>
  <si>
    <t>can't connect to my wireless printer thru wi-fi
see attached file. i have a phone meeting from 1pm to 1.3</t>
  </si>
  <si>
    <t>raimund schwind
process manager - incidents
ph.Â +       ext 365
14505 114th avenue nw
edmonton,       ab
t5m2y8
mnp.ca 
see below.Â  this came into info.Â  not sure if she also reached out to support.
hello,
can someone contact me please. it is urgent.
---------- forwarded message ---------
deÂ :natacha beauvais &lt;&gt;
date: lun. 18 janv. 2021, Ã  10 h 2 as i work from home.
natachaÂ beauvais
agente de promotion
fÃ©dÃ©ration des parents francophones de l'alberta
https://fpfa.ab.ca
áŠá’¥á¢á‘¿á’Œášá¢á‘²á¦áƒá‘²á£Â (amiskwacÃ®wÃ¢skahikan), traitÃ© 6/territoire mÃ©tis</t>
  </si>
  <si>
    <t>hi there,
last week i received assistance as my computers processing speed was tapped out due to microsoft teams.Â  the temporary solution is no longer working as i am constantly battling my system not responding with basic functions.</t>
  </si>
  <si>
    <t>nicole smith - send/receive emails</t>
  </si>
  <si>
    <t>hello,
are you able to adjust the setting so it send and receives more frequently like every 5 minutes? instead of every 30 minutes. also can you update my name in your system for the tickets email and south orders from nicole smith, it just causes confusion because nicole no longer works here.</t>
  </si>
  <si>
    <t>personal laptop for carly</t>
  </si>
  <si>
    <t>hi team,
i need a basic laptop. something for internet and microsoft office for home. i have a beast of a computer and it officially will no longer power up.
i donâ€™t want to spend a ton and donâ€™t need anything fancy. it can be refurbished. i donâ€™t care the brand. i donâ€™t want a chromebook.
can you get me a few options?</t>
  </si>
  <si>
    <t>distribution group</t>
  </si>
  <si>
    <t>good afternoon,
can we please add lisa campbell to the specialist tech group.</t>
  </si>
  <si>
    <t>email password</t>
  </si>
  <si>
    <t>good evening,
we have an ecf email address for a consultant that she canâ€™t log into.
can you please ensure that  is active.
also, can you please reset the password to sunshine99!</t>
  </si>
  <si>
    <t>hello
for some reason i am unable to print from my payroll program
can someone please call me in the morning, our office opens at 7:3
fax:Â  
http://www.capital-paper.com/
capital paper recycling ltd
10595 50th st s.e
calgary ab
t2c 3e3
"leaders in paper recoveryâ€
effective immediately, due to the unsecured nature, we cannot accept interac e-transfers. *unless authorized by kim burns.
the information in this email and any attachments is sent by capital paper recycling ltd. and is intended to be confidential and for the use of only the individual or entity named above. the information may be protected by solicitor-client privilege, work product immunity or other legal principles. if the reader of this message is not the intended recipient, you are notified that unauthorized review, retention, dissemination, distribution, copying or other use of or taking any action in reliance upon this information is strictly prohibited. 
if you received this email in error, please notify us immediately by email reply and delete or destroy this message and any copies.</t>
  </si>
  <si>
    <t>wifi -- has been updated</t>
  </si>
  <si>
    <t>hi there,
please note, the wifi signal on the senior director office at alex taylor is not working.
let me know if it needs to be on site to get that fixed.</t>
  </si>
  <si>
    <t>quote request - pilgrim's hospice - pilgrim's hospice - 2 new wireless keyboards</t>
  </si>
  <si>
    <t>pilgrim's hospice
, 2 new wireless keyboards for smart boards
pilgrim's hospice - 2 new wireless keyboards
 the primary contact in connectwise  
edmonton
 next digital edmonton  
mon 1 feb, 2021  
 no  
 accessories (mice, keyboards, ram/ssd upgrades etc)  
 mouse/keyboard  
 microsoft wireless desktop 900 (mouse + keyboard)  
2
2x wireless keyboards</t>
  </si>
  <si>
    <t>debit machine internet connection
our stationary debit machine is not connecting to the internet. we have contacted td directly twice and they informed us that this is an internet connection issue and we are to contact you.
 no  
 some  
 work impacting</t>
  </si>
  <si>
    <t>calling out issuers at xtn</t>
  </si>
  <si>
    <t>good morning dave,
this morning the dealership is receiving calls but is unable to call out â€“
i was just on the phone with telus re the n1n2 change it has not been activated but it will be in 1Â Â c:
#200 - 15511 123 avenue nw  edmonton  ab  t5v 0c3Â 
Â Â www.autocan.ca</t>
  </si>
  <si>
    <t>shae livingston - bonnyville welding -  - sharepoint sync slowness</t>
  </si>
  <si>
    <t>bonnyville welding -  - sharepoint sync slowness
lorrie-anne reports that they have been experiencing slowness when it comes to the syncing of documents within sharepoint.  when people add new documents, the documents take awhile before they show up for others.
 no  
 everyone  
 work impacting</t>
  </si>
  <si>
    <t>microsoft word crashing on rds
originally thought this was affecting just one document, however i was working in another word document and the program crashed. i had to move out of the rds to work on the document and this did not happen again. please investigate why microsoft word is crashing in the rds.
 yes  
 some  
 work impacting</t>
  </si>
  <si>
    <t>internet issues in cloud environment rds01</t>
  </si>
  <si>
    <t>we've noticed over the past couple of weeks that we are not able to load secure websites while working in the cloud. has something changed from the last update? sites such as banking sites are not loading. they spin and never load.  
i'm in the office today until 3:3) or can be reached by cell tomorrow or friday (). thanks. tracy</t>
  </si>
  <si>
    <t>unable to open documents in wellness network folder in n drive
there is an entire folder of documents that will not open in the n drive.
i get the message that the file name is too long. i think this means the folders are too deep. they were opening yesterday but none are opening today.
 no  
 some  
 work impacting</t>
  </si>
  <si>
    <t>nc-oa-rds01 - nextcloud - c drive low on space</t>
  </si>
  <si>
    <t>nc-oa-rds01 - nextcloud - c drive low on space
add 20 gb space to c on nc-oa-rds01
 no  
 everyone  
 work impacting</t>
  </si>
  <si>
    <t>fw: igloo - fortinet</t>
  </si>
  <si>
    <t>@support - mnp it managed services this is for igloo building supplies.
fortigates in use on site have active contacts, but forticloud is showing as expired.
please investigate.
ryley boyd
project specialist
ph.Â +
14505 114th avenue nw
edmonton,       ab
t5m2y
hi amin,
unless i am missing something, it looks like i donâ€™t have permissions to see the asset management section with  account, but when i log directly into the edmonton fortigate i can see itâ€™s license does not expire until 2021/11/12.
are you using a different account to log into forticloud?</t>
  </si>
  <si>
    <t>urgent: 192.168.30.163</t>
  </si>
  <si>
    <t>hi there,
can you please change the smtp settings for the above to the same as our other copiers in the system like ?
we canâ€™t use an external one anymore
business process manager
t:       +
c:       +
f:       +
e:       
w:       www.siterg.com
#170, 120 pembina rd., sherwood park, ab, t8h 0m2</t>
  </si>
  <si>
    <t>clarification: access and approval for myles</t>
  </si>
  <si>
    <t>high priority ticket. waiting on reply from matt patrick as to whether or not we need a release of liability form. please assign to lance.
jeff meadows
field services technician
ph.Â 
4922 - 53 st.
red deer,       ab
t4n2e9
mnp.ca 
good morning everyone.
i request administrator access to the mcmurray metis 365 tenant.Â  i have to assess this situation.
on feb. 9, 2021 6:18 p.m., corey hobbs &lt;&gt; wrote:
hey
infinity metis corp is our business arm.
we are joint and trying to merge all it matters.</t>
  </si>
  <si>
    <t>blue circle ins. install softphone application on calgary and edmonton workstations - ticket...</t>
  </si>
  <si>
    <t>extended summary
blue circle ins. install softphone application on calgary and edmonton workstations - ticket #1346548
description
 new idea or request  
 other  
25 users
 one time  
client is switching to cloud softphone solution.save us install the software manually on every workstation
tip: if this is for a new dashboard or report, you could sketch up a concept on a napkin, in paint, or excel, and attach it to this request.  
-utilise nextvision installing bria softphone to be installed on calgary and edmonton workstations (win10)
-installed once 
-msi installer located under \nc-bci-be02\it$\bria softphone\bria_enterprise_6.3.0_105533.msi 
-no install parameters needed (default ...next -next --)</t>
  </si>
  <si>
    <t>cannot access fims
i once again have lost access to fims. had this same claim a week ago, it was fixed for a day, and is now missing again.
 yes  
 some  
 work impacting</t>
  </si>
  <si>
    <t>blue circle ins. exchange drive expansion
please expand  nc-bci-mail02\c:  drive by 30 gb (15 gb free/159 gb)
 no  
 everyone  
 unable to work</t>
  </si>
  <si>
    <t>bci - nutec pvr
hi team,
i received a note from gerry that a member of our team (not sure who) was working with peter from nutec regarding their "pvr " installed at their office. 
apparently the device was taken home and when connected to the internet, it works fine. they're now wondering if the fw on-site is blocking this.
can someone please connect with peter (nutec) to discuss a resolution?
please provide a final update to gerry or dirk.</t>
  </si>
  <si>
    <t>unifi access for team leads
hey team,
any chance that the tls could have mirrored permissions to the ssss? this would be on the unifi.nextdigital.ca portal. we can't even reboot any of the access points.
 no  
 some  
 work impacting</t>
  </si>
  <si>
    <t>printer offline
printer will not print, message on pc says it is offline. other pc's connected to same printer are not having problems printing.
 yes  
 some  
 work impacting</t>
  </si>
  <si>
    <t>canada ici:  disk space on ici-sql-01</t>
  </si>
  <si>
    <t>hi,
i was running some sql queries on ici-sql-01 and i was getting some failures on the queries indicating insufficient disk space.
can you please verify that their is sufficient disk space on this guest server</t>
  </si>
  <si>
    <t>hi,
the same problem comes back again. the message â€œthis action requires windows administrator permissionsâ€ pops up after i try to open a file.
, cpa, cga
 www.ccllp.ca
t 780 487 1 178 street, edmonton ab, t5s 1r5</t>
  </si>
  <si>
    <t>adp - error message and cannot login
last week i was able to login to newly set up adp. today i cannot. error message says: adp digital certificate  
    certificate validation module
an error occurred in the certificate validation module.
 no  
 some  
 unable to work</t>
  </si>
  <si>
    <t>nexsource bentley -  internet down</t>
  </si>
  <si>
    <t>jeff meadows
field services technician
ph.Â 
4922 - 53 st.
red deer,       ab
t4n2e9
mnp.ca 
hey jeff,
our bentley office is still down.Â  they have no internet or server access.Â  can you look into this please?
i have ccâ€™d chris on this email so you can contact him if you have any questions.</t>
  </si>
  <si>
    <t>jorge bustamante - site resource group - ses-p4100-02 failed raid battery</t>
  </si>
  <si>
    <t>site resource group - ses-p4100-02 failed raid battery
while working on another ticket we noticed this battery has reported a failure. we should look at replacing asap as a power failure will most likely mean data corruption. see attached screenshot.
 no  
 everyone  
 work impacting</t>
  </si>
  <si>
    <t>unicon - trouble forwarding phone lines</t>
  </si>
  <si>
    <t>good morning,
up until this morning, we have had no issues with our direct lines being forwarded to other numbers for staff to work from home, but this morning when you call the direct lines that are forwarded, you either get a busy signal, or you get a message stating that the number is not available. when i remove the forwarding the number works as expected.
here is a screen shot of a few of the numbers we have forwarded. we have many staff working from home, who require these numbers to be forwarded so if you could please put an urgency onto this request, i would appreciate it</t>
  </si>
  <si>
    <t>baymag calgary - phone line issue</t>
  </si>
  <si>
    <t>hi team,
please investigate the qos issues for baymag calgary, as per the email below from sven (rt â€“ telecom).
please loop me in to the communication and feel free to ask me any questions.
all the best,
david
david stevens
team lead, field services technician
ph.Â +
310 - 4000 4 st se
calgary,       ab
t2g2w3
mnp.ca 
hi david,
our site in calgary has some issues on the phone line. sue told us about distortion and other quality problems on inbound calls from the pstn. we checked the pstn gateway, but could not find any problem. first it looked like restarting the pstn gateway solved the problem, but the behavior appears again and again. i think there is an issue with the line on service providers site. i asked sue to get in touch with the service provider.
could you please get in contact with sue and the service provider to determine and hopefully solve the problem.
mit freundlichen grÃ¼ÃŸen/best regards
sven hiddersen
telecommunication engineer
it- infrastructure services
refratechnik holding gmbh
office gÃ¶ttingen
rudolf-winkel-str. 1
d 37079 gÃ¶ttingen
germany
phone +49-551-6941-457
expect the best. refratechnik
follow refratechnik group:
linkedin facebook twitter youtube slideshare instagram
refratechnik holding gmbh,Â georg-muche-str. 4, 80807 mÃ¼nchen, phone +49 89 96 107200, fax +49 89 977 agÂ mÃ¼nchen
von: gazso, sue &lt;&gt;
gesendet: donnerstag, 14. januar 2021 20:20
an: hiddersen, sven &lt;&gt;
betreff: re: phone line - #tck10586
hi sven, i have been trying to get in touch with the service providerâ€¦. it works on and off. some days (today) it is fine and some days it isnâ€™t. it is just so oddâ€¦â€¦
hi sue,
did you get any information from the service provider. is the phone line still problematic?
mit freundlichen grÃ¼ÃŸen/best regards
sven hiddersen
telecommunication engineer
it- infrastructure services
refratechnik holding gmbh
office gÃ¶ttingen
rudolf-winkel-str. 1
d 37079 gÃ¶ttingen
germany
phone +49-551-6941-457
von: gazso, sue &lt;&gt;
gesendet: mittwoch, 6. januar 2021 17:00
an: hiddersen, sven &lt;&gt;
betreff: re: phone line - #tck10586
hi sven, the reset didnâ€™t work. it did the last few times, but this time it didnâ€™t.
this only happens with calls coming into the company, and on all phone lines (the direct numbers too). outgoing and internal calls all work fine, that is why i didnâ€™t think it was the service provider, but i will call them and get them to check also.
it is becoming very problematic.</t>
  </si>
  <si>
    <t>projectwise client port access
we have installed a communication portal for one of our projects (projectwise) that requires port 5800 to be open on the firewall. could you please confirm that port is open to this client?
 no  
 some  
 work impacting</t>
  </si>
  <si>
    <t>dr. krivuzoff-sanderson - double-sided printing with reception laserjet</t>
  </si>
  <si>
    <t>dr. krivuzoff-sanderson - double-sided printing with reception laserjet
people printing to leanne's hp laserjet printer are not able to print double-sided. we need to investigate the printer settings remotely. this printer is usb-connected to leanne's computer and then shared out to the rest of the front desk office.
 no  
 some  
 minor inconvenience</t>
  </si>
  <si>
    <t>mhk - telus outage</t>
  </si>
  <si>
    <t>please take a look at our phones and give me a call at 780-999-711Â 
cÂ Â Â Â  
12316-107 avenue, edmonton, ab  t5m 1zÂ 
12316-107 avenue, edmonton, ab t5m 1z1
www.mhkinsurance.com
we're here to help with your insurance needs. emails and phone calls are still encouraged. appointments are required for in-office broker meetings. please wear a mask when visiting.
mhk welcomes e-transfer payments to 
if you receive this email in error, please notify us by reply email and destroy this message. mhk complies with canada's anti-spam and alberta's pipa legislations. if you no longer wish to receive emails from mhk, please reply with 'unsubscribe' in the subject line.</t>
  </si>
  <si>
    <t>rooms - new calendar accounts</t>
  </si>
  <si>
    <t>good morning,
we currently have a zoom meeting room calendar that we no longer need.Â  what we need is a calendar set up for: board room booking  education room booking  private dining room booking.
please set up emails for each and make the calendar accessible by all staff.Â  i want to see it the same as the zoom calendar we have, whereas when they book a meeting they include the zoom email address and it goes straight into the calendar.
we are already getting requests for room bookings so if you could possibly take care of this today, that would be great.</t>
  </si>
  <si>
    <t>richard ignacz - durocher - printing/copitrak</t>
  </si>
  <si>
    <t>durocher - printing/copitrak
this issue was emailed in from linette. i (richard) recently installed new network equipment but everything worked for the morning until 11:30 after i changed the equipment. so not sure its realted to the equipment change. 
everyone in our office is having issues, all us staff and the lawyers here as well, with not being able to print to either xerox machine, and i note that i keep getting pop up messages on my computer that microsoft outlook and word has stopped working, or ts_ has stopped working (something to do with printing), now copitrak has stopped coming up for print jobs, and iâ€™ve told everyone to restart the cloud, iâ€™ve had to restart mine three times now and iâ€™m still having problems.
 no  
 everyone  
 unable to work</t>
  </si>
  <si>
    <t>good afternoon,
it appears we are having significant printer issues in our nursing station, that of which mnp has troubleshooted numerous times in the past couple weeks.Â  at this time it keeps coming up offline and there is no access to do even a basic print job let alone scanning.Â  please reach out immediately to our nursing station at 825.467. â€“ 148 street
edmonton abÂ  t5n 3e ext. 24 (direct)
*home of the new roozen family hospice centre</t>
  </si>
  <si>
    <t>hewes itero  element2 - wifi no internet access
the hewes itero element2 is connected to the "align_net" wifi, but the device says that there is no internet connections. the itero element1 is also connected to align_net and is successful. we are currently using the align_staff wifi
 no  
 some  
 work impacting</t>
  </si>
  <si>
    <t>this email alert was generated by sophos central. do not reply to this email.
sophos central event details for calmont leasing ltd
what happened: safe browsing detected browser google chrome has been compromised
where it happened: calmont-d-6618
path: c:\program files (x86)\google\chrome\application\chrome.exe
what was detected: intruder
user associated with device: shop1
how severe it is: high
help sources:
sophos central specific articles: https://community.sophos.com/kb?topicid=9000.
sophos central frequently asked questions (faq) - https://community.sophos.com/kb/en-us/119598.
sign in to https://central.sophos.com/ for more information
note: depending on the alert email frequency setting you choose, we will either send one email for one alert of each type (for example, an alert for a protection-failed event) in any 24-hour period, or send one email for each alert. you might have more alerts of the same type in the dashboard of the sophos central console.</t>
  </si>
  <si>
    <t>nc-mf-cs01 snapshots</t>
  </si>
  <si>
    <t>new alert was generated at wed jan 20 18:19:58 mst 2021:
info:nc-mf-cs01Â virtualmachineÂ is acting abnormally since wed jan 20 18:19:58 mst 2021 and was last updated at wed jan 20 18:19:58 mst 2021
alert definition name: virtual machine is running on snapshots for more than 2 days
alert definition description: virtual machine has large disk snapshots that are consuming disk space
object name : nc-mf-cs01
object type : virtualmachine
alert impact: risk
alert state : warning
alert type : virtualization/hypervisor
alert sub-type : configuration
object health state: info
object risk state: warning
object efficiency state: info
control state: open
symptoms:
symptom set - self
symptom nameobject nameobject idmetricmessage infovirtual machine has disk snapshots for a long timenc-mf-cs01-4006-aca6-2607e6d226772.0... &gt;= 2.0
virtual machine has a snapshot sized more than 1 gbnc-mf-cs01-4006-aca6-2607e6d22677disk spacesnapshot space2.812 &gt; 1.0
recommendations: 
- if the virtual machine has multiple snapshots, delete the older snapshots
- do not use a snapshot for more than 24-72 hours.
the snapshot file continues to grow in size when it is retained for a longer period. this can cause the snapshot storage location to run out of space and impact the system performance. 
refer to the following kb article:
best practices for using snapshots in the vsphere environment https://kb.vmware.com/kb/1025279
notification rule name: virtual machine is running on snapshots for more than 2 days
notification rule description: 
alert id : 9aa276de-aee3-4354-a4a20
vcops server - vrealizeclusternode
alert details</t>
  </si>
  <si>
    <t>- email phishing scam emails being set from mason's email address</t>
  </si>
  <si>
    <t>_    
 attached files:
- mason liu is inviting you to collaborate on mason liu.msg</t>
  </si>
  <si>
    <t>[high] alert for sophos central [amp financial]: you must clean up a threat manually</t>
  </si>
  <si>
    <t>this email alert was generated by sophos central. do not reply to this email.
sophos central event details for amp financial
what happened: we could not clean up a threat.
where it happened: w7-amp-008
path: c:\users\assistant\appdata\local\microsoft\windows\inetcache\content.outlook\rbsixmyk\ðŸ“ž assistant-22309-5684-3.
sophos central frequently asked questions (faq) - https://community.sophos.com/kb/en-us/119598.
sign in to https://central.sophos.com/ for more information
note: depending on the alert email frequency setting you choose, we will either send one email for one alert of each type (for example, an alert for a protection-failed event) in any 24-hour period, or send one email for each alert. you might have more alerts of the same type in the dashboard of the sophos central console.</t>
  </si>
  <si>
    <t>server noise</t>
  </si>
  <si>
    <t>hello are you able call me, itâ€™s importantâ€¦
the big black tower on the floor in our server room is making an extremely loud noise, it sounds like itâ€™s on over drive or something
when you call i will transfer you to my personal phone and go upstairs so you can hear it, or david, if you are in the area this am, are you able to come by, i am concerned.
please let me know the best course of action i should take?
your help is appreciated</t>
  </si>
  <si>
    <t>- #1361326 - orthopaedic associates - nc-oa-rds01 add 20 gb to c</t>
  </si>
  <si>
    <t>#1361326 - orthopaedic associates - nc-oa-rds01 add 20 gb to c
requesting to add 20 gb to nc-oa-rds01
client name: orthopaedic associates
server name: nc-oa-rds01
drive letter name: c
amount to expand by: 20 gbs
original ticket: #1361326
330
 no  
 some  
 minor inconvenience</t>
  </si>
  <si>
    <t>shared folder access [n:\general information\internal]?</t>
  </si>
  <si>
    <t>hi there,
please make sure all e4c employees have access to the shared folder path below: 
n:\general information\internal
please let me know if you have any questions.</t>
  </si>
  <si>
    <t>hello,
e-mail signatures for dave robertson below and joe pilieci are not showing up can we please fix?
business process manager
t:       +
c:       +
f:       +
e:       
w:       www.siterg.com
#170, 120 pembina rd., sherwood park, ab, t8h 0m2</t>
  </si>
  <si>
    <t>port for ge to have remote access to our ge ultrasound systems</t>
  </si>
  <si>
    <t>good day vito, and faizel,
i wasnâ€™t sure if you figured out a time for jordan from vidistar (hitachi healthcare) to remote in on the router to work on getting the dicom send error corrected so the vivid e90 can send data to the vidistar pacs again.
while we are at it, i am not sure if this requires a separate ticket, but could we get a port opened for ge healthcare so that they can remote in on our imaging systems if needed?Â  the information from sandra is below.</t>
  </si>
  <si>
    <t>cannot open powerbroker
clicking on the powerbroker icon in remote desktop i am receiving the attached error message
 no  
 everyone  
 work impacting  
my cell phone #</t>
  </si>
  <si>
    <t>nc-ipt-fs01 - expand e: drive
please expand by 30 gbs
opal approved in ticket #1346234 
if you expand the partition, please close my ticket too :)
 no  
 everyone  
 work impacting  
you just lost the game</t>
  </si>
  <si>
    <t>fw: corrie's emails</t>
  </si>
  <si>
    <t>hello mnp,
could you please review for corrie tetreauâ€™s email to still forward to paula mcfaul and tricia langwald. it seems to have expired and patientâ€™s are getting a bounce back.
this account should be suspended as corrie no longer works for , however her align tc team is still reviewing her incoming emails for patient care and management.</t>
  </si>
  <si>
    <t>phyre: ticket#1323661/appleschools/apple id -- has been updated</t>
  </si>
  <si>
    <t>good morning oarrie and matt!
hope you're both doing well!
i wanted to ask about an issue/process we are having with our apple id's.Â  Â we are being asked to update a few of our apple apps withÂ our laptops.Â  i know this is a regular part of maintenance but it has led to a complication withÂ using our own email addresses as apple ids.
i will describe in steps what occurs.Â  i hope this allÂ makes sense :).
1.Â  hit the apple icon and the app store for updates.Â  the pop up comes up as our old apple id: (). (see attachment app update step 2).Â  i then replace the old apple id with my new one ().Â Â 
i then get a pop upÂ  that says 'this apple id has not yet been used with the app store and i get the option to cancel or review.Â Â 
2.Â  i click the review, it asks me to "complete you apple id and then a screen asking to enter credit card information'.Â Â 
this is where i would like some assistance and advice.Â  i would rather not use our own personal credit card information on an apple schoolsÂ account as i think it would start getting messy ifÂ  staff does this.Â 
we are grateful that creating the individualized apple id hasÂ stopped the random pop ups to all of our laptops but i am still hoping that there is a better solution for apple schools.Â  in the meantime, i will advise staff not to put their personal credit cardsÂ 
matt, you had mentioned that you were looking into a more business solution for apple ids and i think that would be terrific if we could figure that all out!!</t>
  </si>
  <si>
    <t>teams addition
hello,
it is my understanding that when new users are added to the global address list in outlook that they would also be added to the  distribution list, so that they will be part of the &gt;&gt;caryacalgary team within teams.  is this not the case?  we have a new user:  kaila  burnham that is in the global address list, but is not showing up in teams.  as mnp is the owner of this team, they should be ensuring that new staff are added to it.  please advise when this user has been added.
 no  
 some  
 work impacting  
joanne</t>
  </si>
  <si>
    <t>richard ignacz - pulse vet - lukas services start</t>
  </si>
  <si>
    <t>hello,
while rebooting the servers on-site (ram install on the server) i had to go into the services of each server and start both nextvision services manually. this will need to get looked at.
additionally, the following services need to be manually started after every reboot and lukas has asked for these to be set to automatically restart.
\pvc-app02
â€¢asteris keystone clinic server
â€¢asteris monitoring
â€¢dicom tls router
â€¢dicom tls router watchdog
\pvc-csapp
â€¢datapoint integration agent
â€¢trupanion express agent
â€¢trupanion express agent helperservice
lukas would like to be keep updated on this situation.
please talk to me before proceeding with this so i can give you additional context.</t>
  </si>
  <si>
    <t>i will need adp installed on my laptop by monday morning - apologies for the short notice. i can be reached at . as well, i need access to the  inbox.</t>
  </si>
  <si>
    <t>this email alert was generated by sophos central. do not reply to this email.
sophos central event details for amp financial
what happened: we could not clean up a threat.
where it happened: amp-d-7475
path: c:\users\claire.rosenau\appdata\local\microsoft\windows\inetcache\content.word\fw_ 11 january_ 2021.msg
what was detected: troj/phish-hhh
user associated with device: 
how severe it is: high
what sophos has done so far: we attempted to clean up (unless the threat is on a linux computer).
what you need to do:in the sophos central admin console, go to the alerts page and find the threat alert. click on the threat name to see details and cleanup advice on the sophos website. then go to the affected computer and clean up the threat manually.
help sources:
sophos central specific articles: https://community.sophos.com/kb?topicid=9000.
sophos central frequently asked questions (faq) - https://community.sophos.com/kb/en-us/119598.
sign in to https://central.sophos.com/ for more information
note: depending on the alert email frequency setting you choose, we will either send one email for one alert of each type (for example, an alert for a protection-failed event) in any 24-hour period, or send one email for each alert. you might have more alerts of the same type in the dashboard of the sophos central console.</t>
  </si>
  <si>
    <t>turn on qnap02 at 4:00pm for weekly offline backups</t>
  </si>
  <si>
    <t>turn on qnap02 at 4:00pm to perform weekly offline backup</t>
  </si>
  <si>
    <t>email undeliverable - microsoft outlook notice</t>
  </si>
  <si>
    <t>hello mnp it,
myself and paula are having random emails returned as â€œundeliverableâ€ today. yesterday, we had difficulties with our outlook web app, but that seems to be corrected.
paulaâ€™s issues began at 3pm yesterday and mine began first thing. i have reviewed with paula this morning and not every email goes undeliverable, however the odd email does.
could you please review?</t>
  </si>
  <si>
    <t>this email below was in my sent items today and i received notification from a consultant we work that he received an email from me that appeared to be junk as well.  i may have been hacked.
, principal
architect saa aaa maa oaa aibc mraic leed ap
group2 
architecture interior design 
630c 10th street e saskatoon sk s7h 0g9
d +
t + 
group2.ca
group2 is committed to being both responsive and responsible in navigating these extraordinary times with everyoneâ€™s safety in mind. since the outset of the covid-19 situation, we have enabled our employees to work remotely, allowing us to continue business operations and maintain our client commitments.</t>
  </si>
  <si>
    <t>unhealthy identity synchronization notification: january 10, 2021 21:27 utc</t>
  </si>
  <si>
    <t>find out how to troubleshoot this issue.Â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 ---
---
your identity synchronization from on-premises is unhealthy
on january 10, 2021 21:27 utc, azure active directory did not register a synchronization attempt from the identity synchronization tool in the last 24 hours for  .
for information on troubleshooting this issue, please see the directory synchronization troubleshooter resource.
--- ---
--- 
do not reply to this message. it was sent from an unmonitored email account.
--- ---
---
--- ---
--- 
privacy statement
microsoft corporation, one microsoft way, redmond, wa 98052
--- ---
---</t>
  </si>
  <si>
    <t>we have the foremen entering time on the ipads. we have now seen it occur multiple times where the hours for an employee will be shifted onto a different foremans time card. their hours remain in the same column that they were orignally entered but will then be in a different cost code as the other foreman will have their cost codes sequenced differently.  
_      
 attached files:  
- dylan's timecard.pdf  
- jeff's timecard.pdf</t>
  </si>
  <si>
    <t>email account creation and edits
i need email accounts similar to megan walkhouse set up for the following individuals:
madeline martel
kendall dewitt
kate boyce
the email for jamie mcpherson needs to have her name edited to be spelled:
jaime instead of jamie
micaela strelau needs her email disabled
 no  
 some  
 work impacting</t>
  </si>
  <si>
    <t>hello
my office copier is not able to scan to email as it says it needs a user and password? also the copier in the main office is also saying that there is a network error when trying t scan to email.</t>
  </si>
  <si>
    <t>/ rds issues
working with joanne on a different issue and she advised she and other staff are having issues with the rds. 
it appears rds has been slow to log in since teams was set up and for herself, she's had it take up to 2 minutes to get past the login screen, and also sometimes gets prompted to log in again on outlook and teams after she logs in, with outlook appearing like it's reloading her emails from scratch.
my suspision is she may be ocassionally getting a temp profile when she logs in but we do need to check on the slow login issue and if we need to prevent teams from loading on login.
 no  
 some  
 work impacting</t>
  </si>
  <si>
    <t>wifi issues in ottawa office</t>
  </si>
  <si>
    <t>our ottawa office is reporting that they are having terrible speeds with their wi-fi, while their ethernet connection is very fast.
can someone please contact marvin there and see if it can be solved?
613-903-720Â cÂ 
#3540 manulife place, 10180-101 street,
edmonton, ab t5j 3s4
canadaici.com
toronto â€¢ calgary â€¢ edmonton â€¢ ottawa â€¢ winnipeg
this message and any attachments are confidential. if the reader is not the intended recipient, you are hereby notified that any dissemination, distribution or copying of this email is strictly prohibited. if you have received this email in error, please notify the sender immediately by return email. internet communications cannot be guaranteed to be secure or error-free as information could be intercepted, corrupted, lost arrive late or contain viruses. the sender does not accept liability for any errors or omissions in the context of this message.</t>
  </si>
  <si>
    <t>greetings,
something in our server room in edmonton is repeatedly beeping every 15-20 seconds.Â  can you please advise or send a service technician?Â  thank you.</t>
  </si>
  <si>
    <t>hi guys,
weâ€™re having issues with the paging system to the pre-owned building, itâ€™s routinely not working. can we get this addressed permanently as this is something that seems to up every other month.
all the best,
  sales consultant   
cell: 780-</t>
  </si>
  <si>
    <t>urgent: permission group</t>
  </si>
  <si>
    <t>hello,
can we please make a permission group for this location: s:\construction operations\projects\56 fort mac\56-20-f0241 suncor pads 111,125-126 ,131
they should have modify / read / write priveleges to all subfolders
please give this to cory hancheryk and dustin hendrickson
business process manager
t:       +
c:       +
f:       +
e:       
w:       www.siterg.com
#170, 120 pembina rd., sherwood park, ab, t8h 0m2</t>
  </si>
  <si>
    <t>unhealthy identity synchronization notification: january 10, 2021 9:26 utc</t>
  </si>
  <si>
    <t>find out how to troubleshoot this issue.Â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 ---
---
your identity synchronization from on-premises is unhealthy
on january 10, 2021 9:26 utc, azure active directory did not register a synchronization attempt from the identity synchronization tool in the last 24 hours for  .
for information on troubleshooting this issue, please see the directory synchronization troubleshooter resource.
--- ---
--- 
do not reply to this message. it was sent from an unmonitored email account.
--- ---
---
--- ---
--- 
privacy statement
microsoft corporation, one microsoft way, redmond, wa 98052
--- ---
---</t>
  </si>
  <si>
    <t>database profiles</t>
  </si>
  <si>
    <t>good morning,
when we are opening up a file using mitek, it is routed to a file folder based on the year.Â  most of us have not updated it since 2018 as shown below.Â 
therefore, to get to more current projects, we have to move up one tier on the t drive and select the correct year.Â  this resets every morning because of how the file path is set up
i remember how to update the file path, (and was able to change to 2020 for now, until a large number of 2021 projects are done) but as soon as i click on apply, this warning appears.Â Â 
after doing a screen share earlier this morning with aaron at mitek, he believes that it has to do with this database server profile "sqlprofileÂ 
21421 111 avenue nwÂ Â edmonton, abÂ Â t5s 1y1</t>
  </si>
  <si>
    <t>anneliese fris - edmonton studio connection slow</t>
  </si>
  <si>
    <t>edmonton studio connection slow
not sure if this is related to the server issues this morning, but the edmonton studio is reporting very slow connection issues. doug ramsey +  are in the studio - please contact them for any confirmation of conditions.
 no  
 some  
 work impacting</t>
  </si>
  <si>
    <t>canada vpn remote station issues</t>
  </si>
  <si>
    <t>jeff meadows
field services technician
ph.Â 
4922 - 53 st.
red deer,       ab
t4n2e
be great
terry romanow
president
sent from my iphone
on nov 5, 2020, at 3:2
4922 - 53 st.
red deer, ab
t4n2e9
mnp.ca
&lt;ceb2d446-9e86-49d5-bd6b-61b89a0c4ae0.jpg&gt;
&lt;7018-21-corptechsolmergeremailsignature_cf3d1017-a58e-4489-b81c-f21d44bb6f08.jpg&gt;
&lt;12cb2224-f61a-4494-bab2-f68b7e50ddf6.jpg&gt;
hey guys i just bought another station for in the bentley office, can we get you to transfer files and hook everything up on nov 1</t>
  </si>
  <si>
    <t>need assistance with a senior tech for an issue with telus and our camrose office</t>
  </si>
  <si>
    <t>we are having some network issues with regards to our camrose  telephone service in camrose.  
we have been tried to work through some issues with them remotely, but rrealize, we need it assistance.  
essentially, they need to remote into the local computer out in camrose, and  they have done so, they are saying that the network out there is set up with the wrong ip address.  
the camrose ip is 192.168.67 and it is not working for them.  
we are asking that a senior tech please call telus to resolve this for us.  anytime after 3:30pm today  
telus     
case # 12276330  
and then please call our edmonton office tomorrow to confirm that it has been completed.</t>
  </si>
  <si>
    <t>lost access to shoretel queue monitor</t>
  </si>
  <si>
    <t>hello my co-worker kristin bell and i both lost access to the shoretel queue monitor page. can you help us?
johanna jentschÂ Â  reception administrator
225 parsons road sw Â edmonton abÂ Â t6x 0wÂ fÂ  Â tfÂ )
www.youracsa.ca</t>
  </si>
  <si>
    <t>quickbooks update</t>
  </si>
  <si>
    <t>good day,
we have been notified that we have a quickbooks update that is required that we have done before we can do payroll.
could i have someone reach out to us to get this done as soon as possible.</t>
  </si>
  <si>
    <t>phone queues did not auto-switch to on-hours
had to manually flip the switch on the phone queues today. i tested a call at 7:06 and it was still going to the after-hours queue.
 no  
 some  
 work impacting</t>
  </si>
  <si>
    <t>rds03 slow
rds03 is betond slow. took 15 min to log on and another 10 to load a couple of apps
 yes  
 some  
 work impacting</t>
  </si>
  <si>
    <t>unable to access screen connect or teams on nddc-rds07
screen connect will not download or open . teams is not available.
in chrome the download for screen connect must be allowed and when you go to run it you need admin privlages
 no  
 some  
 work impacting</t>
  </si>
  <si>
    <t>issue with access to some websites</t>
  </si>
  <si>
    <t>hi there,
we are having issues with accessing some websites. i'm wondering if anyone has made any changes to our security settings.</t>
  </si>
  <si>
    <t>employee email</t>
  </si>
  <si>
    <t>are you please able to have an email created for joel cabillo.
you can mirror the account for</t>
  </si>
  <si>
    <t>hi,
perhaps itâ€™s just a name but why doesn  have a drive call wsus?Â  please confirm wsus is not running in the environment and that their updates are all automated as per our normal best practices. thank you.
shaun gierent
manager, technical services
ph.Â +       ext 360
14505 114th avenue nw
edmonton,       ab
t5m2y8
mnp.ca 
resolved
expand â€œf:\ drive -wsusâ€ by 30 gb
could not locate any space to free on the drive
mike farhat
field services technician
ph.Â +
310 - 4000 4 st se
calgary, ab
t2g2w3
mnp.ca
looking into it
ticket# 1346 4 st se
calgary, ab
t2g2w3
mnp.ca</t>
  </si>
  <si>
    <t>team not auto-setting after changing boards</t>
  </si>
  <si>
    <t>hey team,
looks like this is happening again. tickets are getting stuck with team = unset when moved from triage to the service request and incidents boards. this means they wonâ€™t show up in anyoneâ€™s ntd and are essentially stuck in a black hole. mike had looked into this issue last time. can you guys take a look and see if itâ€™s stuck? itâ€™s doing it sporadically (#1333729 worked at 8:18 am but #755 did not, queued those around 9:00 am).</t>
  </si>
  <si>
    <t>fw: follow up from install</t>
  </si>
  <si>
    <t>hi kolyn.
our office is experiencing some issues since the install, and i will need someone to come in to the office to fix them, soon please. can we get this arranged today?
for example, suddenly printers arenâ€™t working â€“ either running slow or going offline, computer stations terribly slow, no camera or tv working in op 4, my soundbar disappearing off my computer and the computer speakers picking up instead. the worst situation was yesterday when suddenly we neither had abeldent or cadi available for a couple of hours which affected our patients and our ability to work.Â  i would like to get it all assessed, up and running so we can rely on our technology.Â  we also still need to move the backup to the back room for security.
let me know what we need to have running or not at the time, and when mike or jeff are available.
dr. caroline
caroline krivuzoff-sanderson dmd
general dentist
6130 67 street, #270
red deer, abÂ  t4p 3m1
p.  346-0077
e. 
drcarolinedentist.com</t>
  </si>
  <si>
    <t>re: issue to connect to the cloud - emergency</t>
  </si>
  <si>
    <t>good day,
our bookkeeper user has issue to connect.Â  whenever she click on the rds to connect, she gets this message that no computer is available for her to connect.Â  this message happened before she can put her password.
i would appreciate if you could quickly reach out nathalie at (514) 952-845 ext. 20
email:
website:www.multotec.ca
â€œwarning/disclaimer: this email, including any attachments, is subject to important warnings and disclaimers which are hereby incorporated into this email. the full text of the warnings and disclaimers together with the company particulars are available by clicking on: http://www.multotec.com/content/email-disclaimer"</t>
  </si>
  <si>
    <t>ip-it issues accessing codes</t>
  </si>
  <si>
    <t>i am having difficulty accessing a â€˜subscribed toâ€™ pdf document.Â Â i believe the way we set it up a number of years ago was to map the file opening from a registered ip address on one of our servers.Â Â iâ€™m not sure what has changed, but it appears the address is no longer valid.Â Â we had nd set this up originally so i am hoping you can track down some info on it.Â Â it is not a document that is referenced often, so iâ€™m not sure how long it has been inaccessible, but is required now for a project.Â Â the file we are trying to open is located here:
p:\codes\other codes\fire codes\ , 436.</t>
  </si>
  <si>
    <t>update taxprep forms</t>
  </si>
  <si>
    <t>please assist
aj whitford
field services technician
ph.Â +
14505 114th avenue nw
edmonton,       ab
t5m2y8
mnp.ca 
hi aj,
can you schedule to update taxprep forms 2020 v1.0 to my laptop asap? this new version is released on dec 17, 2020. i need to prepare some forms this week, please update mine first, then to mike, gurmeet, kathryn and teresa.</t>
  </si>
  <si>
    <t>urgent
hi brian, can you work with your internal team on the below email for tonight
hi amin,
can you please arrange to have all the servers restarted (the rds servers that the users log onto).
we seem to be having problems with perform and i want to rule out a server side problem.
i will restart Â Â Â fs02Â Â Â Â Â  tonight when i see no one is on the server.</t>
  </si>
  <si>
    <t>- email sent is going into gmail spam on receipent's side</t>
  </si>
  <si>
    <t>hello â€“ a customer said my emailed are coming up for her as spam and she is not receiving them, she said everyone else is find its just my address
she sent me a screen shot of the error
please advise if its our end or hers and how to proceed
**we will be now closed all sundays until further notice, sorry for any inconvenience this may cause**
as of monday, april 6/20 our hours of operation will be reduced, and will close at 9pm mon-friday, also starting sept. 1 we will be closing saturdays 6pm*
remember to wash your hands.
service writer
11403 â€“ 174 street edmonton, ab t5s 2p Â Â Â Â Â Â Â Â Â Â  toll free:Â Â Â Â Â  direct:  ext. 132
email:
website:www.calmont.ca
this email, and any files transmitted with it, are confidential and are intended solely for the use of the individual or entity to which they are addressed. any unauthorized use or disclosure is prohibited. please notify the sender if you have received this email in error. thank you for your co-operation.</t>
  </si>
  <si>
    <t>barracuda issues</t>
  </si>
  <si>
    <t>all:
i am having issues with the barracuda quarantine. all of our bis trainer emails and notifications are being sent to the quarantine and not being delivered. this is slowing down approvals of our onboarding and other business critical systems. please advise on how we may correct this ongoing issue.
health, safety &amp; environmental manager
t:       +
c:       +
f:       +
e:       
w:       www.siterg.com
#170, 120 pembina road, sherwood park, ab, t8h 0m2</t>
  </si>
  <si>
    <t>adp login on mozilla firefox</t>
  </si>
  <si>
    <t>good morning,
just wanted to reach out as weâ€™ve had several requests this week for the adp login page. currently, when you open firefox, ourcarya webpage automatically appears on the first tab. i was wondering if we could add a second tab on firefox that automatically directs to the adp login page for easy access â€“ please advise if this is possible to set-up in firefox.
adp login page is: https://workforcenow.adp.com</t>
  </si>
  <si>
    <t>fw: software</t>
  </si>
  <si>
    <t>please see below
today: be the reason someone smilesðŸ˜Š
office manager
mcmurray metis (mna local 1935)
441 sakitawaw trail
fort mcmurray, ab t9h 4p
email:
facebook:www.facebook.com/mcmurraymetis
twitter:www.twitter.com/mcmurraymetis
website:www.mcmurraymetis.org
please consider the environment before printing this email.
this message contains confidential information and is intended only for named addresses.
if you believe that you received this email in error please notify the original sender and delete all copies.
good afternoon
happy new year
i am reaching out for some information.
we have been in receipt of donated laptops for our members.Â  would your team be able and willing to install software for our members and elders to utilize these laptops?Â  if so what would the cost be?
we would be looking at 23 laptops.Â  we would like to have them set up in a fashion that user can access email and google to participate in meetings and culture activities.</t>
  </si>
  <si>
    <t>search function on rds don't work anymore</t>
  </si>
  <si>
    <t>you canâ€™t press start and start typing anymore like you used to and canâ€™t add things to the taskbar, can we change this
business process manager
t:       +
c:       +
f:       +
e:       
w:       www.siterg.com
#170, 120 pembina rd., sherwood park, ab, t8h 0m2</t>
  </si>
  <si>
    <t>shpk consult03 - rds use all monitors</t>
  </si>
  <si>
    <t>hi lance,
when you are in shpk for the monitor replacement today, could you please check the rds in consult 03
the replacement pc in shpk consult03 is from the signon workstation. adebola mentioned that the harddrive has now been replaced in the dead original consult03 workstation. weâ€™re excited to have that pc back, as the dymo and scanner have not worked on that temp workstation.
the current workstation does not have the rds icons configured to use all monitors. i have assisted several tcâ€™s to edit the settings, and save, however it is not actually saving the â€œuse all monitorsâ€ setting.
could you please update this, if the consult0
edmonton main: 780.463.514
www.alignortho.com</t>
  </si>
  <si>
    <t>e-mail litigation hold (urgent)</t>
  </si>
  <si>
    <t>hello,
we would like an export of all husky related emails from the following people:
kim boser
chad lambrecht
leo barrette
brad mccaffrey
ken davies
colin thompson
gary wotton
mark ringrose
joe bachand
lance welch
gabriel farkouh
kory ebel
jeremy manning
kaya bien
gary kruger
ryan rideout
andrew elash
search words would be:
folder #1 (s2 project)
husky s2 or p0777 or spruce lake
folder #2 (s6/s7 project)
husky s6 or husky s7 or p0778 or dee valley or rush lake</t>
  </si>
  <si>
    <t>nc-carya-be02  - please expand e: by 50 gb</t>
  </si>
  <si>
    <t>nd-carya-be02  - please expand e: by 50 gb
please expand e: by 50 gb for nd-carya-be02.
the carya company shares exist on this server and itt is currently at 25 gb free, so showing up red.. i have gotten some questions about it.</t>
  </si>
  <si>
    <t>nd - mitel softphone is timing out</t>
  </si>
  <si>
    <t>mitel softphone is timing out
talked to dave about this problem. there are a few people that can't connect to the softphone and others are able to connect.
 no  
 some  
 work impacting</t>
  </si>
  <si>
    <t>- upgrade paymate software to 2021 version</t>
  </si>
  <si>
    <t>upgrade paymate software to 2021 version
our paymate software needs to be updated to the latest version.  the files are located at p:\downloads\clarity\  there is the application file, a file of instructions and notes from 2019.  the upgrade needs to be completed prior to december 28 so that we can process our first payroll for 202</t>
  </si>
  <si>
    <t>fw: o365 sharepoint backups failing - acsa</t>
  </si>
  <si>
    <t>jerry wilkinson
senior project specialist
ph.Â +       ext 309
14505 114th avenue nw
edmonton,       ab
t5m2y8
mnp.ca 
small correction jerry,
i should have written we will exclude the three sites that are consistently failing every day, not the entire job. misspoke.
talk soon,
rory maguire
hostedbizz inc.
www.hostedbizz.com
good morning jerry,
i hope you were able to have a relaxing holiday. iâ€™ve reached out and followed up with raimund schwind a couple of times now with no response. we would very much like to get this issue resolved as soon as possible. i am going to disable the jobs on our side, as they are causing an error message every day.
please let me know if there is someone else i should contact jerry.</t>
  </si>
  <si>
    <t>a high-severity alert has been triggered
âš microsoft 365 compliance center
severity:â—high
time:12/22/2020 6:23:02 pm (utc)
activity:protection
details: 1 message hit on 783803d0-31fc-4e66-3063-08d8a6a69d9-1, sent by  to  at time 12/22/2020 6:23:03 pm.
              view alert details</t>
  </si>
  <si>
    <t>printer malfunctioning
the printer is again printing the first two pages of the same document again and again anytime anything is printed. it makes the printer slow as it is recieving the file for a very long time before it will print it. it is also wasting lots of paper.
 yes  
 everyone  
 work impacting</t>
  </si>
  <si>
    <t>phones down</t>
  </si>
  <si>
    <t>you have a new voicemail message.
new voice message
--- 
(
--- 
--- 
time:mon dec 28 2020 07:24 mst
--- 
duration:00:19
---
your message is being transcribed and will be delivered shortly
vm-id:20778319</t>
  </si>
  <si>
    <t>low disk space on nc--mail01
all drives are showing low disk space
 no  
 everyone  
 work impacting</t>
  </si>
  <si>
    <t>jwatson desktop client portal</t>
  </si>
  <si>
    <t>jwatson does not have the mnp portal on her desktop. she says it is still nd.  can this be fixed.  she is working from home. please call her at</t>
  </si>
  <si>
    <t>need to watch video presentation at cpacanada.org
this is the site for professional accountants and i need to visit the site often and watch videos. iâ€™m getting blocked when i try to get in.  can you please help?
 no  
 some  
 work impacting</t>
  </si>
  <si>
    <t>amazon web server down - need help asap</t>
  </si>
  <si>
    <t>hi,
our website went down and blackwater manages it, but it's hosted on an amazon web server and they can't find anyone who is available.
can you help with this?</t>
  </si>
  <si>
    <t>sage error message</t>
  </si>
  <si>
    <t>good afternoon,
i just received the below error when logging into sage. it seems we are all getting the same error.
meleena doroshenko,cpa, cga  manager finance &amp; accounting
225 parsons road sw Â edmonton abÂ Â t6x 0w ext. 770 Â tfÂ )
www.youracsa.ca</t>
  </si>
  <si>
    <t>customer thermometer - connectwise integration
the customer thermometer product for csat responses should be creating tickets on the customer service board so pm's can review and then assign to a cxm for follow-up.  these are currently not generating in cw.  red negative responses are not being tracked in connectwise for follow up. please investigate and assist in resolving this problem.
 no  
 some  
 work impacting</t>
  </si>
  <si>
    <t>re: password change</t>
  </si>
  <si>
    <t>please see joey's request below. we need to force password reset at next login for all users asap
matt patrick
manager, operational alignment
ph.Â +       ext  4 st se
calgary,       ab
t2g2w3
mnp.ca 
hi again matt,
can you please force a password change to all users?Â  i know this will be a pain in the butt, but it needs to happen immediately, just in case the breech came from our side.
please also quote us for the multifactor authentication project.</t>
  </si>
  <si>
    <t>adobe pro - to edit pdfs</t>
  </si>
  <si>
    <t>corp
 the primary contact in connectwise  
main
1345263
 next digital edmonton  
mon 11 jan, 2021  
pro version of adobe reader so that they can edit pdfs. client has requested it asap.</t>
  </si>
  <si>
    <t>change to datamaster folder on the sdrive</t>
  </si>
  <si>
    <t>good morning,
can you please change who can access the datamaster folder on the sdrive?
we would like to remove everyone who currently has access, excluding cloud users: , melissa welcher, lily tomanek and rubyann rice.
i have included rubyann rice, provincial executive director to provide her approval on this request.</t>
  </si>
  <si>
    <t>need phone fixed
need a few phones switched out with other phones at weac as the main office phone is not working.
9
 yes  
 everyone  
 unable to work</t>
  </si>
  <si>
    <t>[medium] alert for sophos central [lo-se-ca foundation]</t>
  </si>
  <si>
    <t>this email alert was generated by sophos central. do not reply to this email.
sophos central event details for lo-se-ca foundation
what happened: pua 'generic ml pua' detected in network location '\loseca.internal\shares\home\inhomesupport2\downloads\unconfirmed 422716.crdownload' requires attention
where it happened: nc-lsc-rds04
path: \loseca.internal\shares\home\inhomesupport2\downloads\unconfirmed 422716.crdownload
what was detected: generic ml pua
user associated with device: &gt;lsc - in home support 2
how severe it is: medium
help sources:
sophos central specific articles: https://community.sophos.com/kb?topicid=9000.
sophos central frequently asked questions (faq) - https://community.sophos.com/kb/en-us/119598.
sign in to https://central.sophos.com/ for more information
note: depending on the alert email frequency setting you choose, we will either send one email for one alert of each type (for example, an alert for a protection-failed event) in any 24-hour period, or send one email for each alert. you might have more alerts of the same type in the dashboard of the sophos central console.</t>
  </si>
  <si>
    <t>fw: security certificates for rds expired - 12 pm</t>
  </si>
  <si>
    <t>hi,
can mnp take a look on the credentials that expiring today.
m.luizacoelho e ext 132
9321 jasper avenue, edmonton ab t5h 3t7
e4calberta.org</t>
  </si>
  <si>
    <t>password reset</t>
  </si>
  <si>
    <t>password reset
 would like to implement mandatory password changes in a remote setting (every 6 months).
 no  
 everyone  
 work impacting</t>
  </si>
  <si>
    <t>itrak portal and main</t>
  </si>
  <si>
    <t>hi,
there seems to be an issue with the itrak portal. bruce hogg has been trying to complete an incident investigation form but the portal cannot complete the request. you
i have tried using my portal account and it will not allow me to do it either. i can, however, complete using the itrak main.
can you please look into the portal, and in the meantime, give main access to bruce? i will add it to his account now in itrak administration.</t>
  </si>
  <si>
    <t>rds login issues for mantralogix folks
- the following people from mantralogix will be helping us with tickets a couple days a week:  kris szabo, kalyan sivasubramanian, donna blyth
- it appears they are all having issues logging into the rds, they don't get a mfa prompt pushed to their ms authenticator
 no  
 some  
 work impacting</t>
  </si>
  <si>
    <t>re:  urgent request!  z:drive file set up</t>
  </si>
  <si>
    <t>good morning,
i have created 4 new staff files folders on the z:drive.Â  can you please allow the following access for each file to the names indicated and confirm when complete.Â  this is of an urgent request.
1. staff files â€“ residential program /access granted to monica robson, , sean youn, kelly marlow
1. staff files -Â  fund development /access granted to monica robson, , sean youn, elaine warick
1. staff files â€“ hospice community program /access granted to monica robson, , sean youn, bonnie ross
1. staff files â€“ support staff /access granted to monica robson, , sean youn</t>
  </si>
  <si>
    <t>launch website from sig</t>
  </si>
  <si>
    <t>hi there,
i think the website for aviva may need to be updated when we go to access it through the launch in sig.
we are receiving the following message when we launch through sig however all the links still work.
when we go directly to the website below, we have no issues.
https://partner.aviva.ca/login/</t>
  </si>
  <si>
    <t>- false positives in  junk box</t>
  </si>
  <si>
    <t>false positives in  junk box
this is a shared folder, please allow these email address to go through to the email address from global allow list  murray lee &lt;&gt; and jenric millwork &lt;&gt;  ken cowie was working with me on others on ticket 1321501.  please use this for reference.
 yes  
 some  
 minor inconvenience</t>
  </si>
  <si>
    <t>bci - poor call quality with bria conference calls over rds</t>
  </si>
  <si>
    <t>hi team, please review dirks note below, as well as the e-mail chain between bci and croo.io (bciâ€™s soft-phone vendor).
bria (croo.ioâ€™s soft-phone application) is installed on bcis rds where users are using the soft-phone.
it seems that during conference calls, the connection is throttled. can we please have a review of the bci traffic to identify where the bottleneck may be?
please connect with croo.io support directly if needed for testing/information gathering.
keep in mind bci has an edmonton office and their voip traffic will need to be checked as well.
once the issue has been identified, please provide dirk with a status update.</t>
  </si>
  <si>
    <t>rob sharp - license expired for alberta dental association's veeam</t>
  </si>
  <si>
    <t>license expired for alberta dental association's veeam
license was purchased but never applied, cannot find an sr for the license application.  please apply the license or attach it to ticket so i can apply it.  it is holding back some veeam maintinance.
 no  
 everyone  
 work impacting</t>
  </si>
  <si>
    <t>- our windward accounting system is not working properly.  it is slow, and "fl...</t>
  </si>
  <si>
    <t>extended summary
 - our windward accounting system is not working properly.  it is slow, and "flaky".
description
our windward accounting system is not working properly.  it is slow, and "flaky".
unable to apply a payment from a client (ar), as the system believes another user is within the system.
yesterday, we were unable to accurately run an ap sub-ledger.
 no  
 everyone  
 unable to work</t>
  </si>
  <si>
    <t>cfo database extremely slow
all staff are experiencing the cfo database being extremely slow
 no  
 everyone  
 work impacting</t>
  </si>
  <si>
    <t>nd website security</t>
  </si>
  <si>
    <t>the security team at mnp need us to block access to the wp-login.php for the nextdigital website using either mfa or ip filtering. itâ€™s causing their reputation to take a serious hit so itâ€™s caught the attention of the higher ups. please action asap.</t>
  </si>
  <si>
    <t>server speed</t>
  </si>
  <si>
    <t>good morning,
is there something going on with our server, or your cloud network.
friday it was incredibly slow and we kept losing connection, and again today it is unbearably slow.
please advise.
operations coordinator
**effective december 13, 202
cellÂ Â Â Â Â Â  
14505-114 avenue nw
edmonton, abÂ Â  t5m 2y8</t>
  </si>
  <si>
    <t>- c drive on nc-carya-rds04  needs to be expanded by 25 gb</t>
  </si>
  <si>
    <t>c drive on nc-carya-rds04  needs to be expanded by 25 gb
c drive on nc-carya-rds04  needs to be expanded by 25 gb, opal approval provided on  1333364
 no  
 everyone  
 work impacting</t>
  </si>
  <si>
    <t>sage update (q4 2020 tax update)</t>
  </si>
  <si>
    <t>good afternoon
i need a sage update installed. the update id, file location and sage account information is listed below.
 update id â€“  q4 (716
 sage knowledge base access
 link -https://support.na.sage.com/selfservice/viewdocument.do?nocount=true&amp;externalid=108327&amp;sliceid=2&amp;nocount=true&amp;isloadpublishedver=&amp;doctype=kc&amp;doctypeid=dt_download_1&amp;stateid=754!
please let me know when will this be scheduled for and i will make sure that no one access the program during this time.
if you have any questions, please let me know.
shubhneet
, cpa
intermediate accountant
12509 124 street
edmonton, ab, t5l 0n (ext 76
f:</t>
  </si>
  <si>
    <t>fw: sterling place - reminder on epcor power shutdown</t>
  </si>
  <si>
    <t>fyi.
good morning,
please see attached reminder on an important activity taking place this weekend. kindly ensure to inform all staff/patrons.</t>
  </si>
  <si>
    <t>there are certain files/ folders that i reference often, that keep timing out or closing.  other designers that are now working from home have mentioned theirs are doing this as well.  is there a way to keep them open for the duration of the day?</t>
  </si>
  <si>
    <t>fw: your adobe donation request #2981609 through techsoup canada</t>
  </si>
  <si>
    <t>good morning,
we purchased adobe pro 2020 for my computer.Â  there can be two downloads and i would like to have one on the desktop and one for my rds as well.Â  please click on the link and install so that i donâ€™t run into any problems with accessibility on the back end.
kindly confirm when this has been completed.</t>
  </si>
  <si>
    <t>penelope e-mail problems</t>
  </si>
  <si>
    <t>hi there,
we have not been able to send e-mails from our penelope (athena) system to our clients through the client connect feature.
iâ€™ve been in discussion with penelope about the problem and they suggested it could be related to changes in our firewall etc. see screen shot of the dialogue below.
can you check into this and let me know?</t>
  </si>
  <si>
    <t>rds02 is maxing out the cpu at 100% and it is extremely slow
business process manager
t:       +
c:       +
f:       +
e:       
w:       www.siterg.com
#170, 120 pembina rd., sherwood park, ab, t8h 0m2</t>
  </si>
  <si>
    <t>adding new drive access</t>
  </si>
  <si>
    <t>hello
we used to be able to save to our l drive when in our imis remote desktop. since we added a new n drive, we canâ€™t save to it when in the remote desktop. it doesnâ€™t seem to be listed now. is this something mnp can coordinate with etech to fix?</t>
  </si>
  <si>
    <t>voicemail to email not working since the migration</t>
  </si>
  <si>
    <t>hello,
since our email migration, we do not appear to be getting our voicemails sent automatically to our email anymore.Â  another staff mentioned this to me, so i left myself a voicemail on my work phone, but i did not get an email.Â  we really rely on this and need it to work.Â  please look into this as soon as possible.Â  because we have very few staff going in to their offices, they might be missing client calls which could be critical.</t>
  </si>
  <si>
    <t>hi
this report is not working again.</t>
  </si>
  <si>
    <t>rdp for phone system access does not work through rds
- client is caskey and company, requested to remote setup on the edmonton phone system
- confirmed that rdp in it glue for phone access works from inside edmonton office (shawn dunbar) but not from my rds (at home office)
 no  
 some  
 work impacting</t>
  </si>
  <si>
    <t>s drive - purchasing folder / no one can see this folder except for me</t>
  </si>
  <si>
    <t>hello,
the purchasing folder on the s drive is not accessible by anyone but myself.
the following link is what i need so that the purchasing folder can be viewed by others.
 - purchaser / scm co-ordinator
oÂ 780-9 range road 225
sherwood park, ab t8h 2t3</t>
  </si>
  <si>
    <t>cfo database is extremely slow
cfo database is extremely slow
 no  
 one  
 minor inconvenience</t>
  </si>
  <si>
    <t>printer printing the same document over and over
this has happened before on several occasions. it's wasting paper and coming out every time something is printed by any user.
 yes  
 everyone  
 work impacting</t>
  </si>
  <si>
    <t>bria settings unable to save in rd
in order for bria phone to work we need to save the setting in the rd.  we can do it one time but not able to save for all times going forward.  this is happening for me but also many other people too.
 no  
 everyone  
 work impacting  
you can call me on cell</t>
  </si>
  <si>
    <t>xcharge not displaying transactions
xcharge is not displaying any transactions
 no  
 some  
 work impacting  
      please ask for sarb</t>
  </si>
  <si>
    <t>fw: outlook 365 question</t>
  </si>
  <si>
    <t>richard ignacz
project specialist
ph.Â +
14505 114th avenue nw
edmonton,       ab
t5m2y8
mnp.ca 
hi richard,
i am not sure if you are the person to answer this question or not, so i am sending this to you first.Â  if it is not you that would answer this, please forward to the helpdesk.
before we went onto outlook 365 we were able to delay delivery of email messages.Â  in the individual message options, you could set the message to deliver at a specific time.Â  the message would stay in the userâ€™s outbox until the delivery time, when it would get sent at the specified time.Â  i used this feature a lot.Â  since the migration to 365, when i use the delay delivery option i get the following message.Â  is there any way to change our settings so that the message delivers at the specified time, rather than when i open outlook again?</t>
  </si>
  <si>
    <t>re: router - ports after update - will need the techs</t>
  </si>
  <si>
    <t>hey tim,
iâ€™ve copied mnp technologies on this email to get some help with this.
mnp â€“ can you guys please talk to tim about looking at the port forwarding for our fortigate? it seems some settings changed after an update and traffic is being disrupted. iâ€™m authorizing the ticket and for you to take directions as well as discuss the matter with tim.</t>
  </si>
  <si>
    <t>important: an azure backup failure alert has been activated for ibsgazps01</t>
  </si>
  <si>
    <t>did you guys get the alert last night? and who responded it?
amin hirji
adebola adeneye
field services technician
ph.Â +
14505 114th avenue nw
edmonton,       ab
t5m2y8
mnp.ca 
review your alert for ibsgazps01.
important
a backup failure alert has been activated
youâ€™re receiving this email because a backup failure alert has been activated for ibsgazps01.
severity
critical
alert
backup failure
backup item(s)
ibsgazps01
description
could not communicate with the vm agent for snapshot status.
recommended action(s)
please retry the backup operation. if the issue repeats, follow the instructions athttp://go.microsoft.com/fwlink/?linkid=800034.
account information
subscription id: 0ff3bd68-49c3-41e0-b571-fed4c5d934a6
privacy statement
microsoft corporation,one microsoft way, redmond, wa 98052</t>
  </si>
  <si>
    <t>james armitage - mhk - update dns records</t>
  </si>
  <si>
    <t>mhk - update dns records
update the internal and external dns to add the "skype for business" records. 2 cnames and 2 srv records.
 no  
 everyone  
 minor inconvenience</t>
  </si>
  <si>
    <t>greetings,
our internet went down late this afternoon and has yet to return.Â  the shaw modem is cycling trying to connect but is not catching the upstream or downstream on the line.Â  i did power cycle the modem and attempted all the basic on-site things that shaw would have me do at home when there is an issue and the system has yet to reconnect.
internet access is mission critical for our program as this impacts the ability of our staff to connect to rds and networked applications, our point of sale system is unable to process debit and credit cards, and due to covid restrictions our business is solely reliant on phone calls and online ordering both on which are also offline with the internet.
if you could please connect with shaw to get these services back online it would be greatly appreciated.</t>
  </si>
  <si>
    <t>ssl certificate renewal notice - support expires 11-jan-2021</t>
  </si>
  <si>
    <t>ad domain level and forest level</t>
  </si>
  <si>
    <t>what is the highest we can go now?
amin hirj i</t>
  </si>
  <si>
    <t>site energy ses-2016-rds11</t>
  </si>
  <si>
    <t>site energy ses-2016-rds11
this server was in a test group that has since been removed. i've updated sage on this rds (part of the sage upgrade project) but it is still out of the pool as there are missing applications (i noticed heavybid workstation is missing, could be more). please install applicable applications and put back this into the pool. i do not need to be followed up with on this, just bringing it the teams attention as it is sitting there not being used.
 no  
 one  
 other</t>
  </si>
  <si>
    <t>extended summary
 - i would like to use acrobat pro dc (already available in my desktop) to edit my pdf files in one drive
description
i would like to use acrobat pro dc (already available in my desktop) to edit my pdf files in one drive
i receive many pdf files by email and would like to save them in my onedrive and, the, to mark and edit them with adobe pro dc , which is already available on my desktop. however, when i click open a pdf file in onedrive, it opens under some other app, not the  acrobat pro dc app. i do not see any tools for highlighting or comments.
 no  
 some  
 work impacting</t>
  </si>
  <si>
    <t>cw manage invoices sending as</t>
  </si>
  <si>
    <t>apparently, when an invoice is being sent out of connectwise, it is coming from itms announcements????
and the reply email 
when did the switch happen? i need all invoices to be sent  Â and the email address for information or questions to be the same.
see below, this is an email that a client received.
manager, finance
ph.Â +       ext 307
14505 114th avenue nw
edmonton,       ab
t5m2y8
mnp.ca 
please do not reply to this email, this inbox is not monitored. please  and your request will be directed to the appropriate team.
hello rhonda,
your invoiceÂ #4778
toll free: 
email: 
payment options
cheque:
please reference your invoice number, make cheques payable to mnp technology solutions inc. and remit to:
mnp technology solutions inc.
14505 114 avenue nw
edmonton, abÂ Â t5m 2y8
credit card:
please phone the office to arrangement payment with your credit card.
electronic wire or eft:
bmo
340 7th avenue sw
calgary, abÂ Â t2p 0x4
account name: mnp technology solutions inc
bank transit number: 0010 (wire) / 0
swift code: bofmcam2
email payment details, including invoice number and amount paid to:
this email and any accompanying attachments contain confidential information intended only for the individual or entity named above. any dissemination or action taken in reliance on this email or attachments by anyone other than the intended recipient is strictly prohibited. if you believe you have received this message in error, please delete it and contact the sender by return email. in compliance with canada's anti-spam legislation (casl), if you do not wish to receive further electronic communications from mnp, please reply to this email with "remove me" in the subject line.</t>
  </si>
  <si>
    <t>kim h - software install on two workstations</t>
  </si>
  <si>
    <t>good morning vito,
i have a sw piece i need to put onto 2 workstations (7053 and 7086) so that we can program some new patient monitoring devices, and this sw is also required so that we can transfer data for analysis.Â  should i contact the help desk?Â  we have patients today that require holter monitors placed, so i am wondering if we can by chance get this done this morning.Â  i tried to load the program but i donâ€™t have admin privileges.Â  i attached the instructions i was given.Â  i have these saved on the share drive.</t>
  </si>
  <si>
    <t>fw: phone system</t>
  </si>
  <si>
    <t>hello there,
please see the email below from peter at mint health concerning their phone system over at their head office.
please assign this ticket to terry
any questions as to what the issue is please contact pat at the head office and she can be reached at 
shawn parks
business development
ph.Â +       ext 321
14505 114th avenue nw
edmonton,       ab
t5m2y
f: 780.989. 97 st nw
edmonton, ab
t6e 6e9
mintdrugs.com
peter poon
director, finance and strategy</t>
  </si>
  <si>
    <t>may have been hacked</t>
  </si>
  <si>
    <t>please see the below images that our client has received from someone posing as me
michele (our ahs client) called me this afternoon and asked me about theses emails which i told her i didnâ€™t know what she was talking about. she tried to email them to me but i did not get them (so she took photos and texted them to me).Â 
since 2:28 today i have not been able to receive emails from her at all. she tried to send new unrelated emails as well as replies to emails that i sent at 4:38 to her. none of these came to me.Â 
have i been hacked or has she?
sent from my iphone</t>
  </si>
  <si>
    <t>blue circle - nc-bci-db02\e: drive expansion
nc-bci-db02\e: drive expansion by 30 gb
 no  
 everyone  
 work impacting</t>
  </si>
  <si>
    <t>ecf - possible trojan</t>
  </si>
  <si>
    <t>my antivirus is detecting something on the server when i remote in from home. can you please take a look at this.
king regards,
grants assistant
9910-103rd street
edmonton, ab t5k 2v ext 122
www.ecfoundation.org</t>
  </si>
  <si>
    <t>nd sms gateway not functional
nd sms gateway not functional
-tried to use the number but the code never shows up in the email inbox
 no  
 some  
 minor inconvenience</t>
  </si>
  <si>
    <t>unable to access calgary and nextcloud subnets through the forticlient vpn
unable to access calgary and nextcloud subnets through the forticlient vpn. i was able to do this before but it has since stopped. i have to log into the rds to do anything with the cloud or accessing the calgary network.
 no  
 one  
 minor inconvenience</t>
  </si>
  <si>
    <t>mba errors</t>
  </si>
  <si>
    <t>i am getting these errors when i try to schedule jobs or click buttons in mba.</t>
  </si>
  <si>
    <t>shoretel system down</t>
  </si>
  <si>
    <t>hello there,
the shoretel phone system over at  is down, please call donna on her cell 
shawn parks
business development
ph.Â +       ext 321
14505 114th avenue nw
edmonton,       ab
t5m2y8
mnp.ca</t>
  </si>
  <si>
    <t>o365 backups - durocher - expired password</t>
  </si>
  <si>
    <t>good morning,
i want to make someone aware that the password for  expired and will need to be reset. please reset it to the password you have on file so it does not need to be changed. the backups will not be able to run until the password is reset.</t>
  </si>
  <si>
    <t>servers
please have someone go into the two ax servers (axaos and axdb) and reboot them bringing them back up in the proper order. i have made a point of this many times. when server updates are dropped, the way servers come back up is of vital importance. the aos will not connect to the database and we are left with no connection. currently no one is able to access the old ax system. please fix the problem. thanks.
 yes  
 everyone  
 work impacting</t>
  </si>
  <si>
    <t>urgent: srg-trimble</t>
  </si>
  <si>
    <t>the vm does not look like its on??
business process manager
t:       +
c:       +
f:       +
e:       
w:       www.siterg.com
#170, 120 pembina rd., sherwood park, ab, t8h 0m2</t>
  </si>
  <si>
    <t>urgent: recover global folder</t>
  </si>
  <si>
    <t>please recover the following folder: \ses-sage-ca\timberline office\9.5\accounting\global
recover it to \ses-sage-ca\timberline office\9.5\accounting and name it: global_recovery
please set permissions to everyone allowed
i need this done today
business process manager
t:       +
c:       +
f:       +
e:       
w:       www.siterg.com
#170, 120 pembina rd., sherwood park, ab, t8h 0m2</t>
  </si>
  <si>
    <t>expand e drive on nc-apg-be01
please add 20gb to the e drive on nc-apg-be01 for alberta pulse growers commision
my ticket is1320521, opal has already approved the change
 no  
 everyone  
 minor inconvenience</t>
  </si>
  <si>
    <t>fw: undelivered mail</t>
  </si>
  <si>
    <t>i can not email anyone at trek, i do lots of business with them, how do we fix this?
 vice president
www.edgeequipment.com
cell: 780--11-30t17:59:52.000z</t>
  </si>
  <si>
    <t>qnap hard drive replacement</t>
  </si>
  <si>
    <t>the primary contact in connectwise  
calgary
 next digital calgary  
wed 16 dec, 2020  
qnap ts-253a hard drive replacing the faulty one 
qnap  s/n :  q16b102945
claire (primary contact) is aware 
please see attached for hard drive error which shows  size and s/n</t>
  </si>
  <si>
    <t>mitel softphone access to mantralogix
hello we need mitel softphone access setup for kris szabo &lt;&gt;; donna blyth &lt;&gt;; marc cadranel &lt;&gt;; kalyan sivasubramanian &lt;&gt; please. this is in preparation for their training on the system which will come later this week.
 no  
 some  
 work impacting</t>
  </si>
  <si>
    <t>low memory or disk space - on rds</t>
  </si>
  <si>
    <t>can't open attachments from email. please refer to attached.  
_      
 attached files:  
- capture.png</t>
  </si>
  <si>
    <t>alberta assessment consortium - o365 backup password expired</t>
  </si>
  <si>
    <t>jerry wilkinson
senior project specialist
ph.Â +       ext 309
14505 114th avenue nw
edmonton,       ab
t5m2y8
mnp.ca 
good morning jerry,
i hope you had a nice weekend. i just wanted to bring to your attention that the password for  expired and the jobs are failing because of it. can you please reset that password when you have a free minute?</t>
  </si>
  <si>
    <t>greetings,
one of my staff, mo smith, is hitting a continual issue with her rds and accessing attachments properly.Â  the current issue is accessing pdf files, when she receives pdf attachments to an email she is unable to preview the attachment and when trying to open the file it defaults to ms word; this method does not actually open the file and simply gives her a string of errors and fails to open.
in the past i was able to force the mime type to open with adobe reader and it would work for a month or so before redoing it, however, that access has been restricted to administrative privileges.
the current process is forcing her to save each file to my documents on rds, right click and select â€œopen withâ€¦â€ and select acrobat reader.Â  this whole process has inherent risks.
2)Â Â Â Â Â can we setup a strict rds profile setting that will keep each user across all servers operating the same way?Â  this inconsistency happens with default browsers, pdf readers, some servers have ms visio while others do not, number lock and scroll lock seem to be randomly left on a few times each week.Â  i am able to find a work around solution quicker than contacting support on each particular issue, however, light desktop support is not my trade and i cannot provide any long term solution for them.
please let me know if there is anything i can do to assist with this process.Â  i am happy to assist with remote access to moâ€™s system if needed.</t>
  </si>
  <si>
    <t>hello,
our bookkeeper would like to ensure that the sage update has happened. it has been done for edmonton public but not for us as yet. she will be in to work this afternoon, is there a possibility that this can happen before then please?
associate executive director
local 5</t>
  </si>
  <si>
    <t>multotec - be03 dfs replication errors</t>
  </si>
  <si>
    <t>multotec - be03 dfs replication errors
we need to check on the dfsr connectivity for mutlotec again, and confirm that there is not any current issues with ad/dfs replication between us and the south african sites.
 no  
 some  
 work impacting</t>
  </si>
  <si>
    <t>- printing .pdf</t>
  </si>
  <si>
    <t>printing .pdf
printing is taking too long, is there a way to speed this up.
 yes  
 some  
 work impacting</t>
  </si>
  <si>
    <t>urgent:
can someone from your change management i can discuss the password expire, which we are planning to extend and also never expire
whom i can talk about Â the below
amin hirji
senior manager, it
phone/fax: Â 
21421 111 avenue nwÂ Â edmonton, abÂ Â t5s 1y1</t>
  </si>
  <si>
    <t>check ram of server -</t>
  </si>
  <si>
    <t>guys, i have this message while opening one excel spreadsheet.Â  i didnâ€™t have much things opened, i shouldnâ€™t be having this.
please get involved quickly as we cannot work under these conditions.
martin
 eng., m.a.sc.
commercial manager
multotec canada
office: ( ext. 20
email:
website:www.multotec.ca
â€œwarning/disclaimer: this email, including any attachments, is subject to important warnings and disclaimers which are hereby incorporated into this email. the full text of the warnings and disclaimers together with the company particulars are available by clicking on: http://www.multotec.com/content/email-disclaimer"</t>
  </si>
  <si>
    <t>connecting to remote desktop</t>
  </si>
  <si>
    <t>morning!
i have been unable to connect to remote desktop since friday. still have my email access outside of cloud and can log in to my emr.
help?
you can call me on my cell today .
11202-7
private line :</t>
  </si>
  <si>
    <t>next digital - gryphon - expired o365 password</t>
  </si>
  <si>
    <t>to whom it may concern,
i just wanted to make someone aware that the o365 password for  expired. as the reseller, i believe you have the ability to reset this password. please reset this when you can, as the backup jobs will not run until it is reset. if the password needs to be changed, you will have to relay that information to me or hostedbizz directly. let me know when it is reset and i will look out for these jobs completing successfully.</t>
  </si>
  <si>
    <t>extended summary
 - need recovery of document folder from back up of my server. folder last used friday and was not available today when i went onto my computer remotely.
description
need recovery of document folder from back up of my server. folder last used friday and was not available today when i went onto my computer remotely.
server 2k</t>
  </si>
  <si>
    <t>d ramsey system hack
my system has been hacked - an email is being generated from my address going out to my contacts.  likely from the same email that hacked gareth leach's computer.
 no  
 one  
 work impacting</t>
  </si>
  <si>
    <t>sophos issues</t>
  </si>
  <si>
    <t>i'm not sure if everyone is having an issue but  and 
if we click on links in our emails the link comes up as blocked by sophos.Â 
see the attached image.</t>
  </si>
  <si>
    <t>- kicked from rds and unable to log back in!</t>
  </si>
  <si>
    <t>kicked from rds and unable to log back in!
hey team, i was kicked from the rds and i cannot log back in!
please assist me, as i usually work within the rds all day, every day.
i will use my laptop and what not locally.. currently onsite at carya.
 no  
 one  
 work impacting  
call my cell plz</t>
  </si>
  <si>
    <t>access to view site visit schedule for ss team leads
hey team,
can we (the support specialist team leads) get access to view the site visit schedule located at n:\technical services\support team\field techs\site visit schedule? read-only please, no write needed.
 no  
 some  
 work impacting  
teams</t>
  </si>
  <si>
    <t>hello. i have a number of issues to report and i am rolling them all into one email as they relate to one of our it supports â€“ intrinsic design. here are the issues:
 zip files: the first 2 attempts by intrinsic to send a zip file did not come through. further, they didnâ€™t show up in my sophos spam report. the 3rd attempt did come through and i am attaching that email. why did this one come through?
 my emails to intrinsic that include attachments are converted to winmail.dat files at intrinsicâ€™s end. they ask why.
 the bigger issue today is that i have come across 2 instances where emails coming out of our building envelope course site have not made their way to my email account. this means that i am not getting notification that the member completed our course. intrinsic design looks after this course website and i have reached out to them with this question. they ask that i check with you to see if the emails are getting blocked/flagged somewhere and not making it through to me. to clarify, when members complete the course they are emailed a confirmation and a completion certificate. at the same time a system-generated email is sent to me at  onnovember 27th, member chad zyla completed the course, got his completion certificate emailed to his email address. however, i did not receive confirmation via the becourse email that chad had completed the course. here is a screenshot of that folder. you can see that i am getting other confirmations â€“ but not chad zylaâ€™s:
intrinsic designâ€™s comments:
very interesting. messages with .csv files appear to be consistently getting waylaid beforeÂ youÂ receive them. thatâ€™s alsoÂ interestingÂ that the .zip didmake it through to you. i wonder ifÂ some changes have been made to your email restrictions recently that could be causing a number of these inconsistencies?
can youÂ pleaseÂ take this up with your email hosts and see if the two student emails were filtered by your mail serverâ€™s anti-spam settings along with my nov 25 and 2 ext. 218
please note that aaa staff are working remotely due to the covid situation. the duggan house is closed to the public until further notice. we strive to maintain a high level of service and will respond within 3 business days. please visit www.aaa.ab.ca for further updates and thank you for your patience during extraordinary times.</t>
  </si>
  <si>
    <t>teams button not in outlook for all users</t>
  </si>
  <si>
    <t>now that we are using teams and outlook from office 36  e: f: 
180, 839 5 ave sw  calgary, ab  t2p 3c8
carya (formerly calgary family services)
stay up to date with the latest carya news, programs, and events by signing up for ourmonthly newsletter.
in the spirit of our efforts to promote reconciliation, we acknowledge the traditional territories and oral practices of the blackfoot, the tsuut'ina, the stoney nakoda first nations, the mÃ©tis nation region 3, and all people who make their homes in the treaty 7 region of southern alberta. we also respectfully acknowledge that the province of alberta is comprised of treaty 6, treaty 7, and treaty  during business hours (monday-friday, 8:30am-4:3) and in case of an emergency dial 911.
this e-mail is intended solely for the person or entity to which it is addressed and may contain confidential and/or privileged information. any review, dissemination, copying, printing, forwarding or other use of this e-mail by persons or entities other than the addressee is prohibited. if you have received this e-mail in error, please contact the sender immediately and delete the material from your computer.</t>
  </si>
  <si>
    <t>somewebsites are blocked
some websites seem to be blocked, i need access to all websites
 no  
 some  
 work impacting</t>
  </si>
  <si>
    <t>firewall</t>
  </si>
  <si>
    <t>morning,
steve eckert from  is not renewing their firewall support which includes the utm functionality. the firewall support expires on the dec 6, 2020 - fgt61etk18012056. please disable the features on the firewall that will stop passing traffic through it before the unit expires. steve has given the verbal about this and is fully aware of the risks that will come with this from the security side of things. please have this completed by december 5th and the work is billable.
shawn
shawn kubiski
partner
ph. +
14505 114th avenue nw
edmonton,       ab
t5m2y8
mnp.ca</t>
  </si>
  <si>
    <t>keymay - server updates broke sage</t>
  </si>
  <si>
    <t>we are having issues with sage.Â  can i request someone contact tj, as per the below, urgently.</t>
  </si>
  <si>
    <t>give access to users of the q/drive to a specific folder
right now, in the q/drive as accounting tries to access a specific folder, they are getting an access denied message.  can you please give all users who have access to q/nperftrnf, the same access to q/bistrnf.  the new file was created for the purpose of bistrack, and needs to be accessed by the accounting department.  once again, this is only for the accounting department.
 no  
 some  
 work impacting</t>
  </si>
  <si>
    <t>fw: siterg.com secret santa 2020</t>
  </si>
  <si>
    <t>physhing?
health, safety &amp; environmental manager
t:       +
c:       +
f:       +
e:       
w:       www.siterg.com
#170, 120 pembina road, sherwood park, ab, t8h 0m2</t>
  </si>
  <si>
    <t>andrea brandt - staff computer at weac needs to be able to search the internet</t>
  </si>
  <si>
    <t>staff computer at weac needs to be able to search the internet
the front staff computer at weac, does not have the ability to search some required sites on the internet.  need to be able to access online banking for women, resources, print forms, etc.
 no  
 everyone  
 work impacting</t>
  </si>
  <si>
    <t>nexsource - sylvan lake isp investigation</t>
  </si>
  <si>
    <t>speedtests on nexsourceâ€™s ts1 server show 3 mbps download and upload: their isp speeds should be around 25 down/5 up. need to walk someone at nexsource through connecting a laptop to either the modem or port
4922 - 53 st.
red deer,       ab
t4n2e9
mnp.ca</t>
  </si>
  <si>
    <t>zywave - its time to update your email deliverability settings</t>
  </si>
  <si>
    <t>hi mnp. happy new year!
we received this communication from zywave regarding their services we purchase and use. in order to determine what we may need to do after the dns records are updated, please note the email address below to contact zywave.</t>
  </si>
  <si>
    <t>new folder required on n:\special projects called cssbp hr project
i need a folder created on the n drive under special projects please. folder name is: cssbp hr project that has read and write acceess for the following:
kelly bickford, leanna andrews, steve mcgean, catherine parent, amanda tam and 
this folder is needed asap. thank you.
 no  
 some  
 work impacting</t>
  </si>
  <si>
    <t>adobe flash
i'm trying to enter hours on kronos-cloud-users on my desktop as i normally do but i am unable to because it requires adobe flash and im unable to download myself
 no  
 one  
 work impacting</t>
  </si>
  <si>
    <t>- unable to log into exchange admin in pulse vet's o365 tennant</t>
  </si>
  <si>
    <t>unable to log into exchange admin in pulse vet's o365 tennant
i have tried to log into exchange admin from pulse vet's 365 tenant and keep getting can't sign you in message
 no  
 some  
 work impacting</t>
  </si>
  <si>
    <t>set up ability to remote into work computers</t>
  </si>
  <si>
    <t>i am inquiring if the on screen take off program that is on fara chris and johns office computers can be put on the remote desktop for them to access?</t>
  </si>
  <si>
    <t>we are receiving the errors belowâ€¦can you help us out with thisâ€¦here are the install guidelinesâ€¦we may have to call sage
https://www.aatrix.com/info/updates/tech-info#
business process manager
t:       +
c:       +
f:       +
e:       
w:       www.siterg.com
#170, 120 pembina rd., sherwood park, ab, t8h 0m2</t>
  </si>
  <si>
    <t>all staff - cw and o365 calendar is out of sync</t>
  </si>
  <si>
    <t>cw and o365 calendar is out of sync
hello, its back again.. my calendar is not syncing to cw, there are mismatches and updates missing.
i have created appointments/meetings and they do not show in my cw calendar..
makes scheduling of work take longer.. please assist!
 yes  
 one  
 work impacting</t>
  </si>
  <si>
    <t>hello,
the local printer sfor simina and myself are not available through the cloud, i guess thinprint isnâ€™t working properly.
would you please call simina () on her cell phone 514 868-112</t>
  </si>
  <si>
    <t>tokens when using mnp client portal</t>
  </si>
  <si>
    <t>please see the issue that catherine had yesterday/today.
i have also had this happen and try to work around it.
tracy
*******************************
office coordinator
401-11010 142 st nw
edmonton, abÂ  t5n 2r
there tokens are going into the quarantined message area and so i cannot see the latest token just the tokens from yesterday which are no longer valid. i had 3 in the â€œdo not â€ but all were from yesterday. â˜¹
catherine leblanc
executive staff officer
she/her
401 barnett house,
11010 â€“ 142 street nw, edmonton ab t5n 2rÂ  fax:</t>
  </si>
  <si>
    <t>group2 - deltek mail flagged as spam</t>
  </si>
  <si>
    <t>there has recently been a change somewhere along the way that has impacted our ability to receive emails in our regular inbox from deltek vision.Â  i understand that once a user receives an email that has been placed in their junkmail they can make the sender â€˜safeâ€™ but iâ€™m hoping there is a global approach we can make to ensure this doesnâ€™t continue.
the emails we first experienced this issue from where sent from carmenÂ  davis &lt;&gt; and they went straight to junk mailâ€¦</t>
  </si>
  <si>
    <t>alberta pulse growers commission - expand e: drive
expand the e: drive on nc-apg-be01
ticket# 1314704. opal approval already received
 no  
 everyone  
 work impacting</t>
  </si>
  <si>
    <t>automate not working - all devices showing offline</t>
  </si>
  <si>
    <t>_    
 attached files:
- screenshot_.jpeg</t>
  </si>
  <si>
    <t>no access/ content blocked
i need acces to websites such as lowes and home depot. i can get on the site but cannot access certain things due to it suddenly being blocked. did not have this problem yesterday. i need to access these sites fully for price comparison
 no  
 some  
 unable to work</t>
  </si>
  <si>
    <t>microsoft windows virtual desktop</t>
  </si>
  <si>
    <t>hello support,
can someone from your team who worked on microsoft windows virtual desktop call me to discuss this.
sooner, we will start deploying the wvd in parallel with rds and want to make sure mnp is ready for support and helping us in deploying the clients through connectwise automate</t>
  </si>
  <si>
    <t>calmont truck centre zultys archiving pc network problems</t>
  </si>
  <si>
    <t>hello,
we are having issues with our remote access to the zultys equipment via the archiving pc at calmont truck centre. i can rdp into the machine but it seems like there is a firewall blocking some ports or some other network problem as i can ping the various zultys equipment but i cannot connect with the admin software and the system web pages are not loading. i am also unable to rdp into any of the other archiving pcs from the one at truck centre despite also being able to ping them. can someone please look into this as we are unable to manage the telephone equipment without it? the ip for the pc is .</t>
  </si>
  <si>
    <t>accidently deleted a folder
i accidently deleted a folder titled website manual fronm the shared drive
can that be recovered and placed back in to the shared drive?
 no  
 some  
 work impacting</t>
  </si>
  <si>
    <t>hi mnp!Â  can i please ask for the following changes to our w drive â€˜pageâ€™â€¦
1.Â Â Â Â Â Â rename 1-on call to shared â€“ on call
2.Â Â Â Â Â Â rename family resource network to shared â€“ family resource network
3.Â Â Â Â Â Â rename fsii to shared â€“ fsii
4.Â Â Â Â Â Â rename it to shared â€“ it
5.Â Â Â Â Â Â whoever had access to them before will still have accessâ€¦.as they will have only been renamed.
  e:  c: 
180, 839 5 ave sw  calgary, ab  t2p 3c8
carya (formerly calgary family services)
stay up to date with the latest carya news, programs, and events by signing up for ourmonthly newsletter.
in the spirit of our efforts to promote reconciliation, we acknowledge the traditional territories and oral practices of the blackfoot, the tsuut'ina, the stoney nakoda first nations, the mÃ©tis nation region 3, and all people who make their homes in the treaty 7 region of southern alberta. we also respectfully acknowledge that the province of alberta is comprised of treaty 6, treaty 7, and treaty  during business hours (monday-friday, 8:30am-4:3) and in case of an emergency dial 911.
this e-mail is intended solely for the person or entity to which it is addressed and may contain confidential and/or privileged information. any review, dissemination, copying, printing, forwarding or other use of this e-mail by persons or entities other than the addressee is prohibited. if you have received this e-mail in error, please contact the sender immediately and delete the material from your computer.</t>
  </si>
  <si>
    <t>sage 50 update to 2021.0</t>
  </si>
  <si>
    <t>good afternoon,
can you please install the sage 50 update for 2021 for both edmonton public teachers and edmonton catholic teachers.Â  thanks!
edmonton public teachers</t>
  </si>
  <si>
    <t>re: ticket#1292792/poundmakerslodge/ - credential -- has been updated</t>
  </si>
  <si>
    <t>hi darryl,
it appears these user names account have missing access, can this be adjusted as soon as possible â€“ thank you
e.g: siobhan was added to the admin team which was completed but still has no access to the u dive or the admission email.
karen halfe added to the clinical team but was not added to the client care.
executive assistant  (
poundmakerâ€™s lodge treatment centre</t>
  </si>
  <si>
    <t>duplicate e-transfer notification emails</t>
  </si>
  <si>
    <t>hello,
regarding our conversation today, here is a list of the recent e-transfer notification emails which have come through in duplicate.
the payments themselves have only come through once, however the notification emails have come through twice, to the same email inbox.
nov 11.20 mr. curtis bailey $120.00
nov 12.20 chris martin $548.67
nov 13.20 cindy moore $450.00
nov 13.20 tyler homonko $88.00
nov 13.20 cameron $250.75
nov 18.20 leeanna s micklich st john $163.82
nov 18.20 lisa plintz $423.74
nov 18.20 kendra brynn swan $335.63
i have also attached a screen shot of some e-transfer emails, showing the duplicates.Â  as well i have attached a copy of both the first and second email of one the of duplicates.</t>
  </si>
  <si>
    <t>zoom unavailable from carya east still</t>
  </si>
  <si>
    <t>just wanting to follow up that we cannot get on zoom while at carya east still.
i was wondering if there have been any resolutions to this?</t>
  </si>
  <si>
    <t>whitelist</t>
  </si>
  <si>
    <t>hello,
i need the link in the following email whitelisted, we need sort some billing issues with telus.</t>
  </si>
  <si>
    <t>extended summary
 - client: joseph a. nagy professional corporation - server \nc-dske-be01  drive g:  is steadily filling up. out of 73 gb, there is 1.97 gb (3%) left.
description
client: joseph a. nagy professional corporation - server \nc-dske-be01  drive g:  is steadily filling up. out of 73 gb, there is 1.97 gb (3%) left.
server \nc-dske-be01 
(drive g): is steadily filling up. 
out of 73 gb, there is 1.97 gb (, ask for brian</t>
  </si>
  <si>
    <t>we now require a procedure to allow employess remote access to thier work pc.
we currently have two employess with head colds that we will be sending home. i need to be able to set them up to utilize their desktop computers via remote desktop from their home computers. what i would like is a procedure for 1) loading the correct vpn and credentials to connect to carry steel. 2) using or loading the remote desktop app and proper credentials. we also may need a variation for mac users and windows users.
 no  
 some  
 minor inconvenience</t>
  </si>
  <si>
    <t>ip-it ms teams issue experiencing issues with adding an external team member to ms teams.</t>
  </si>
  <si>
    <t>we are experiencing issues with adding an external team member to ms teams.Â  we have never experienced this before, but iâ€™m not sure if the issue lies with us or themâ€¦.?Â  i have attached correspondence explaining the issue and some of the tests weâ€™ve done.Â  there is also a message in the attached that suggests there may be a requirement to make adjustments to azure ad to correct it.Â  see below:
iâ€™ve been researching this problem and from what i can find it seems it could be an issue on your end with microsoft azure (that connects it all) . Â iâ€™ve copied a screen shot below that seems to explain it. any chance you have your it support that can take a look into it? Â iâ€™ve sent a request to our it support too to see if they have any answers.
let me know if thereâ€™s anything we can do to try and make it go.
if you want i can send the entire link to the online discussion i found on this.</t>
  </si>
  <si>
    <t>high cpu - nc-e4c-rds02
virtual machine cpu usage
 no  
 some  
 work impacting</t>
  </si>
  <si>
    <t>- please expand c: of nc-carya-rds07 by 10 gb</t>
  </si>
  <si>
    <t>please expand c: of nc-carya-rds05 by 10 gb
please expand c: of nc-carya-rds05 by 10 gb
i've already ran through cleanup, and cannot free any additional space.</t>
  </si>
  <si>
    <t>nextcloud drive expansion - nc-pmkr-be02 p drive
please expand p drive by 20 gbs. approved by opal via ticket #1317314.
 no  
 everyone  
 work impacting</t>
  </si>
  <si>
    <t>nimble alarm on nddc-n-grp01 / nddc-n-san01 - warning: power supply failed</t>
  </si>
  <si>
    <t>time: sun nov 15 22:24:08 2020
type: 2022
id: 622
message: attempting failover to active role because controller a has better ip network connectivity.
group name: nddc-n-grp01
array name: nddc-n-san01
serial: af-211983
version: 0-796142-opt
arrays in the group:
---------------------+-----------------+-----------+----------------
name                  serial            model       version         
---------------------+-----------------+-----------+----------------
nddc-n-san01          af-211983         hf40        0-796142-opt</t>
  </si>
  <si>
    <t>cx not part of client team distros
ive come across quite a few client team distro's where the cx is not a member. 
please audit all client team distros and get the cx added
 no  
 one  
 minor inconvenience</t>
  </si>
  <si>
    <t>raimund schwind
process manager - incidents
ph.Â +       ext 365
14505 114th avenue nw
edmonton,       ab
t5m2y8
mnp.ca 
raimund,
see below, can you have someone have a look into this for the client.
i will be out of the office for the rest of the afternoon returning tomorrow morning
shawn parks
business development
ph.Â + ext 321
14505 114th avenue nw
edmonton, ab
t5m2y8
mnp.ca
hello shawn,
our shoretel phones are down in red deer, are you able to troubleshoot? i know we donâ€™t have a contract with nd anymore, iâ€™m guessing weâ€™d go hourly?</t>
  </si>
  <si>
    <t>amin esmaeili -  - server going offline</t>
  </si>
  <si>
    <t>- server going offline
mclcrd-srv seems to generate "offline" notifications due to failed heartbeats.
some of the heartbeats show success after a few minutes of the ticket being created.
#1262158 doesn't have notes.
please investigate what is causing the failed heartbeats and how it can be corrected to avoid any future failures.
 no  
 one  
 minor inconvenience</t>
  </si>
  <si>
    <t>laptop passwords needed</t>
  </si>
  <si>
    <t>hi jeff,
do you have any records of what password would have been used for the mechanic laptops? if not, is there a way to reset the password to laptop entirely so we can set up a new password to get into the laptop? i believe these laptops are the ones that canâ€™t be connected to the server. 
donalee - can you please let him know which laptop #s these are? you might as well keep them in your office :) please try the following passwords:
fall2019
winter2019
spring2020
nexsource1
nexsource 
nexgen
generators 
mechanic
iâ€™m pretty sure i tried most of these already, but am not sure...</t>
  </si>
  <si>
    <t>spam / malware e-mail filter change out *time sensitive*</t>
  </si>
  <si>
    <t>hey guys,
we are going to be changing out our e-mail filter from proofpoint to the company owned barracuda systemâ€¦
i need the followingâ€¦
can you let me know all the domains that need added? iâ€™ll then add them. weâ€™ll then need to apply a txt record to each of those domains to verify against barracuda. once weâ€™ve done that, weâ€™ll be issued the mx records to use</t>
  </si>
  <si>
    <t>sophos access (quarantined emails)
i would like access to sophos.com so i can edit my preferences for quarantined emails. it seems many emails from external sources are being hidden until i get a report the next day.  i would like to be able to check for these quarantined emails sooner than the next day.  screenshot from outlook attached, and link to manage quarantined emails leads to sophos.com but i am not able to login using my microsoft credentials and it says to contact my central sophos account manager.
 no  
 everyone  
 minor inconvenience  
 or via email:</t>
  </si>
  <si>
    <t>urgent: install aatrix</t>
  </si>
  <si>
    <t>hello,
please install the file called sto.exe at: s:\information technology\
on these rdsâ€™
ses-2016-rds02
ses-2016-rds03
i have installed them on every otherâ€¦
business process manager
t:       +
c:       +
f:       +
e:       
w:       www.siterg.com
#170, 120 pembina rd., sherwood park, ab, t8h 0m2</t>
  </si>
  <si>
    <t>carya - teams access for all staff</t>
  </si>
  <si>
    <t>need to provide ms teams access to all carya staff.Â  initial group was a small subset, but now all carya users should be provided with access to ms teams.
need to complete by thursday before 10 am.
matt patrick
manager, operational alignment
ph.Â +       ext  4 st se
calgary,       ab
t2g2w3
mnp.ca 
hi matt,
lets proceed with everyoneâ€™s teams access for tomorrow.Â  if it doesnâ€™t happen, please let me know prior to 10:0  e: f: 
180, 839 â€“ 5 avenue sw  calgary, ab  t2p 3c8
hey joey, Â  we could do this training virtually.Â  i can do a virtual presentation and training session that we can record as you suggested.Â  it can also be used for future employees whe
caution! this message was sent from outside your organization.
allow sender  block sender
sophospsmartbannerend
hey joey,
we could do this training virtually.Â  i can do a virtual presentation and training session that we can record as you suggested.Â  it can also be used for future employees when they start with carya.
what are you looking at for timeline?Â  we can enable teams for everyone tomorrow, but the teams creation is limited.Â  there is little risk to providing access to teams immediately since only a select number of people can create teams.
i have availability as early as next week, monday afternoon, wednesday morning or anytime friday.
let me know what you think.</t>
  </si>
  <si>
    <t>assistance setting up auto receptionist through telus
we are going to moving back to remote work and i need help setting up the phone system so that when a person calls they get a menu to choose the person they wish to speak with or leave a message. then i want the user to be able to forward their calls to their cell and/or home phone. i'm going through the help pages but am not getting it...
 no  
 everyone  
 work impacting</t>
  </si>
  <si>
    <t>amin esmaeili - amp - firewall web filtering</t>
  </si>
  <si>
    <t>amp - firewall web filtering
some time ago amp faced difficulties with fw web filter blocking sites that they go to as part of their work. this had become frustrating for staff members and a review was initiated to make changes to the filter categories, to reduce # of blocked sites.
some categories were removed and that seems to have been okay so far, however they're also noticing blocked pages for the "unrated" category. 
screenshot attached: in this case sophiegrace.ca was blocked.
please review to consider removing the unrated category, or take measures to reduce # of sites blocked and also ensure sophiegrace.ca is unblocked.
please share the updates and information with .</t>
  </si>
  <si>
    <t>isp problems - network connectivity</t>
  </si>
  <si>
    <t>hello gents,
could you please call the providers, open some tickets and monitor the status?
it looks like calmont edmonton truck centre, leasing, and volvo are facing severe network issues.</t>
  </si>
  <si>
    <t>fw: website crm:0006180055127</t>
  </si>
  <si>
    <t>hi guys, can you have a look at the below. we are getting a new page from a new company and they are asking for the below. donâ€™t worry we are not looking to change ip companies or anything like that
  vice president
www.edgeequipment.com
cell: 780-940-002 (direct)  402.304.1   www.marketbook.com</t>
  </si>
  <si>
    <t>sage consultant access</t>
  </si>
  <si>
    <t>want to inform mnp, and if someone can call me i can explain to support for future
finance and i are working with our external sage consultant.
step we follow:
we have enabled sage.admin
he connects to ibsgazadmin server from public ip direct
and have access to ibsgazsql01 and ibsgazrds02
he already has his sage application and sql database password
when he starts the work, i will remove the session time out to never on rds02 to never, and once he completes the work session time out will be back to normal
once he finishes the work, we will disable his account</t>
  </si>
  <si>
    <t>shawn smith - palmer ortho - wireless at edmonton office not working</t>
  </si>
  <si>
    <t>palmer ortho - wireless at edmonton office not working
neal and brenda report that wifi has not worked in the office since tuesday nov 17
 no  
 everyone  
 work impacting</t>
  </si>
  <si>
    <t>reception 2 call routing issue</t>
  </si>
  <si>
    <t>hi dave,
our shoretel switch lost connectivity this morning and needed a restart. since, kristin at reception 2 is having call routing issue when she sets to primary. everything on the server seems correct from what i can see.
would you be able to verify settings?</t>
  </si>
  <si>
    <t>0 - scan folders on the print/scan machines on site calgary</t>
  </si>
  <si>
    <t>scan folders on the print/scan machines on site calgary
hello.  we all have access to scan directly to our folders in the n drive, as well as scan to email through the</t>
  </si>
  <si>
    <t>internet speed
our internet speed test shows roughly 12mb download speeds, our shaw service is 150 with dual lines
 yes  
 everyone  
 work impacting</t>
  </si>
  <si>
    <t>both our ap and orders emails under â€œgroupsâ€ both these email addresses are crucial to our business. they canâ€™t disappear!!!!! 
monday is our biggest fulfilment day. someone call me now
travis blake
business development  wbs 
t: 
www.wbsgroup.ca</t>
  </si>
  <si>
    <t>undelivered emails</t>
  </si>
  <si>
    <t>hello,
our building manager is trying to send me emails from an  to enable me to create an account to manage suite maintenance and building requests in a newly created portal.
despite numerous attempts to send, i have yet to receive an email and they are not in my junk folder. any ideas on what to try next?</t>
  </si>
  <si>
    <t>nc-pmkr-be02 p: drive almost out of space
the p: drive on nc-pmkr-be02 is almost out of space (around 1 gb left) this drive hosts the rds profiles. my ticket (#1307675) was approved by opal to add 20 gb to the p: drive. please make the change
 no  
 everyone  
 work impacting</t>
  </si>
  <si>
    <t>metal fabricators disk space low - drive c on nc-mf-db01</t>
  </si>
  <si>
    <t>metal fabricators disk space low - drive c on nc-mf-db01
disk space low - drive c on nc-mf-db01
free space below 10% and is at 5gb free.
tried to clear files but not much to get rid of from what i can see. 
some old sages files but not sure if they could be moved or not. (playing safe)
looking to add a bit more storage capacity.
 no  
 some  
 other</t>
  </si>
  <si>
    <t>frap_fort_mcmurray_site _ it_issues_list</t>
  </si>
  <si>
    <t>dear support team,
we are currently encountered several issues in our the remote site fort_mcmurray, we need your attention and support for assisting us to solve them.
issues
description
comments
internet connections issue
 internet is too slow and users are challenging to connect
 users are using cable port in desktop and wifi in the laptop
 the site has 02 users on site
below are the bandwidth offering by shaw in fort mcmurray
download/upload: 300/20mbps, usage: unlimited/
includes a modem and up to 3 access points/
shawgo access: 30/
business emails: 10/
static ip included
ms office 365 is not installed
 our user with email  doesnâ€™t haveÂ  the office36/fax: 780-540-, rue marie-anne-gaboury,Â edmonton, ab t6c 3n1Â Â site web: Â www.frap.ca</t>
  </si>
  <si>
    <t>fw: detailed proposition and contract agremment from alberta construction safety association</t>
  </si>
  <si>
    <t>hello,
i just got a call from my wife saying for got a email from the acsa (). my wife has no affiliation with the acsa nor has she had any communication with gina. this looks to be some sort of a spoof email that is being sent on behave of the acsa. the email chain for investigation is listed below.
kind regards,
matthew nasby, crsp, csp, p. gscÂ Â cor manager
225 parsons road sw Â edmonton abÂ Â t6x 0w ext. 185 Â tfÂ )
www.youracsa.ca
sent from my iphone
begin forwarded message:
date: november 16, 2020 at 10:20:29 am mst
please see the attachedÂ  proposal/referenced budget numbers in the link below for the above referenced project, should there be any question or concerns, please let me know.
https://web.tresorit.com/l/0wfiq#hxltk1suoiryabdga9ktpw
best regards,
gina williamsÂ b.ed., crspÂ , ncso
225 parsons road sw Â edmonton abÂ Â t6x 0w ext. 184 Â tfÂ )
www.youracsa.ca</t>
  </si>
  <si>
    <t>printer access
cannot print when using rds. could you please set to allow redirection to client deault printer. i attempted to perform myself, but do not have access to it. 
this is impacting dalton mcmann and my pc. 
alternatively installing the printer driver on the rds connection should also work. the printer we are trying to connect is the ior kearl - sharp mx-4070n plc 6 printer.
 no  
 some  
 work impacting</t>
  </si>
  <si>
    <t>hello,
can you please add these as global backgrounds for site so that they can be used in teams for anyone that is with site.
business process manager
t:       +
c:       +
f:       +
e:       
w:       www.siterg.com
#170, 120 pembina rd., sherwood park, ab, t8h 0m2</t>
  </si>
  <si>
    <t>- enable 100 gb mailbox archive setting</t>
  </si>
  <si>
    <t>whom i can discuss first: mostly, sales people are more than 100 gb mailboxes, and they want to keep the email. currently, they are deleting the because of limitation</t>
  </si>
  <si>
    <t>please update applied rating services  to version 2020.1</t>
  </si>
  <si>
    <t>hi there,
our software applied policy works needs to be updated.Â  can you please arrange this and complete it?</t>
  </si>
  <si>
    <t>- mitchel database problem - case #7242812</t>
  </si>
  <si>
    <t>hi, i have a mitchell database failure.  mitchell needs to be connected to the server to remedy this error.  pls contact them &amp; give the the case number &amp; access to the server.</t>
  </si>
  <si>
    <t>phone message</t>
  </si>
  <si>
    <t>good afternoon,
we just found out that our phones are automatically directed to a message saying we are closed for our â€œstaff christmas partyâ€.
please let us know why that is happening, we are in fact open regular business hours today and obviously people think we are closed, and worse it is a very outdated message.
can someone please correct this right away and also make sure this is not an issue going forward.</t>
  </si>
  <si>
    <t>hello,
i was in teams earlier today and was kicked out a couple of times.Â  i am now no longer able to get into teams.Â  i just checked with luc and he is having the same issue.</t>
  </si>
  <si>
    <t>red deer server is down; and although i am told it shouldn't affect remote server; it is</t>
  </si>
  <si>
    <t>i work on remote and it is freezing up and bumping me off the remote continually.</t>
  </si>
  <si>
    <t>blocked website</t>
  </si>
  <si>
    <t>good morning,
i am not able to access the below website, and i need to be able to. itâ€™s saying that our organization blocks it.
can you please assist?
https://clientzone.westrock.com.</t>
  </si>
  <si>
    <t>annual power shutdown at sterling place
annual power shutdown will take place on sunday, november 15, 2020 from 7:00 am to 3:00 pm. it needs to shut down and then power on the server and ac unit in the  edmonton server room. please let me know who will do this.
 no  
 everyone  
 work impacting</t>
  </si>
  <si>
    <t>group2 architecture - printer is not working</t>
  </si>
  <si>
    <t>hi there,
our printing is not working in our calgary studio. there is message in the screen saying â€œprinter is offline â€“ printer status is not available at this timeâ€
could you please help us at your earliest convenience?</t>
  </si>
  <si>
    <t>two issues:</t>
  </si>
  <si>
    <t>hello!
how are you today?
i am having trouble receiving emails from another cmlc staff. i now receive oneâ€™s from joanna pesta but it seems amanda evesonâ€™s will not come through amanda eveson 
i tried going on to sophos but i canâ€™t get access.
secondly, myself and other staff have not been able to use zoom properly from our carya east location. it works well from my home, however when at carya east it forces us to use it through the browser and that does not work very well. would you be able to support with this.?</t>
  </si>
  <si>
    <t>jorge bustamante - amp financial spf record pointing to null record</t>
  </si>
  <si>
    <t>amp financial spf record pointing to null record
spf record for amp financial has a null dns lookup (spam.nextcloud.ca).
 no  
 one  
 minor inconvenience</t>
  </si>
  <si>
    <t>fw: unable to access \\caledmsql01\service$\ server</t>
  </si>
  <si>
    <t>good morning. we store a lot of our warranty info on this drive, but as of yesterday iâ€™m not able to access the server. i did run the updates that were being requested yesterday morning first thing, not sure if thatâ€™s related, but i havenâ€™t been able to access the drive since then.
warranty administrator
11403 â€“ 174 street edmonton, ab t5s 2p Â Â Â Â Â Â Â Â Â Â  toll free:
direct:  ext 128
email:
website:www.calmont.ca
this email, and any files transmitted with it, are confidential and are intended solely for the use of the individual or entity to which they are addressed. any unauthorized use or disclosure is prohibited. please notify the sender if you have received this email in error. thank you for your co-operation.</t>
  </si>
  <si>
    <t>both ron yoneda and i () default on the server to print to adobe pdf, can we do it so it goes to the local printer??
business process manager
t:       +
c:       +
f:       +
e:       
w:       www.siterg.com
#170, 120 pembina rd., sherwood park, ab, t8h 0m2</t>
  </si>
  <si>
    <t>urgent - no access to the cloud for everybody</t>
  </si>
  <si>
    <t>guys,Â 
no user this morning can access the cloud this morning.
would you please look into it urgently?
please call me on my cell phone  if needed</t>
  </si>
  <si>
    <t>ad-hoc request for  - calgary</t>
  </si>
  <si>
    <t>hello,
we have an issue at a our calgary location that we need ad hoc / remote hands assistance.
the location is:
1610-407 2 st sw
calgary, ab
t2p 2y3
the local contact is:
colin oram
tel: +
mob: +
issue description: our dell hosting server (vcalesx01) appears offline, as if itâ€™s not getting power (to my infrastructure technicians who have tried to view it from the switch etc.).Â  however, the local contact confirms it does have power (and green lights).Â  no errors on the display panel.
we know the site has network from the isp as we can get to our firewall (vcalfw01) â€“ checkpoint 1470/1490 appliance
switch (vcalsw034
when we ping the server (or itâ€™s vmâ€™s) from either inside the network or outside we get the following:
we get this when using ip instead of names as well.
at this point we need a technician onsite to see if they can physically connect with the server and see if it is responsive.Â  also check the cabling configuration seems ok.Â  we do not have local it there and i do not know if the end users have moved anything in an attempt to troubleshoot.
i hope this is enough information to create a ticket with you?Â  Â Â i am the it servicedesk manager for the parent company and located in texas, usa.
manager, it service desk
tel: +
mob: +
www.varel.com
disclaimer
the information contained in this communication from the sender is confidential. it is intended solely for use by the recipient and others authorized to receive it. if you are not the recipient, you are hereby notified that any disclosure, copying, distribution or taking action in relation of the contents of this information is strictly prohibited and may be unlawful.</t>
  </si>
  <si>
    <t>require settings changed on front xerox since software update</t>
  </si>
  <si>
    <t>good evening,
we need to start a ticket for our front xerox settings to be corrected, some of the settings.Â  xerox was here today and updated the xerox machine.Â  the last time the guy was here and did an update we reversed it by bringing in the cloned backup copy because it changed so many settings and it seemed to have done it again.
everyone should be able to email directly from the front xerox touch screen without having to log into copitrak but now copitrak is blocking direct emails.Â  when blair geiger tried to email even when we went through copitrak, many settings disappeared from the touch screen.Â  is there a way for the clone file to be reviewed and the email settings to be returned to what they were previously without having to reverse the software reset?Â  i saved the cloned settings to a drive in the cloud.
assistant to robert simpson
durocher simpson koehli &amp; erler llp
7904 gateway blvd.
edmonton, ab t6e 6c
fax:</t>
  </si>
  <si>
    <t>hello mnp,
please include this link in the google chrome align bookmarks as:
3m oral care
https://auth.occ.3m.com/core/login?signin=fac71104a6d2d9befbbad55d677aa18
edmonton main: 780.463.514
www.alignortho.com</t>
  </si>
  <si>
    <t>re:  staff group email</t>
  </si>
  <si>
    <t>good morning,
it appears our staff group email () is not working properly.Â  please have a look and fix as soon as possible.</t>
  </si>
  <si>
    <t>some people not getting updates or emails from manage</t>
  </si>
  <si>
    <t>connectwise manage  
various
dave and terry are reporting not recieving emails from manage when clients update tickets.  come to think of it, i haven't been getting those emails either, so this may very well be widespread or universal.</t>
  </si>
  <si>
    <t>viewpoint "switch-to" issues - all offices</t>
  </si>
  <si>
    <t>hello mnp it team,
could you please provide an update to the â€œswitch toâ€¦â€ we are still experiencing in viewpoint in both offices.
i believe there was a response back to me, however i am unable to locate the email with the reasons for this issue occurring. it has only started in the last 4 â€“ 
edmonton main: 780.463.514
www.alignortho.com</t>
  </si>
  <si>
    <t>good morning,
this is a rush request.Â  for some reason we are already logged into jobboss, and we are unable to log in right now.Â  could you please log us out so we can log in??
we need to get in asap.</t>
  </si>
  <si>
    <t>good morning,
since the last update of the fortigate a week and a half ago, there has been a significant lag in using out network this morning is especially slow with trying to access programs. also, i was in contact with support about a blocked program last week. we are encountering further blocked access this morning. please have someone follow up to resolve this.</t>
  </si>
  <si>
    <t>fortianalyzer demo for senior ss team
we have a handful of clients who use fortianalyzer, but most of our senior ss team has never seen it before. myself included. 
could we please schedule a quick training demo? 
how to sign in, major features, common issues/pitfalls. 
braden mentioned that it's part of nse5, but most of us are still trying to find time for nse4. 
this request is motivated by a problem ticket for calmont's faz, #1311687
their ssl vpn log report keeps breaking and we have needed to reboot their nisku firewall to fix it.
 no  
 some  
 work impacting</t>
  </si>
  <si>
    <t>- nc-carya-rds04 c drive needs to be expanded</t>
  </si>
  <si>
    <t>nc-carya-rds04 c drive needs to be expanded
nc-carya-rds04 c drive needs to be expanded, currently drive is at 8.83 gb of 219gb free (see screenshot)
 no  
 some  
 work impacting</t>
  </si>
  <si>
    <t>justine at courtesy chrystler - unable to park or transfer calls
same issue as yesterday which was temp fixed by server reboot.  let's get it rebooted and then to dave to investigate.
 no  
 everyone  
 work impacting</t>
  </si>
  <si>
    <t>software installation issue on iris server</t>
  </si>
  <si>
    <t>our software developer is trying to install the software on server name iris
i am adding @jack thomsonin a loop; you can talk to him directly for the install, whichever is needed
contact detail:
( ext:3190</t>
  </si>
  <si>
    <t>printer not scanning to email</t>
  </si>
  <si>
    <t>hey there,
seems the big printer outside of accounting in the pre-owned building isnâ€™t wanting to scan papers to send to my email. restarted it but still not working. prints out a paper saying â€œcannot displayâ€ after every try.
best regards,
  sales coordinator  lexus of edmonton
tel: 780-466-</t>
  </si>
  <si>
    <t>calgary scanner not working - cannot connect to server
the hp officejet pro in our calgary office cannot scan to email.  it was working on friday.  it errors with "cannot connect to server: check server and email address"
i checked the web interface http:// and confirmed the mail server address of smtp.nextdigital.ca and verified my email address.  same error.
i restarted the printer and power cycled as well as reconnect the device from the patched switch in the back.
same error.  cannot scan to email.
 no  
 some  
 work impacting</t>
  </si>
  <si>
    <t>pathway sync not working
beginning oct 1st, the pathway sync stopped running as scheduled. could be an error with our windows date format. 
per jovan at pathway: 
"if there was a recent windows update, they may need to update the short date format and set it to yyyy/mm/dd,
update the password on the scheduled task, if it expired and was recently changed.
also, please have them add the following sequence for the daily maintenance:
https://power-broker.com/faq/windows-task-scheduler-kill-brow-scheduling/
users in the office have also reported glitches within the power broker application, which is usually an indication of a failure wtihin the scheduled nightly utilities. 
i can manually run the pathway sync, but the pb utilities are run via an admin access that we do not have. 
please review and advise.
 yes  
 everyone  
 work impacting  
working from home, no access to physical work station within the office until monday. calls are forwarded to cell phone.</t>
  </si>
  <si>
    <t>hey folks
we are having issues with the rds. people are saying that outlook is stalling, word isnâ€™t work properly, etc.Â  
can we maybe look at restarting these or something?Â  something is off?
sent from my iphone
business process manager
t:       +
c:       +
f:       +
e:       
w:       www.siterg.com
#170, 120 pembina rd., sherwood park, ab, t8h 0m2</t>
  </si>
  <si>
    <t>alberta pulse growers commission - expand drive further
need to add another 60gb to the e: drive for nc-apg-be01 to get it past the 10% and out of the red.
c-apg-be01existing ticket 1314704 , opal approved change
 yes  
 everyone  
 work impacting</t>
  </si>
  <si>
    <t>hi richard,
the printer in finance on the new side is completely down again.
please help asap.
best regards,
  executive assistant   
tel:   Â  www.lexusofedmonton.ca
 family member since 2014</t>
  </si>
  <si>
    <t>re-instate hewes ohi workstation &amp; records</t>
  </si>
  <si>
    <t>hello mnp,
corey our past coo, used the hewes â€œrecordsâ€ room as his office. as a result, we used and reallocated the hardware from this room, which hosted the â€œohiâ€ workstation and â€œrecordsâ€ workstation.
we will be re-instating this room and require some additional hardware to complete the set up. the room has 2 workstations, ohi and records
ohi:
pc â€“ complete
1 â€“ 22â€ monitor â€“ complete
1 â€“ 24â€ monitor â€“ quote just requested with 
edmonton main: 780.463.514
www.alignortho.com</t>
  </si>
  <si>
    <t>-  - can't open urgent files in n drive?</t>
  </si>
  <si>
    <t>- can't open urgent files in n drive?
i have some urgent word files from interviews last week that i cannot open.
i get a message saying file name is too long but cannot reslove the issue.
i also cannot attach these files to emails i get the same message.
i need help</t>
  </si>
  <si>
    <t>printers not working</t>
  </si>
  <si>
    <t>good morning,
unfortunately our printers are not working â€“ may we request some assistance?</t>
  </si>
  <si>
    <t>- password change on 3 e4c email accounts</t>
  </si>
  <si>
    <t>password change on 3 e4c email accounts
i need to change the password for 3 school's e4c email. the email passwords that need to be changed are for ,   and 
 no  
 some  
 work impacting</t>
  </si>
  <si>
    <t>problem - mnp technology services - auto-setting team in newly queued tickets is more unreli...</t>
  </si>
  <si>
    <t>extended summary
problem - mnp technology services - auto-setting team in newly queued tickets is more unreliable than a range rover
description
mnp technology services
auto-setting team in newly queued tickets is more unreliable than a range rover
lots of them, see screenshot
hey team,
just today we've had a lot of tickets get stuck in the unset team black hole, and today we've unfortunately had a p1 get stuck there.
my current fix is to simply re-add the company and contact info, but today that doesn't seem to work on the first try anymore.
can you guys take a look?</t>
  </si>
  <si>
    <t>hi there,
i have confirmed that several people in our organization were sent this monthly email again in the last couple days, but none of us received it nor can we see it in our quarantine.Â  it appears allowing the polaramp.com domain did not resolve the issue.Â  as a reminder, it comes with an excel workbook as an attachment and that workbook contains a macro that might be tripping the antivirus.Â  can someone please follow up?</t>
  </si>
  <si>
    <t>saskatoon internet issues</t>
  </si>
  <si>
    <t>hi,
weâ€™ve had an ongoing issue with our internet for quite a few weeks now. iâ€™m not sure what the existing ticket # is but this issue is starting to affect our work processes. please let us know if this in being looked at currently or what the status is on this issue. we donâ€™t have access to websites like dropbox, outlook web is not working properly, thesaurus, etc. this doesnâ€™t make much sense.
best,
, marketing / urban planner
group2
architecture interior design ltd.
630c-10th street e saskatoon sk s7h 0g9
t + ext. 607
group2.ca
group2 is committed to being both responsive and responsible in navigating these extraordinary times with everyoneâ€™s safety in mind. since the outset of the covid-19 situation, we have enabled our employees to work remotely, allowing us to continue business operations and maintain our client commitments.</t>
  </si>
  <si>
    <t>fw: shoreware event notification: switch:  (1342)</t>
  </si>
  <si>
    <t>raimund,
this should be an incident. i need someone to call telus repair and open a ticket. this is the 3rd or fourth time that this has gone down between the 2 priâ€™s. the last time the telus tech replaced the card at the co for pri 2. iâ€™m thinking he needs to do the same for pri 1.
any questions i can help via texting or teams.</t>
  </si>
  <si>
    <t>server room clean up and proper destruction of old equipment</t>
  </si>
  <si>
    <t>hello all,
we currently have a large pile of items in the server room that needs to be properly disposed of.Â  due to the nature of our work, we need to ensure that any items like hard drives or other equipment that might contain carya information are properly disposed of.Â  during the next two weeks while i am off, could you please go through the destruction pile and inventory the items that we are wanting to get rid of.Â  the list should contain the quantity, asset id, make, model and serial number.
once i am back, i would like to go through the list to ensure that the items are removed from my inventory, and to ensure that nothing went into the pile that should not have.Â  **pleasedo not send for destruction before i have seen the list.
following that, we can proceed with moving the items out.Â  our insurance, auditors, and accreditors all require us to have a certificate of destruction.Â  i trust that the company that performs the destruction can provide this for our records.</t>
  </si>
  <si>
    <t>good afternoon,
we have a new printer in the cor den Â but currently we cannot print or scan.Â  how can we find or get the map so that we can use the printer via our computers.
please help.
anita stuart. hsa, ncsoÂ cor audit review analyst
225 parsons road sw Â edmonton abÂ Â t6x 0w ext. 186 Â tfÂ )
youracsa.ca
https://www.alberta.ca/prevent-the-spread.aspx</t>
  </si>
  <si>
    <t>we were forwarded the attached application for a student placement.Â  the curious thing is that the sender email address name and the name listed in the cv are different.Â  we have a stephanie oliphant that works at the agency, and a stephanie stevens who was a practicum student earlier in the year, however neither of them report applying.Â  since a number of us have opened up the attachment i thought perhaps we should alert you to this questionable email.
please advise regarding additional steps needed.</t>
  </si>
  <si>
    <t>- review printers at hewes ohi
mel wants us to review the configurations for the printers located at the hewes ohi workstation.  they don't seem to be consistently functional.
 no  
 some  
 work impacting</t>
  </si>
  <si>
    <t>rds - viewpoint - plq capture
several align tc's have been shown a tip by a previous next digital tech:
multiple letters in the print later queue (plq) in viewpoint (vp) should be able to "capture" to each patients respective correspondence history. however, when selecting multiple letters and capture, vp is erroring. the trick they were shown was to "sign out of windows" while vp is running and windows will ask, "are you sure?". the tc then selects "no" and all the letters will then finish capturing. can you provide an explanation why this is the case and how to resolve?
 yes  
 some  
 work impacting</t>
  </si>
  <si>
    <t>cda practice support - chrome align bookmarks</t>
  </si>
  <si>
    <t>hello mnp it,
i have a new link i would like to have added to all chrome users at . this would be for local workstation users and for both hewes and shpk rds users.
the link is
https://services.cda-adc.ca/login
it is for the cda (canadian dental association) practice support services website. we will be now using this secure portal to exchange patient referral data between any dental practice in canada.
please let me know when this has been added to the â€œalign bookmarksâ€ in chrome.</t>
  </si>
  <si>
    <t>fw:  telephone computers</t>
  </si>
  <si>
    <t>hi,
see the email chain below. i was working with flavio beginning of this year to upgrade/replace the current archive/maintenance computers that total comm uses for the phone system at each of the calmont sites.
please read the email chain below.
the issue iâ€™m having currently is the computer at edmonton truck center seems to be corrupted and i cannot get on the internet, cannot use my pbx maintenance application or rdp to connect to other calmont sites. it is also running windows 7 which was the main driver behind the upgrades too.
can we please get a ticket opened, approved by calmont to replace these computers? we are in need of the edmonton truck center one at the very least as soon as possible â€“ again, as that is the main one we use and it seems to have issues with networking in windows currently.
please contact me if you need to discuss anything on this.</t>
  </si>
  <si>
    <t>field law - phone error "user assignment - cas connection failure"</t>
  </si>
  <si>
    <t>hi dave,
just putting this on your radar. we are back with this issue again. so far i have  main: 
email:
just tried, same issue.
email from outside lvs. donâ€™t click links or open attachments unless sender is recognized and content is safe.
jaishil,
reboot your phone and then try to log in again.
dave beharrell
senior project specialist
ph.Â + ext 328
14505 114th avenue nw
edmonton, ab
t5m2y main: 
email:
this message and any attached documents are only for the use of
the intended recipient(s), are confidential and may contain privileged 
information. any unauthorized review, use, retransmission, or other 
disclosure is strictly prohibited. if you have received this message in 
error, notify the sender immediately, and delete the original message.
long view approved for general use
long view approved for general use
long view approved for general use</t>
  </si>
  <si>
    <t>shaw business - installation</t>
  </si>
  <si>
    <t>hello darryl &amp; crew
please be advised that shaw will be onsite november 2 from 0900-1100 hours switching a modem
please advise what actions need to be taken before / after.</t>
  </si>
  <si>
    <t>development environment - potential issues</t>
  </si>
  <si>
    <t>good morning,
we are trying to get ready to do some testing on some products that are in development and have been stale for a number of months. when we try to connect to the server (ip ), we experience an error that seems to indicate that the server is unreachable. we have tested using ports 50007, 50006 or 50004, as well as through the attached rdp link file that we were provided, which connects to port 50008. in all cases we receive the following error:
can we please have someone take a look at the server and see if it is running, or what ever else the issue may be?</t>
  </si>
  <si>
    <t>xcharge hewes way not loading
not loading
 yes  
 some  
 work impacting  
 edith</t>
  </si>
  <si>
    <t>fortigate ssl inspection issue?
quite a few websites are not loading up from our rds server. all of these sites are working external to our network. sites like : atb.com, dropbox, amazon, ups, canada post and even our public webpage (dentalhealthalberta.ca) would get various errors like "connection refused", "pr_end_of_file", "err_connection_closed". 
i tried turning off various security features in the fotigate (antivirus, ips, webfilter) but i couldn't turn off ssl inspection as it wasn't an option. 
i suspect it is an ssl inspection error as when the browser gives an error the site isn't showing that it has a certificate.
i did find a work around - that i don't understand why it works yet. but if you got the problem website in the old internet explorer browser it will load correctly. then after this both firefox and chrome will load the website correctly. maybe ie is installing a certificate??
i talked with exdol as he had just updated our firewall's firmware last night but he thinks this is caused by somethign else as he heard of other clients having the same issue. and he thinks there is a work around.
here's hoping you have one !
 no  
 everyone  
 work impacting</t>
  </si>
  <si>
    <t>caseware update - urgent
as caseware has been updated on gurmeet mahalâ€™s machine, we need the rest of the finance teamâ€™s caseware applications to be updated as well (mandy wang, kathryn rebibes and ), as it currently is, because of the different versions we are not all able to access these financial statement files which is preventing us from being able to complete month and year end financial statements.
 no  
 some  
 work impacting</t>
  </si>
  <si>
    <t>[warning][network &amp; virtual switch] notification from your device: -qnap02</t>
  </si>
  <si>
    <t>failed to connect to the internet. system default gateway "adapter 4" and all adapters failed to connect to the internet after checking ncsi.
 notification from your device: -qnap02
nas name: -qnap02
severity: warning
date/time: 2020/10/26 12:29:57
app name: network &amp; virtual switch
category: infrastructure
message:  failed to connect to the internet. system default gateway "adapter 4" and all adapters failed to connect to the internet after checking ncsi.
to configure notification rules, log in to your device and go to                notification center &gt; system notification rules
Â©2020 qnap systems, inc.</t>
  </si>
  <si>
    <t>can not use dolphin imaging in hewes
can not use dolphin imaging in hewes. all computers affected. see photo of error message
 no  
 everyone  
 unable to work</t>
  </si>
  <si>
    <t>fw: daily vpn usage report-2020-11-12-0100</t>
  </si>
  <si>
    <t>hi
this report is coming up again with nothing on it.
could you please fix again?</t>
  </si>
  <si>
    <t>fw: permissions</t>
  </si>
  <si>
    <t>can we set a gpo that allows this without permissions?
Â riccardo francese
business process manager
t:       +
c:       +
f:       +
e:       
w:       www.siterg.com
#170, 120 pembina rd., sherwood park, ab, t8h 0m2</t>
  </si>
  <si>
    <t>file explorer is being weird</t>
  </si>
  <si>
    <t>hello,
the file explorer is really lagging, and all items on the left bar arenâ€™t even showing up. not sure whatâ€™s going on but this is impacting a few of us. hereâ€™s a screen shot of what iâ€™m talking about.</t>
  </si>
  <si>
    <t>issue with quickbook</t>
  </si>
  <si>
    <t>good day,
we are having issue with quickbook, the multi-user hosting setup doesnâ€™t seem to work (see error file).Â  would you please look into it quicky?
kind regards
martin
 eng., m.a.sc.
commercial manager
multotec canada
office: ( ext. 20
email:
website:www.multotec.ca
â€œwarning/disclaimer: this email, including any attachments, is subject to important warnings and disclaimers which are hereby incorporated into this email. the full text of the warnings and disclaimers together with the company particulars are available by clicking on: http://www.multotec.com/content/email-disclaimer"</t>
  </si>
  <si>
    <t>frap email - automatically routed in the spam folder #urgent actions required</t>
  </si>
  <si>
    <t>dear support team,
following the deployment of sophos, we just noticed all the email sent and received Â from @frap.ca (email domain) are automatically routed in the spam folder ( like coming from not trust email address).
we need your urgent support to update @frap.ca ( email domain) in the sophos features and add it as trusted email domain to enable us to receive and send our emails normally, and avoid the lost of critical /important emails from our partners/customer.
in addition, kindly send us Â the step by step procedure to connect to the sophos central self service.
we will appreciate your urgent actions and feedback on this critical email issue.
best regards
samuel</t>
  </si>
  <si>
    <t>autodesk subscriptions for 2 - 3 users</t>
  </si>
  <si>
    <t>someone else  
edmonton
 next digital edmonton  
mon 26 oct, 2020  
mike needs a quote for autodesk autocad subscriptions for 2 -3 users.</t>
  </si>
  <si>
    <t>increase size of e drive in esxi for nc-apg-be01
i have received permission from opal to increase the e drive size for alberta pulse growers by 20gb. i need someone to increase the vms size of the e drive that is currently ~700gb in size.
 no  
 everyone  
 work impacting</t>
  </si>
  <si>
    <t>shawn kubiski
partner
ph. +
14505 114th avenue nw
edmonton, ab
t5m2y8
mnp.ca
can we also get an e3 license for connie stang</t>
  </si>
  <si>
    <t>ntd down?
getting a 404 at https://crs.nextdigital.ca/dashboards/nextticket/
 no  
 everyone  
 work impacting</t>
  </si>
  <si>
    <t>urgent: firewall restricting access to sites</t>
  </si>
  <si>
    <t>hello. we have our firewall at canada west ltd. restricting access to various websites. our user first noticed it this morning with https://secure.bluepay.com/, however another user said she no longer has access to shawâ€™s secure page, nor cwb bank. they get this result:
i have tested it at canada ici, one floor above canada west at our manulife location, and they are able to see this website without any issues.
can you please coordinate with betty wang (, 587-773-304Â cÂ 
#3540 manulife place, 10180-101 street,
edmonton, ab t5j 3s4
canadaici.com
toronto â€¢ calgary â€¢ edmonton â€¢ ottawa â€¢ winnipeg
this message and any attachments are confidential. if the reader is not the intended recipient, you are hereby notified that any dissemination, distribution or copying of this email is strictly prohibited. if you have received this email in error, please notify the sender immediately by return email. internet communications cannot be guaranteed to be secure or error-free as information could be intercepted, corrupted, lost arrive late or contain viruses. the sender does not accept liability for any errors or omissions in the context of this message.</t>
  </si>
  <si>
    <t>the printer suddenly fails to work. i have checked the control panel and the default printer settings is correct.  
please tak a look at it.  thanks  
lina</t>
  </si>
  <si>
    <t>receiving excel documents via email
hello 
over the last three months i have been sending excel documents to the following email addresses ( and ). they have not received any of the emails. 
today was informed that i was sent an email from the karen email above which has an excel attachement that i have not received.
 no  
 one  
 work impacting</t>
  </si>
  <si>
    <t>daily need password issue is continuing on nd rds</t>
  </si>
  <si>
    <t>daily need password issue is continuing on nd rds
hey team,
this is a fyi - the need password issue in outlook is still popping up daily for me.
oddly enough, teams works.. and hasn't had any issues.
the sign out and then sign-in w/ mfs again works, but its a daily interruption.
 yes  
 one  
 minor inconvenience</t>
  </si>
  <si>
    <t>alignstaff wifi is down
please repair asap. thanks
 no  
 everyone  
 work impacting  
 lab</t>
  </si>
  <si>
    <t>re: power broker annual support renewal key file</t>
  </si>
  <si>
    <t>hi there,
can i please get confirmation that this renewal key has been applied?
we appear to be having an issue with pathway and i want to make sure that this has been completed so i can eliminate this as the cause.</t>
  </si>
  <si>
    <t>carya - expand c: for nc-carya-rds05
need to expand the c: on nc-carya-rds05 by  10-20gb.
exisiting ticket 1292868
 no  
 everyone  
 work impacting</t>
  </si>
  <si>
    <t>e4c- need drive space added
=fs01 needs 50 gbs added to data drive
-rds02 needs 10gbs added to c drive
-rds02 needs 20 gbs added to c drive
 no  
 everyone  
 other</t>
  </si>
  <si>
    <t>new itg company inaccessible
a new company called ccs contracting was set up manually in it glue by dave beharrel and it is not accessible - appears to be a permissions issue.  itg link: https://nextdigital.itglue.com/181 until this is resolved.
 no  
 some  
 work impacting</t>
  </si>
  <si>
    <t>edmonton studio internet connection
edmonton studio internet speed is very poor. please investigate, this is a recurring problem. telus speed test shows download 4.8 mbps upload 0.5 mbps
 no  
 everyone  
 work impacting</t>
  </si>
  <si>
    <t>help!!
our phones are all messed up. only three of seven phones ring when the parts line calls. extension 300, 302, 304 and 30
email: 
website: www.toyotacustoms.com
to unsubscribe from receiving electronic communications from myself please click unsubscribe</t>
  </si>
  <si>
    <t>certify ssl manager - action required - default web site</t>
  </si>
  <si>
    <t>certify the web - certify ssl manager
certify ssl manager - action required - default web site
your managed certificate for server test-opal-rgw01 has begun renewal for the managed certificate default web site. you are using the manual dns method for authorization. you should create the following dns (txt) record in your dns settings to continue renewal. once completed, resume the certificate request within the certify the web app.
(update dns manually) :: please login to your dns control panel for the domain 'remote.ndlab.ca' and create a new txt record named: _acme-challenge.remote.ndlab.ca with the value:erm7phphqxz5ugjco87_d2oqmnt-uoccj93_-vo09_y
open the certify the web app on your server to see more details. if you have added your server instance on your certifytheweb.com dashboard you can also see summary information for all managed certificates there.
you are receiving this email because you use certify ssl manager on your web server or have created an account at https://certifytheweb.com.</t>
  </si>
  <si>
    <t>tickets not changing status to in progress when a client replies
- see 1288079
- when a client replies to a ticket (myself, and shaun g.) the ticket does not revert to in progress, it stayed in waiting on client
- this behaviour is not what was intended, the ticket should go back to in progress after a reply is received from the client, or anyone for that matter, in order for the ntd to bring it up for the resource to review and update the ticket
- we'll need this looked into sooner rather than later, because if the tickets aren't reverting their status back to in progress this could also be affecting tickets we have in waiting on client for our others clients, which if there isn't a schedule on the resource the ticket will automatically close even if the client responded.
- please followup with me as we'll need to know how long this behaviour has been in place and possible implications
 no  
 everyone  
 work impacting</t>
  </si>
  <si>
    <t>nc-dske-be01 - d drive
submitting for dan shaw. please expand d drive by 20 gbs, opal approved via ticket #1294499.
 no  
 everyone  
 work impacting</t>
  </si>
  <si>
    <t>hi there, could i please have someone call our office and speak with  regarding act.Â  he is unable to get the program open. he has rebooted his machine and he is still having no luck.Â  when he opens the program it asks for his login, he enters it and the screen goes grey and then shuts down.Â  this is happening for only two users at this time.Â   and zach mercey.Â  they can be contacted at .</t>
  </si>
  <si>
    <t>caslsurftech.com</t>
  </si>
  <si>
    <t>this is our new website domain and when i am on the network it will not access.Â  gives fortiguard web page blocked, newly observed domain.Â  previously was able to access.
need this to screen share with a potential customer this morning.
matt
president
 solutions (usa) ltd.
21430 springbridge drive, houston, tx 7707
c: 346.616.444
email:
www.casltd.ca
disclaimer: this message contains information that may be privileged or confidential and is the property of  solutions ltd. or its subsidiaries. it is intended only for the person to whom it is addressed. if you are not the intended recipient, you are not authorised to read, print, retain, copy disseminate, distribute or use this message or any part thereof. if you receive this message in error, please notify the sender immediately and delete all copies of this message.</t>
  </si>
  <si>
    <t>blue circle - drive expansion
please expand nc-bci-mail02\e: drive by 30 gb
 no  
 everyone  
 work impacting</t>
  </si>
  <si>
    <t>centre stack</t>
  </si>
  <si>
    <t>so yesterday we started getting this message. i tried entering my info but it did not work. i also checked outside of the cloud and am missing the m drive. i believe all staff are receiving this. tracy
*******************************
office coordinator
401-11010 142 st nw
edmonton, abÂ  t5n 2r</t>
  </si>
  <si>
    <t>when saving pdf files from reports in sage we get this error when we try to open the attachment in the folder. if we save the exact same report on our desk top and then move it into the folder there is no issue.
sounds like a permissions issue maybe? all staff are having this issue with the folder.
s:\fa&amp;a\business operations\corporate ap\2020 dsp invoices\2020 dsp inv selected, cheques, reports, approvals
i am out of the office monday but will be in the office tuesday if you need to follow up with someone.</t>
  </si>
  <si>
    <t>robert simpson - cannot log into cloud</t>
  </si>
  <si>
    <t>good afternoon,
i am starting a ticket for mr. robert simpson for his computer in the office.Â  when he tries to log onto the remote desktop link he gets the message:
remote desktop cannot find the computer â€œdske.nextcloud.caâ€ does not belong to the specified network.Â  verify the computer name and domain that you are trying to connect to.
he can log onto the cloud at home from his laptop.Â  if mr. simpson is not in the office when a rep calls i would be happy to assist.</t>
  </si>
  <si>
    <t>adobe not working
when you open a pdf document, adobe closes.
i need adobe to process employee files and payroll which i was planning on doing this evening. we'll need to resolve the issue quickly.
 no  
 one  
 unable to work</t>
  </si>
  <si>
    <t>tina fagan -  extension 321</t>
  </si>
  <si>
    <t>hello!
it looks like there is something wrong with â€™s extension, 32  Â  www.lexusofedmonton.ca
 family member since 2014</t>
  </si>
  <si>
    <t>hello again,
we also need to order a new laptop, monitor and mouse for our new employee, fern doll.
can you please provide us with a quote for a lenovo thinkpad t490, benq 21.5â€ full led monitor, and 1 mouse?
fern will be started on february 26, 2021, and we hope to have her fully set up in time.
i have included rubyann for her approval on this quote/and request.</t>
  </si>
  <si>
    <t>missing email
missing an email that was quite important, i am wanting any emails sent to  that appear to be unread be flagged as it seems that i haven't be receiving all emails sent.
 yes  
 everyone  
 work impacting</t>
  </si>
  <si>
    <t>- can't log onto the cloud</t>
  </si>
  <si>
    <t>can't log onto the cloud
i used my password as usual to log into the cloud but it didn't work. i think i locked myself out.
my phone number is 
 yes  
 one  
 work impacting</t>
  </si>
  <si>
    <t>adobe still not fully functioning
hi, 
i'm still having trouble with adobe. i can open it, and was signing things without difficulty for hours but all of a sudden it won't open for me anymore. can i please have this set as my default? i'm finding it very frustrating to get my work done with all of the trouble this program is giving me. i have a deadline that i am now going to miss.
looking forward to your reply.
 no  
 one  
 work impacting</t>
  </si>
  <si>
    <t>access to hr mailbox for elisha chung
elisha needs to access the hr mailbox - please give access.
 yes  
 one  
 work impacting</t>
  </si>
  <si>
    <t>set-up of laptop - ed2551for kari lisowski
hello,
we need to set-up the new laptop in the edmonton office (asset tag ed251) for use by kari lisowski. she is currently on leave, but is expected to return shortly. the laptop should have everyhintg an inspector position requires, and functional rds. 
the laptop will be shipped directly to kari's home - but not until she returns to work. i will provide confimration for when the laptop can be shipped. 
please let me know if you require further information.</t>
  </si>
  <si>
    <t>hi,
i believe my email has been compromised. i have been booted out of my company email and a personal account. the passwords are not working.</t>
  </si>
  <si>
    <t>hello,
please remove leasure forbes from the â€œall team cl marketing (edmonton)â€ team in outlook as he was added in error.</t>
  </si>
  <si>
    <t>hey guys
here i go again,
today, iâ€™m at metis crossing- hook up, on a hard line- not wi-fi
i wonâ€™t be able to talk - so if we can connect with this email,
i have the nd support - just send me the code # - iâ€™ll enter it and you can go from there</t>
  </si>
  <si>
    <t>hi luiza,
i am wondering if you can get me access to the carf accreditation standards.Â  i have access to this folder below but not the actual carf standards folder in the file.</t>
  </si>
  <si>
    <t>verification email
i am waiting for a vertification email from energy savings for business program to open an account.  i requested it several times and they have advised it seems to be blocked by my system.  can you please release this email, so i can proceed?  thanks.
 no  
 one  
 work impacting</t>
  </si>
  <si>
    <t>becky hume - adobe 2020 installation</t>
  </si>
  <si>
    <t>adobe 2020 installation
hi i have purcahsed a download copy of acrobat adobe 202 after lunch today to complete the install.
becky 780-235-251
 no  
 one  
 minor inconvenience</t>
  </si>
  <si>
    <t>hi,
please review the permissions associated with my sharepoint account.Â  once again my access, although should be full control, has been denied, allowing me to ineffectively perform the job duties i need to on a daily basis.Â  please put some resolve to this issue as i find it quite frustrating that after 2 years, we repeatedly have to ask you to fix this same reoccurring situation.Â  it gets fixed, the problem occurs again etc. kindly contact me when we have a solution for this.Â  thank youi
senior executive assistant
 society
9808 â€“ 148 street
edmonton abÂ  t5n 3e ext. 24 (direct)
*home of the new roozen family hospice centre</t>
  </si>
  <si>
    <t>hi,
ron poon was a former employee at asi. he used his own laptop. he is trying to update his computer software but it wonâ€™t allow him as it says it is still assigned to the asi domain.
i have copied him above if you need to contact him directly to get this fixed.</t>
  </si>
  <si>
    <t>emails not coming through
there have been 3 emails that i know of today that were sent to me but i didn't receive.  i have a screenshot of one that was forwarded as an attachment in another email that shows they sent it at 2:3
 yes  
 one  
 work impacting</t>
  </si>
  <si>
    <t>help!!! i canâ€™t access the admin printer on my local machine and rds.
manager, finance
ph.Â +       ext 307
14505 114th avenue nw
edmonton,       ab
t5m2y8
mnp.ca</t>
  </si>
  <si>
    <t>hello, 
i am having issues with my audio on my lap top. it is cutting in and out and is transferring my voice through online applications in a very slowed manner. 
in addition, zoom is not able to link to my audio. i unfortunately found this out while trying to host a meeting with 200 teachers. 
is there someone available to assist with this this afternoon? 
kindly,
 local 5</t>
  </si>
  <si>
    <t>hello,
i have a new iphone and i cannot figure out how to set up the authenticator.</t>
  </si>
  <si>
    <t>all the e4c printers and my home printer set up (and useable this morning) have disappeared Â off of my profile.Â  please give me a call Â at 780.915. jasper avenue, edmonton ab t5h 3t7
e4calberta.org</t>
  </si>
  <si>
    <t>once again adobe pro has disappeared off my remote access desktop.Â  i require this app to modify and sign contract documents on behalf of the organization.Â  this is the second time in 5 work days this has occurred.
barbspencer e ext 165
9321 jasper avenue, edmonton ab t5h 3t7
e4calberta.org</t>
  </si>
  <si>
    <t>hello,
iâ€™m having trouble connecting to the maclab vpn.
the message coming up is â€˜unable to establish the vpn connection.Â  the vpn server may be unreachable.â€™
i was having the same issue yesterday, but i understood someone else in our office was having the same issue and was hoping my issue would be resolved when their issue was resolved. Â but iâ€™m still canâ€™t connect.
-jeff
 Â  project manager
suite 1005  10104 103 avenue nwÂ Â edmonton, ab  t5j 0h  cell: 
  www.maclabdevelopment.com</t>
  </si>
  <si>
    <t>- c drive on nc-e4c-rds02 needs to be expanded by 30 gb</t>
  </si>
  <si>
    <t>c drive on nc-e4c-rds02 needs to be expanded by 30 gb
c drive on nc-e4c-rds02 needs to be expanded by 30 gb
opal approval given on 1364621
 no  
 some  
 work impacting</t>
  </si>
  <si>
    <t>disabled connie olson
connie olso has left the organization however i need access to her emails and docusign templates.
please call me at 780-554-367
 no  
 one  
 work impacting</t>
  </si>
  <si>
    <t>quote request -  - requesting a new monitor for calmont group</t>
  </si>
  <si>
    <t>gabriela lockwood second monitor died, ##4 yellow head trail
1364570
 next digital edmonton  
wed 17 feb, 2021  
 no  
 monitor  
 22"  
 no  
1
she already has a dvi cable that she can use.
 no  
she should be able to use the existing monitors cable for her current desktop
just a monitor</t>
  </si>
  <si>
    <t>hi there, 
please note that julie and marc are having issues to open pdf, they do need to have access to acrobat.</t>
  </si>
  <si>
    <t>my vpn is not working - help</t>
  </si>
  <si>
    <t>my vpn is not working â€“ help, please.
kimberlee owcharÂ  ncso ohsÂ  ctajâ„¢Â Â senior audit reviewÂ  analyst cor quality assurance
225 parsons road sw Â edmonton abÂ Â t6x 0w ext. 178 Â tfÂ )
www.youracsa.ca
http://www.youracsa.ca/asca-conference/</t>
  </si>
  <si>
    <t>excel license for jennifer bare
it seems like jennifer has the wrong excel license. she cannot manipulate certain spreadsheets, the mitek plate order one in particular, and when she tries to log on to excel it says someone else is using her license.
 no  
 one  
 work impacting</t>
  </si>
  <si>
    <t>hi aj,
just an update on the meeting room panel. cole from sapphire has installed it and itâ€™s â€œworkingâ€ but itâ€™s not connected to our system per se.
i understand there is something you guys will need to do on your end to get it functional.
i wonâ€™t be in the office this week but can arrange to be in the office next week and be available if you need to do any testing.Â  just let me know what works best.
 Â  executive assistant to president &amp; ceo
suite 1005  10104 103 avenueÂ Â edmonton, ab  t5j 0h  cell: 
  www.maclabdevelopment.com
we have moved. please note our new address.</t>
  </si>
  <si>
    <t>good morning,
my ap team, including myself do not have access our  email
please fix this asap.
accounts payable manager
t:       +
f:       +
e:       
w:       www.siterg.com
po box 210 / hwy 55, 1 mile west &amp; 1 mile south, cold lake, ab, t9m 1p1</t>
  </si>
  <si>
    <t>sr1 screen sharing folder
hi there, a folder has been created on s drive called sr
 no  
 some  
 work impacting</t>
  </si>
  <si>
    <t>unable to save or combine pdf
unable to save or combine pdf files
 no  
 one  
 work impacting</t>
  </si>
  <si>
    <t>field law - pri is constantly dropping connection</t>
  </si>
  <si>
    <t>switch 2b-edm-st100da-t1-1: t1/e1 - keeps losing d-channel connection</t>
  </si>
  <si>
    <t>nd/mnp rds is sloooooow today
things are crawling today. really hampering my productivity.
 yes  
 one  
 work impacting</t>
  </si>
  <si>
    <t>- urgent: forward leland mcphailâ€™s e-mail to:</t>
  </si>
  <si>
    <t>can you please forward leland mcphailâ€™s e-mail to:
do not keep a copy at siterg.com just forward all e-mail
business process manager
t:       +
c:       +
f:       +
e:       
w:       www.siterg.com
#170, 120 pembina rd., sherwood park, ab, t8h 0m2</t>
  </si>
  <si>
    <t>luiza coelho - email account information needed</t>
  </si>
  <si>
    <t>hi there, 
does mnp have any record to where the emails below have been forwarded to? or if they have been disable completely. ?Â  
manisha patel 
samantha maess
jasmine monaghan 
if you have any questions in regards to the request please call me</t>
  </si>
  <si>
    <t>adobe acrobat pro no longer works
hi there,
adobe acrobat pro no longer works on my computer - it indicates that i no longer have permissions for access. i need this to perform functions of my job and this is impeding my workflow. adobe pro worked until this morning.</t>
  </si>
  <si>
    <t>no adobe all of a sudden
i'm trying to make some pdfs, but all that will open for me is foxit. i have been using adobe for 2 years now and all of a sudden it seems to be gone. i need this to be able to complete my work, as i need to sign documents.
 no  
 one  
 work impacting</t>
  </si>
  <si>
    <t>unable to log in with credentials on new laptop
new laptop and can't log in to rdp
 no  
 one  
 work impacting</t>
  </si>
  <si>
    <t>good afternoon,
can we get an email account made for neurology. it will be a basic license.
password: winter202
a: 450 ordze road, unit #320.Â  sherwood park, ab t8b 0c5
www.pulseveterinary.ca</t>
  </si>
  <si>
    <t>cannot view edocs in sig
cannot view edocs in sig.  after clicking on view i cannot view and( if i  hover your mouse over the sig icon on your taskbar and youâ€™ll see the dok/dokxp software. right click on the â€˜dokxp documentâ€™ side and select â€˜maximizeâ€™).  this does not show up when i hover over the sig icon.
 no  
 one  
 work impacting</t>
  </si>
  <si>
    <t>good morning. iâ€™m working from home today and am not able to connect remotely for some reason.
i can connect using forticlient but then when i try to use remote desktop connection it wonâ€™t work.
can someone look into this asap? staff has confirmed that the computer is turned on.
nicole mcwha
assistant to erika l. hagen
my username is eh-asst</t>
  </si>
  <si>
    <t>permission to download on ssa cloud server</t>
  </si>
  <si>
    <t>hi there,
is there any possible way to get permission access on the cloud server to download zoom?
i am trying to use this laptop for presentation and meetings but i wonâ€™t allow me to download zoom or other applications on the cloud.
itâ€™s just a minor inconvenience at this time but i donâ€™t want to be constantly sending my work email to my personal email to open zoom offline.
please let me know if this is possible.</t>
  </si>
  <si>
    <t>npc edm qnap failed hd</t>
  </si>
  <si>
    <t>the primary contact in connectwise  
edmonton data centre
1353108
 next digital edmonton  
fri 29 jan, 2021  
1 x 3 tb wd red sata iii nas drive
provide option on quote to purchase second drive as a spare</t>
  </si>
  <si>
    <t>cannot connect to rds
computer will not connect to rds, says there that access is not approve
 no  
 everyone  
 work impacting</t>
  </si>
  <si>
    <t>melody baldry - shpk bus01 - dymo cutting off</t>
  </si>
  <si>
    <t>hello mnp it,
an employee is currently working at shpk bus01 and the Â dymo is cutting off. 
she will be leaving work at 12:00pm and this workstation will be available.
it is a dymo 31
edmonton main: 780.463.514
www.alignortho.com</t>
  </si>
  <si>
    <t>support request</t>
  </si>
  <si>
    <t>hi folks --
i haven't logged onto vpn for a while and when i try, i get a message saying that my password has expired. help! i have work to do that requires access to the server.</t>
  </si>
  <si>
    <t>hi there!
i will need to have corals inbox available for alex to have.Â  coralâ€™s last day is today and instead of just getting her emails forwarded alex would like to keep the old inbox and any new emails separate from her inbox if that makes sense lol.
this needs to be done asap.</t>
  </si>
  <si>
    <t>mailbox</t>
  </si>
  <si>
    <t>hi,
please give caitlin 10gb more mailbox size.
, cpa, cma
chief financial officer
14610 yellowhead trail nw edmonton, ab, t5l 3cÂ Â Â Â  toll free: Â Â Â Â  direct: 780-409-335
email:
website:www.calmont.ca
this email, and any files transmitted with it, are confidential and are intended solely for the use of the individual or entity to which they are addressed. any unauthorized use or disclosure is prohibited. please notify the sender if you have received this email in error. thank you for your co-operation.</t>
  </si>
  <si>
    <t>keith angulo - password reset</t>
  </si>
  <si>
    <t>please reset his password.
  assistant to executives   
tel:   Â  www.lexusofedmonton.ca
 family member since 2014</t>
  </si>
  <si>
    <t>email inquiry</t>
  </si>
  <si>
    <t>hi there,
iâ€™m looking to get an email set up â€“  and have it forward to the  email.
we have some people assuming itâ€™s a valid email and itâ€™s not.</t>
  </si>
  <si>
    <t>terminate mhk employee on january 29 at 4:30 pm</t>
  </si>
  <si>
    <t>hi there,
could you please deactivate phil boivinâ€™s profile on friday, january 29 at 4:3Â 
cÂ Â Â Â  
12316-107 avenue, edmonton, ab  t5m 1z1
www.mhkinsurance.com
we're here to help with your insurance needs. emails       and phone calls are still encouraged. appointments are required for       in-office broker meetings. please wear a mask when       visiting.
mhk welcomes       e-transfer payments to banking@mhkinsurance.â€‰com.
if you       receive this email in error, please notify us by reply email and destroy       this message. mhk complies with canada's anti-spam and alberta's pipa       legislations. if you no longer wish to receive emails from mhk, please       reply with 'unsubscribe' in the subject   line.</t>
  </si>
  <si>
    <t>good morning,
this is a request to please remove lisa stebbins from â€œthe way inâ€ distribution list.</t>
  </si>
  <si>
    <t>re:  email - diana steele</t>
  </si>
  <si>
    <t>good morning,
the email address for  not working properly.Â  this is work impacting so can you please have a look into it right away.</t>
  </si>
  <si>
    <t>can you start a ticket. i will be dropping off 3 laptops to be set up.</t>
  </si>
  <si>
    <t>good morning,
can someone call me on my cell , as i am working from home today.Â  the print function cannot see my brother series printer.Â  it is checked off, but will not print.</t>
  </si>
  <si>
    <t>remote acces problems
i got a new error when trying to log into the ssa coud, i am currently not at my usual house/location and  i get this error pictured below, i am connected to the internet, so i am not sure what the issue is this time is.
 yes  
 one  
 work impacting</t>
  </si>
  <si>
    <t>sage has a product update
update sage on rds 
users are out of sage by 3pm everyday - the server can be restarted anytime after 4:0
 no  
 some  
 work impacting</t>
  </si>
  <si>
    <t>adobe acrobat
hello 
my adobe acrobat is not working. the option to edit files or combine in adobe is not coming up.
 no  
 one  
 work impacting</t>
  </si>
  <si>
    <t>my network drives need to be remapped. i am unable to access them.</t>
  </si>
  <si>
    <t>hello,
my network drives need to be remapped. i am unable to access them.
please and thank you.
kimberlee owcharÂ  ncso ohsÂ  ctajâ„¢Â Â senior audit reviewÂ  analyst cor quality assurance
225 parsons road sw Â edmonton abÂ Â t6x 0w ext. 178 Â tfÂ )
www.youracsa.ca
http://www.youracsa.ca/asca-conference/</t>
  </si>
  <si>
    <t>- e: ticket #1248882/ - peace hill email not received resolved</t>
  </si>
  <si>
    <t>hi,
i think we are going to have to reopen this ticket again, as we have not received any emails from peace hills in quite some time.</t>
  </si>
  <si>
    <t>good morning,
coral collins no longer works for  so i will need to have all the things decommissioned.
i will also need to set up a time to have her surface wiped and set up for marilyn to use.
maybe around 415pm?</t>
  </si>
  <si>
    <t>fw: power point</t>
  </si>
  <si>
    <t>please can you retrieve the file attached in the email below, its urgent</t>
  </si>
  <si>
    <t>fw: unicon additional panasonic telephones</t>
  </si>
  <si>
    <t>from unicon requires a quote for the following panasonic telephones
2-panasonic kx-nt55
direct line: (780) 732-5 114th avenue nw
edmonton, ab
t5m2y8
mnp.ca</t>
  </si>
  <si>
    <t>sierra collins' account</t>
  </si>
  <si>
    <t>hello,
we need an email account and all access to our computers and systems shut down for an employee.
itâ€™s for sierra collins.
at 4:30 pm on thursday feb 18, 2021, please make sure sheâ€™s shut down at that time on everything.
if an email is sent to her account it should bounce back as no recipient.
we do not want the email account still set up and emails going to and from that account.
her access to our computer systems and servers should also be terminated.
we also donâ€™t want her to have access to the imc email on a platform.</t>
  </si>
  <si>
    <t>hi,
i have tried to open a quickbooks file on the quickbooks premier accountant 202 f 780 487 1 178 street, edmonton ab, t5s 1r5</t>
  </si>
  <si>
    <t>unable to access files on share 2</t>
  </si>
  <si>
    <t>hi,
i am connected to forticlient but i keep getting this message when i try to open any files. iâ€™ve tried to open recent ones as well as starting from the main share  ext. 21
suite 400, 1550 5 st swÂ  
calgary, alberta t2r 1k3
```
arlingtonstreet.cafacebookÂ Â Â Â twitterÂ  Â Â linkedinÂ  Â Â youtube
```
important covid-19 notice: please note that we remain open for business but, as a result of covid-19, our office is closed to the general public and open to clients by appointment only until further notice. with most of our staff now working remotely, please continue to contact us by email (preferably), or by phone, but note that there may be delays in checking voice messages remotely. we appreciate your continued business and patience during this unprecedented time.
the information in this email and any attachments is sent by arlington street investments and is intended to be confidential and for the use of only the individual or entity named above. the information may be protected by solicitor-client privilege, work product immunity or other legal principles. if the reader of this message is not the intended recipient, you are notified that unauthorized review, retention, dissemination, distribution, copying or other use of or taking any action in reliance upon this information is strictly prohibited. if you received this email in error, please notify us immediately by email reply and delete or destroy this message and any copies</t>
  </si>
  <si>
    <t>fieldlaw - angela beierbach - 7651</t>
  </si>
  <si>
    <t>hi,
could you please check angela beierbachâ€™s mitel account for voicemail. she would like to receive all her voicemail via email as an audio wav file.
settings on mitel end looks fine, but she still does not receive voicemail emails.
kind regards,
jaishil r prasad
edmonton mits system consultant
..................................................................
mobile: 825.993.419
email:
this message and any attached documents are only for the use of
the intended recipient(s), are confidential and may contain privileged 
information. any unauthorized review, use, retransmission, or other 
disclosure is strictly prohibited. if you have received this message in 
error, notify the sender immediately, and delete the original message.
long view approved for general use</t>
  </si>
  <si>
    <t>zoom and outlook</t>
  </si>
  <si>
    <t>morning,
we have two employees whoâ€™s zoom isnâ€™t syncing with outlook accounts.
we think it based on permissions.
can you please contact them and fix the problem.
heidi taves - 780)
441 sakitawaw trail
fort mcmurray, alberta
t9h 4p
email:Â Â Â Â Â Â 
facebook:www.facebook.com/mcmurraymetis
twitter:Â Â Â Â www.twitter.com/mcmurraymetis
website:Â Â www.mcmurraymetis.org
pplease consider the environment before printing this email.
this message contains confidential information and is intended only for the named addressees.
if you believe that you received this email in error please notify the original sender and delete all copies.</t>
  </si>
  <si>
    <t>no cloud access</t>
  </si>
  <si>
    <t>good day,
since monday, i do not have any cloud accessâ€¦ i am guessing that it is a password reset issue againâ€¦ can you reset my account with a password andÂ  make that connection live again?
kind regards,
 eng., ph.d.
general manager
multotec canada ltd
2066, de la province,
longueuil, qc,j4g 1r7
office: + ext.:203
cell: +
email:
website:www.multotec.ca
â€œwarning/disclaimer: this email, including any attachments, is subject to important warnings and disclaimers which are hereby incorporated into this email. the full text of the warnings and disclaimers together with the company particulars are available by clicking on: http://www.multotec.com/content/email-disclaimer"</t>
  </si>
  <si>
    <t>fw: logging on to the regina server....</t>
  </si>
  <si>
    <t>kolyn anderson
senior project specialist
ph.Â +       ext  4 st se
calgary,       ab
t2g2w3
mnp.ca 
hi kolyn,
if this email should have been sent elsewhere, please re-direct it for me. when we executed the handover, i used windows remote desktop to log-on to the kensington server, so that i could add or remove users on the domain. i didnâ€™t try to log-on to the regina server at the time, but i did so yesterday. i was unable to log-on the same way.
am i missing something?</t>
  </si>
  <si>
    <t>hello,
i changed my password yesterday and now i don't have accesses neither with the old password nor with the new one.
could you assist me with this?</t>
  </si>
  <si>
    <t>hi,
can we please order a spare laptop? it should be set up with both cdk programs as we donâ€™t know where it will end up.</t>
  </si>
  <si>
    <t>ip-it camera for dulcie</t>
  </si>
  <si>
    <t>dulcie needs a webcam installed.Â  we have one in the it cabinet for her to use.</t>
  </si>
  <si>
    <t>kristi perkins - slow computer</t>
  </si>
  <si>
    <t>hi,
â€™s computer (desktop) is really slow. can you please check if more ram would help or if it just needs to be replaced?</t>
  </si>
  <si>
    <t>hello, i noticed today that my acess to the the sel equipment mailbox has been taken away. can i please get access again to that account?</t>
  </si>
  <si>
    <t>uninstall</t>
  </si>
  <si>
    <t>can you please uninstall zoom info from my computer?</t>
  </si>
  <si>
    <t>hello,Â  i am working a bit today and i need to log into mitel but it says i have an error.Â Â  says â€œ either your username , password or server didnâ€™t match, please try againâ€Â  but nothing is workingÂ  ,Â  can you help ??</t>
  </si>
  <si>
    <t>a high-severity alert has been triggered
âš microsoft 365 compliance center
severity:â—high
time:1/25/2021 4:33:01 pm (utc)
activity:protection
details: 1 message hit on 4e89af19-2777-43a2-9d2c-08d8c1-1, sent by  to  at time 1/25/2021 4:33:01 pm.
              view alert details</t>
  </si>
  <si>
    <t>telsco messages from ms</t>
  </si>
  <si>
    <t>there are synchronization errors in your directory.Â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 ---
---
Â azure ad connect sync errors detected                    
youâ€™re receiving this email because we have detected a critical alert on your azure ad connect service for errors that occurred while data was while synchronizing between your on- premises active directory and your azure active directory.
--- ---
--- 
title:
--- 
sync errors detected on your azure ad connect service
---
--- --- 
last export time:
--- 
january 25, 2021 17:06 utc
---
--- --- 
error count:
--- 
1 sync errors
---
--- --- 
service:
--- 
telsco.onmicrosoft.com
---
--- --- 
tenant:
--- 
telsco security systems
---
--- --- 
report:
--- 
to get more details, see sync error report.
---
--- ---
---
--- 
to learn how to fix sync errors, see troubleshooting sync errors.
if you no longer wish to receive these notifications, read the instructions for updating your settings. only global administrators can change settings.
--- ---
---
--- ---
--- 
privacy statement
microsoft corporation, one microsoft way, redmond, wa 98052
--- ---
---</t>
  </si>
  <si>
    <t>fw: ecdc "connect with us"</t>
  </si>
  <si>
    <t>hi!
mark was concerned about this email he received over the weekend. can you tell if itâ€™s a phishing email or not?
administrative assistantÂ Â 
edmonton community development companyÂ Â 
phone: (
the edmonton cdc is transforming 10 derelict properties into neighbourhood assets:
learn more about ourÂ project 10Â initiative on our website!
date: saturday, january 23, 2021 at 7:01 pm
i am sure this is phishing but send to our tech people to see it.
and ask them to contact me at my email address to update me on the status of our domains as they are the ones who hold our domains- Â thanks
get outlook for ios
neighbourhood: xa2kjg7k
affiliations: r8s20-01-24
your immediate attention to this message is absolutely necessary!
your domain edmontoncdc.org will be terminated within 2&amp;p=v1
if we do not receive your payment within 2&amp;p=v1
act immediately.
the submission notification edmontoncdc.org will expire within 24 hours after reception of this email
--
this e-mail was sent from a contact form on ecdc (https://edmontoncdc.org)</t>
  </si>
  <si>
    <t>can't get into synerion or shared files</t>
  </si>
  <si>
    <t>hello
on my transport computer i cannot get into my synerion for payroll or any shared files, could you please help</t>
  </si>
  <si>
    <t>kitty sison - temporary thin print license</t>
  </si>
  <si>
    <t>hello mnp it,
starting this friday january 29, kitty sison will be providing some temporary admin support and will require a thin print license.
this will be in place for the month of february.
please assign kitty a thin print license and then review again on march 1, 202
edmonton main: 780.463.514
www.alignortho.com</t>
  </si>
  <si>
    <t>scribe transcribed your voicemail message. on sun jan 24 2021 16:15 said: 
hi there my name is breanna-rodnick(?) i'm with the acs eight. i have been asked to quote ticket number 135-010. thank you. bye bye.
you have a new voicemail message.
new voice message
--- 
(
--- 
--- 
time:sun jan 24 2021 16:15 mst
--- 
duration:00:33
---
vm-id:22817
month to date usage: 19 messages / 00:11:18 (hh:mm:ss)</t>
  </si>
  <si>
    <t>re: ecdc "connect with us"</t>
  </si>
  <si>
    <t>carry perrierÂ Â 
administrative assistantÂ Â 
edmonton community development companyÂ Â 
phone: (
the edmonton cdc is transforming 10 derelict properties into neighbourhood assets:
learn more about ourÂ project 10Â initiative on our website!
date: monday, january 25, 2021 at 9:4 (ext. 
the edmonton cdc is transforming 10 derelict properties into neighbourhood assets:
learn more about ourÂ project 10Â initiative on our website!
date: saturday, january 23, 2021 at 7:01 pm
i am sure this is phishing but send to our tech people to see it.
and ask them to contact me at my email address to update me on the status of our domains as they are the ones who hold our domains- Â thanks
get outlook for ios
neighbourhood: xa2kjg7k
affiliations: r8s20-01-24
your immediate attention to this message is absolutely necessary!
your domain edmontoncdc.org will be terminated within 2&amp;p=v1
if we do not receive your payment within 2&amp;p=v1
act immediately.
the submission notification edmontoncdc.org will expire within 24 hours after reception of this email
--
this e-mail was sent from a contact form on ecdc (https://edmontoncdc.org)</t>
  </si>
  <si>
    <t>good morning,
i need to get a vpn login so that i can sync my user account for some of our windows apps that i cannot access currently since password updates. i work from home and since the change have not been able to access teams or my onedrive. i like to work off the vpn as the internet speed is much better without, so i also need to be sure there wonâ€™t be access issues to those apps while offline.
chris vandewark Â  Â _div. manager, pipe supports
d:780.770.907Â  Â c: 
 Â  Â cts-industries.com</t>
  </si>
  <si>
    <t>problems with logging in</t>
  </si>
  <si>
    <t>hello,
it appears that wes is locked out of his desktop.Â  he tried emailing mike but received an automated message stating mike is out of the office.Â  can someone please help with this issue?
wesâ€™ number is 250-215-232
f: (
Â -Â www.hsifinancial.com
11420 27th street s.e., suite 223 calgary, ab t2z       3r6
.
"a recommendation from a client is a tremendous compliment, a huge responsibility &amp; can never be taken lightly" â€“ anonymous
this is a confidential communication. the information contained in this e-mail transmission is intended for the use of the individual or entity to which it is addressed and may contain information that is privileged, proprietary, confidential, and exempt from disclosure. if you are not the intended recipient or the person responsible for delivering the material to the intended recipient, you are notified that any dissemination or copying of this communication is strictly prohibited. if you have received this communication in error, please notify the sender immediately by telephone and destroy this material accordingly.
**we at hsi financial group would like to assure you that we are committed to the health and protection of our clients and colleagues. we are actively taking measures to mitigate the spread of covid-19 and to sustain a healthy and safe workplace. if you have traveled outside canada within the past 14 days, or if you are experiencing any symptoms related to the covid-19 virus, we ask that you do not enter the office. for the time being, drop-ins are not permitted and all necessary in-office meetings are by appointment only. if you have an appointment, please do not arrive more than 5 minutes before your scheduled time. should you need to contact us immediately, please do so by calling the office or by email.**</t>
  </si>
  <si>
    <t>re: marketing drive proposal saving access</t>
  </si>
  <si>
    <t>i agree completely with this. Â 
letâ€™s make it happen.
sent from my mobile device - excuse any typing errors,
principal
architect saa aaa maa aibc oaa mraic leed ap
group
on jan 23, 2021, at 10:46 am, nyle segovia &lt;&gt; wrote:
ï»¿
hi anneliese and mnp,
we will need andreaâ€™s help on another proposal (p20 131) and so she will need the ability to save in the folder. rather than doing this on a proposal to proposal basis would we be able to give andrea ruether access to save in all of the â€œ2.2 proposalâ€ folders in the marketing drive? this will save time for making these requests, and by the time the request made it through completion last time we found a work-around anyway.
best,
nyle segovia, marketing
group2
architecture interior design ltd.
630c-10th street e saskatoon sk s7h 0g9
t + ext. 607
group2.ca
group2 is committed to being both responsive and responsible in navigating these extraordinary times with everyoneâ€™s safety in mind. since the outset of the covid-19 situation, we have enabled our employees to work remotely, allowing us to continue business operations and maintain our client commitments.</t>
  </si>
  <si>
    <t>windpws and ms exchangre activation issue</t>
  </si>
  <si>
    <t>good moirning
since i got this laptop i keep on getting this message please advise how to activate exchange and window</t>
  </si>
  <si>
    <t>[jira] (og-1074) sharepoint security information needed</t>
  </si>
  <si>
    <t>automation for jira made 1 update.Â les kondejewski added 1 new comment.Â  ontario genomics/og-1074 sharepoint security information needed 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
automation for jira made 1 update.Â les kondejewski added 1 new comment.Â 
ontario genomics
/Â Â    Â  og-1074
 sharepoint security information needed 
updates
  automation for jira  9:58Â amÂ est
status: waiting for customer  waiting for support
comments
  les kondejewski  9:58Â amÂ est
hi jafaru
i will call you monday morning</t>
  </si>
  <si>
    <t>bad email??</t>
  </si>
  <si>
    <t>good morning, haitao,
iâ€™ve received two emails from you this morning that look fairly suspicious (see picture of it below).
iâ€™m deleting them.
iâ€™m betting this email has been sent to others on your contact list.</t>
  </si>
  <si>
    <t>edmonton studio - small boardroom computer
cable between computer and monitor is loose and seems to be the cause of display going dark when computer is in use. please review when on site - doug has direct experience with problem if site tech needs more information.
 no  
 some  
 work impacting</t>
  </si>
  <si>
    <t>spam blocking for practice advisor account</t>
  </si>
  <si>
    <t>there has been a large increase in the volume of spam and phishing emails received recently through  account.Â  i have been adding blocked addresses through the sophos system for myrkrebes account but not able to do the same for the practice advisor account.Â  ideally, it would be nice to simply copy all the blocks set up under therkrebes account for the practice advisor account.
i am not sure whether there is any spam block management is happening on any of the other role-based email versus email accounts.
please advise on potential options.</t>
  </si>
  <si>
    <t>issues accessing vpn
i forgot my password to the vpn (again). (sorry.)
 yes  
 one  
 minor inconvenience</t>
  </si>
  <si>
    <t>carya - board action: restore security access and revoke specific user access</t>
  </si>
  <si>
    <t>matt patrick
manager, operational alignment
ph.Â +       ext  4 st se
calgary,       ab
t2g2w3
mnp.ca 
hi matt,</t>
  </si>
  <si>
    <t>fw: crystal glass sherwood park panasonic phone not working</t>
  </si>
  <si>
    <t>please see email below from crystal glass concerning a panasonic phone that is not working.
please schedule terry to look after this for the client.
shawn parks
business development
ph.Â +       ext 321
14505 114th avenue nw
edmonton,       ab
t5m2y8
mnp.ca 
hey shawn,
i just spoke to the manager at the branch again and clarified that they already have the phone but it is not working. could we just set up a service call to track down the issue?</t>
  </si>
  <si>
    <t>urgent: shaw business   security and configuration information</t>
  </si>
  <si>
    <t>we are switching our internet at our sherwood park office to reduce costsâ€¦
please see below, can we get the ip address ready to change when this happens?
business process manager
t:       +
c:       +
f:       +
e:       
w:       www.siterg.com
#170, 120 pembina rd., sherwood park, ab, t8h 0m2</t>
  </si>
  <si>
    <t>[jira] (tiap-1004) urgent - computer crashed</t>
  </si>
  <si>
    <t>phil goldbach added 1 new comment. toronto innovation acceleration partners/tiap-1004 urgent - computer crashed 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
phil goldbach added 1 new comment.
toronto innovation acceleration partners
/Â Â    Â  tiap-1004
 urgent - computer crashed 
  phil goldbach  8:48Â amÂ est
good morning. reminder that i need to schedule a drop-off for my laptop asap. please let me know by email the way to arrange this. 
many thanks, 
phil
sent from my iphone
on jan 22, 2021, at 5:18 pm, jafaru akemokwe &lt;&gt; wrote:ï»¿
view issue
get jira notifications on your phone! download the jira cloud app for android or ios.
manage notifications   Â â€¢Â    give feedback   Â â€¢Â    privacy policy</t>
  </si>
  <si>
    <t>marketing drive proposal saving access</t>
  </si>
  <si>
    <t>hi anneliese and mnp,
we will need andreaâ€™s help on another proposal (p20 131) and so she will need the ability to save in the folder. rather than doing this on a proposal to proposal basis would we be able to give andrea ruether access to save in all of the â€œ2.2 proposalâ€ folders in the marketing drive? this will save time for making these requests, and by the time the request made it through completion last time we found a work-around anyway.
best,
, marketing
group2
architecture interior design ltd.
630c-10th street e saskatoon sk s7h 0g9
t + ext. 607
group2.ca
group2 is committed to being both responsive and responsible in navigating these extraordinary times with everyoneâ€™s safety in mind. since the outset of the covid-19 situation, we have enabled our employees to work remotely, allowing us to continue business operations and maintain our client commitments.</t>
  </si>
  <si>
    <t>hi there, i cannot open any pdf files in adobe. for some reason my adobe acrobat isn't working.</t>
  </si>
  <si>
    <t>automation for jira made 1 update.Â les kondejewski added 1 new comment.Â  ontario genomics/og-1074 sharepoint security information needed 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
automation for jira made 1 update.Â les kondejewski added 1 new comment.Â 
ontario genomics
/Â Â    Â  og-1074
 sharepoint security information needed 
updates
  automation for jira  3:02Â pmÂ est
status: waiting for customer  waiting for support
comments
  les kondejewski  3:02Â pmÂ est
hi,</t>
  </si>
  <si>
    <t>fw: westerraequipmen/ 1vrf102y0e1000317</t>
  </si>
  <si>
    <t>good morning,
i received the below spam email this morning.</t>
  </si>
  <si>
    <t>jason murray</t>
  </si>
  <si>
    <t>hi,
can we still get access to jason murrayâ€™s old emails?
,Â cpa, cma
cfo
tel:</t>
  </si>
  <si>
    <t>hi there,
please create a pulse email account for our new hire: alyssia baller.Â 
**please add her to the ccs email group as well.</t>
  </si>
  <si>
    <t>domain information</t>
  </si>
  <si>
    <t>hello,
i am trying to get our domain pointed in the right direction so that we can launch a new website. are you able to re-point the domain based on the attached image?
let me know if you have any questions.</t>
  </si>
  <si>
    <t>remove email forwarding from kevin clulow
kevin hasn't been with the acsa for almost a year. i am getting some spam emails under his email address and i would like all of his emails to stop being forwarded to me.
 no  
 one  
 minor inconvenience</t>
  </si>
  <si>
    <t>voicemail from (780) 690-6288 -  received sat jan 23 2021 07:40 mst</t>
  </si>
  <si>
    <t>scribe transcribed your voicemail message. on sat jan 23 2021 07:4 or alternatively you can contact daniella at paul she's working her sections today and that phone number is 780-570-999
--- 
--- 
time:sat jan 23 2021 07:40 mst
--- 
duration:00:38
---
vm-id:20465
month to date usage: 17 messages / 00:10:06 (hh:mm:ss)</t>
  </si>
  <si>
    <t>delete email
delete email account for tiffany bellerose.
 no  
 one  
 minor inconvenience</t>
  </si>
  <si>
    <t>- dunne, trina - new hire, january 18, 2021</t>
  </si>
  <si>
    <t>good afternoon,
sorry for sending this later than usual but please see attached trina dunneâ€™s new hire form effective january 18, 202 c: 403.619.712
180, 839 5 ave sw  calgary, ab  t2p 3c8
carya (formerly calgary family services)
we are working remotely to help calgarians through the covid-19 pandemic. please reach out to us if you need support.carya is here for you.
in the spirit of our efforts to promote reconciliation, we acknowledge the traditional territories and oral practices of the blackfoot, the tsuut'ina, the stoney nakoda first nations, the mÃ©tis nation region 3, and all people who make their homes in the treaty 7 region of southern alberta. we also respectfully acknowledge that the province of alberta is comprised of treaty 6, treaty 7, and treaty  during business hours (monday-friday, 8:30am-4:3) and in case of an emergency dial 911.
this e-mail is intended solely for the person or entity to which it is addressed and may contain confidential and/or privileged information. any review, dissemination, copying, printing, forwarding or other use of this e-mail by persons or entities other than the addressee is prohibited. if you have received this e-mail in error, please contact the sender immediately and delete the material from your computer.</t>
  </si>
  <si>
    <t>back up file required
can i get the tekla model c-21-263 back up files. while working in the main model this morning some data were accidently deleted and saved. the file is located o:\tekla models\teklastructuresmodels\~c contracts\c-21-contracts\c-21-263 epdcor distribution &amp; transmission
 no  
 one  
 unable to work</t>
  </si>
  <si>
    <t>good afternoon,
this is a request to please move the prime time folder that is currently sitting under shared-sfc/programs to shared-mwc folder. the only people that should have read and write access to this prime time folder are: rebecca inthof, meagan grabst, marije van engelen, shauna pivarnyik and corinne zimmerman.
you may also remove deanne kobelsky, angela blakely-elliott and susan herman access to the prime time folder.
please let me know if you have any questions.</t>
  </si>
  <si>
    <t>good morning, i am having two issues while working from home:
1. on my laptop, i need to be out of the cloud in order to join zoom meetings with my laptop audio/video. i cannot access my email outside the cloud in order to get the meeting invite. i could access email outside the cloud yesterday, but today i get this message:
1. i need to show a powerpoint in my upcoming zoom meeting. the file is inside the cloud. i cannot seem to save it anywhere where i can access it outside the cloud (while in zoom). i tried emailing it to myself, but i canâ€™t access my email outside the cloudâ€¦
can you help?
wendy oâ€™brien
local staff administrator
edmonton public local no. 37
alberta teachersâ€™ association
#401, 11010 â€“ 142 street
edmonton, alberta t5n 2r</t>
  </si>
  <si>
    <t>can you please rest the password to  and send the new log in credentials to</t>
  </si>
  <si>
    <t>- david, why do i have this.  i can't search my emails which i need to do?????</t>
  </si>
  <si>
    <t>capital paper recycling ltd.
10595 50th street se
calgary, ab
t2c 3e
fax:
effective immediately, due to the unsecured nature, we cannot accept interac e-transfers. *unless authorized by .
the information in this email and any attachments is sent by capital paper recycling ltd. and is intended to be confidential and for the use of only the individual or entity named above. the information may be protected by solicitor-client privilege, work product immunity or other legal principles. if the reader of this message is not the intended recipient, you are notified that unauthorized review, retention, dissemination, distribution, copying or other use of or taking any action in reliance upon this information is strictly prohibited. 
if you received this email in error, please notify us immediately by email reply and delete or destroy this message and any copies.</t>
  </si>
  <si>
    <t>telephone number move for</t>
  </si>
  <si>
    <t>darryl from  called and he would like us to move  to set up the appointment.</t>
  </si>
  <si>
    <t>lenny hansen's infinity email</t>
  </si>
  <si>
    <t>good morning,
has the outlook on lenny hansenâ€™s computer been formatted so that he get access his infinity email account?</t>
  </si>
  <si>
    <t>hey there,
just need a couple of email addresses set up:
if we donâ€™t already have one for casey smith 
then we need a group email for our neurology department , which needs to include , , and 
let me know if you have any questions!</t>
  </si>
  <si>
    <t>- sage 50 update</t>
  </si>
  <si>
    <t>hi there,
let us know if this can be installed after 3:30 pm next friday.. i have permission from lisa on time.. please confirm if it will work at your end..
https://www.sage.com/en-ca/cp/important-sage-5
information specialist
suite 2160, 10123 99th street, edmonton, ab,t5j 3hÂ ext. 20 e:Â www.cea.ca
cea â€“ thebusiness voice of the consulting engineering industry since 1978</t>
  </si>
  <si>
    <t>re: installation request</t>
  </si>
  <si>
    <t>these parts are now received and ready for the install to be scheduled.Â 
please let us know your availability and i will confirm with the client.</t>
  </si>
  <si>
    <t>[jira] (jlabs-416) port activation</t>
  </si>
  <si>
    <t>automation for jira made 1 update. johnson and johnson innovation/jlabs-416 port activation 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
automation for jira made 1 update.
johnson and johnson innovation
/Â Â    Â  jlabs-416
 port activation 
  automation for jira  9:24Â amÂ est
status: waiting for support  waiting for customer
view issue
get jira notifications on your phone! download the jira cloud app for android or ios.
manage notifications   Â â€¢Â    give feedback   Â â€¢Â    privacy policy</t>
  </si>
  <si>
    <t>[jira] automation for jira assigned tiap-1004 to you - urgent - computer crashed</t>
  </si>
  <si>
    <t>automation for jira assigned this issue to you
toronto innovation acceleration partners/tiap-1004 urgent - computer crashed 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
automation for jira assigned this issue to you
toronto innovation acceleration partners
/Â Â    Â  tiap-1004
 urgent - computer crashed 
  automation for jira  9:56Â amÂ est
assignee: unassigned  jorge bustamante
view issue
get jira notifications on your phone! download the jira cloud app for android or ios.
manage notifications   Â â€¢Â    give feedback   Â â€¢Â    privacy policy</t>
  </si>
  <si>
    <t>remove users from  distribution list</t>
  </si>
  <si>
    <t>good afternoon,
can we please have the following names removed from the distribution list of  as they are no longer with the company:
-Â Â Â Â Â Â Â Â Â amanda trundle
-Â Â Â Â Â Â Â Â Â andrew dowdall
-Â Â Â Â Â Â Â Â Â angela ricard
-Â Â Â Â Â Â Â Â Â natasha burdeyney
-Â Â Â Â Â Â Â Â Â temp user
-Â Â Â Â Â Â Â Â Â toni fagan</t>
  </si>
  <si>
    <t>phil goldbach added 1 new comment. toronto innovation acceleration partners/tiap-1004 urgent - computer crashed 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
phil goldbach added 1 new comment.
toronto innovation acceleration partners
/Â Â    Â  tiap-1004
 urgent - computer crashed 
  phil goldbach  2:36Â pmÂ est
can i call you at 3:15pm et?
sent from my iphone
on jan 22, 2021, at 1:54 pm, jafaru akemokwe &lt;&gt; wrote:ï»¿
view issue
get jira notifications on your phone! download the jira cloud app for android or ios.
manage notifications   Â â€¢Â    give feedback   Â â€¢Â    privacy policy</t>
  </si>
  <si>
    <t>fw: new year report:22nd of january</t>
  </si>
  <si>
    <t>good morning,
just want to let you know that i have been receiving several of these scam emails again this month. please see below.
i have just been deleting them but want to make you aware.</t>
  </si>
  <si>
    <t>- add name to 2020-21 address book (school reps)</t>
  </si>
  <si>
    <t>can you please add the following name to the list:
jolene stromecky â€“</t>
  </si>
  <si>
    <t>bad call quality
hi team,
jafaru is still experiencing bad call quality when using the softphone and a headset from home. he's having to forward his calls to his cell phone. can we get him a deskphone or figure out what's going on with his softphone?</t>
  </si>
  <si>
    <t>virus protection</t>
  </si>
  <si>
    <t>good morning, i am trying to install norton software on my home office computer and it states that sophos interfering.Â  appears i canâ€™t remove this software without assistance.Â  please advise.
capital paper recycling ltd.
10595 50th street se
calgary, ab
t2c 3e
fax:
effective immediately, due to the unsecured nature, we cannot accept interac e-transfers. *unless authorized by .
the information in this email and any attachments is sent by capital paper recycling ltd. and is intended to be confidential and for the use of only the individual or entity named above. the information may be protected by solicitor-client privilege, work product immunity or other legal principles. if the reader of this message is not the intended recipient, you are notified that unauthorized review, retention, dissemination, distribution, copying or other use of or taking any action in reliance upon this information is strictly prohibited. 
if you received this email in error, please notify us immediately by email reply and delete or destroy this message and any copies.</t>
  </si>
  <si>
    <t>phil goldbach added 1 new comment. toronto innovation acceleration partners/tiap-1004 urgent - computer crashed 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
phil goldbach added 1 new comment.
toronto innovation acceleration partners
/Â Â    Â  tiap-1004
 urgent - computer crashed 
  phil goldbach  10:4
sent from my iphone
on jan 22, 2021, at 5:18 pm, jafaru akemokwe &lt;&gt; wrote:ï»¿
view issue
get jira notifications on your phone! download the jira cloud app for android or ios.
manage notifications   Â â€¢Â    give feedback   Â â€¢Â    privacy policy</t>
  </si>
  <si>
    <t>sage password reset</t>
  </si>
  <si>
    <t>i need a sage password reset please.Â  i think i recently changed it and ???????</t>
  </si>
  <si>
    <t>asem eldib made 1 update. toronto innovation acceleration partners/tiap-1004 urgent - computer crashed 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
asem eldib made 1 update.
toronto innovation acceleration partners
/Â Â    Â  tiap-1004
 urgent - computer crashed 
  asem eldib  9:59Â amÂ est
priority: highest  high
view issue
get jira notifications on your phone! download the jira cloud app for android or ios.
manage notifications   Â â€¢Â    give feedback   Â â€¢Â    privacy policy</t>
  </si>
  <si>
    <t>kate p - access to inboxes</t>
  </si>
  <si>
    <t>good morning,
this is a request to please grant  access to the following inboxes:
-Â Â Â Â Â Â Â Â Â philanthropy
-Â Â Â Â Â Â Â Â Â jennifer moir
-Â Â Â Â Â Â Â Â Â denise meade
please let me know if you have any questions.</t>
  </si>
  <si>
    <t>trouble with deskdirector for oarrie (nd-l-3627)</t>
  </si>
  <si>
    <t>new idea or request  
 other  
trouble with deskdirector for oarrie on nd-l-3627
 more than once per week  
tip: if this is for a new dashboard or report, you could sketch up a concept on a napkin, in paint, or excel, and attach it to this request.  
oarrie is having trouble with the mnp client portal on nd-l-3627.  it looks like he is seeing all tickets and he was having trouble with the email token, as follows:
-------------
request id: 80eda922-a285-40ad-ad29-cb95dfb0aa00
correlation id: db4db1ff-85ba-413b-8eae-c018a1c1a921
timestamp: 2021-01-21t20:39:12z
message: aadsts7000112: application 'd27c2c00-aa5e-49a8-8277-bfbd8bf975e1'(deskdirector) is disabled.
------------
please reinstall deskdirector or proceed as you see fit to resolve.  ticket #1350258</t>
  </si>
  <si>
    <t>fw: office 365</t>
  </si>
  <si>
    <t>hi team,
, our previous client (nyhoff) has requested assistance with their o365.
can you please assist this client as an hourly?</t>
  </si>
  <si>
    <t>can we please have a new email created for mike hurst Â 
please take the microsoft office 5 11</t>
  </si>
  <si>
    <t>fw: quote request - lenovo laptops</t>
  </si>
  <si>
    <t>partner
ph. +
14505 114th avenue nw
edmonton, ab
t5m2y8
mnp.ca</t>
  </si>
  <si>
    <t>quote request - ideal insulation - alicia archibald - new pc</t>
  </si>
  <si>
    <t>ideal insulation
alicia is requesting for a new pc
alicia archibald - new pc
 someone else  
trevor brown, 
calgary
 next digital calgary  
thu 28 jan, 2021  
 no  
 desktop computer  
 recommended tier - i5, 8gb ram, 256 gb ssd, 3 year warranty  
1
please quote a pc.
 no  
workstation pc</t>
  </si>
  <si>
    <t>rafferty langit</t>
  </si>
  <si>
    <t>are you able to reset the password for rafferty.
we need to access his old emails.
best regards,
  assistant to executives   
tel:   Â  www.lexusofedmonton.ca
 family member since 2014</t>
  </si>
  <si>
    <t>- quote - 2 production workstations - edmonton studio</t>
  </si>
  <si>
    <t>quote - 2 production workstations - edmonton studio
please provide a quote for two new workstations
 no  
 some  
 other</t>
  </si>
  <si>
    <t>new employee
cassie bernard - lpn team 
start date january 28.2021
un
pw
ea
 no  
 one  
 other</t>
  </si>
  <si>
    <t>slow computers</t>
  </si>
  <si>
    <t>jorge bustamante
team lead, support specialist
ph.Â +
14505 114th avenue nw
edmonton,       ab
t5m2y
300 - 340 king st. e
toronto, on
m5a 1k8
mnp.ca
hi asem:
speaking of ms, my outlook on my home pc keeps freezing with the little blue circle. it is very annoying. i have rebooted many times but the service level is intolerable. i do not encounter that problem on my laptop. would you be able to run a session and check out my home system? i also need you to run a Â Â session on my office pcÂ  (i will be there tomorrow) because it takes 5 minutes to reboot, and i usually have to restart it twice to get it operating properly. something isnâ€™t right.
let me know if you can help.</t>
  </si>
  <si>
    <t>hi mnp,
as a newly minted manager at mhk, can you please provide vanessa pierce with access to the management (m:) drive and all its folders,with the exception of the financial reports folder, which should only be accessible to jill repchuk and jana lumsden.</t>
  </si>
  <si>
    <t>next digital - edmonton office shaw maintenance chg0302811 - january 27, 2021 12:00 am to 6:00 am</t>
  </si>
  <si>
    <t>6-hour scheduled maintenance next wednesday morning.
i cannot find documentation for a shaw fibre circuit in our edmonton office.
we should find out what this will affect and send a scheduled outage notification.
shaw)Â business
maintenance advisory details
this notice is to inform you of maintenance being performed to our network which will affect your service(s) for the impact duration noted below within the planned maintenance time. site access is not required unless specified. planned upgrade and maintenance to our network helps prevent unexpected outages and provides the best in class service for our customers at no additional cost. every effort will be taken to minimize service interruptions and we apologize for any inconvenience.
ticket number:
chg0302811 - planned
event description:
forced fibre relocation
planned start date:
january 27, 2021 12:00 am (mountain time)
planned end date:
january 27, 2021 06:00 am (mountain time)
impact duration:
outage up to 6 hours
customer name:
next digital inc
bpso
circuit
10496
26275eded
a:15 114 ave, edmonton, alberta
please do not reply to this email. if your service remains impacted upon the conclusion of the planned maintenance, please contact our network operations centre (noc) using the following methods:
shaw business noc:  
for any technical or after hour inquiries 
account inquiries or updates 
this message is sent to you by shaw telecom g.p. which carries on business as
shaw business our national address is 3636 23 avenue ne, calgary, alberta, t2e 8z5
privacy policy  terms of use
Â© 2020 shaw communications inc. all rights reserved.
this message is confidential and may contain privileged information. we ask that you not use or disclose this message other than with our consent. if you are not an intended recipient, please immediately notify us and delete this message. thank-you.</t>
  </si>
  <si>
    <t>see your report.Â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 ---
---
user at risk detected
we detected a new user with at least high risk in your  directory. this might be because we noticed suspicious account activity or we found their emails and passwords posted in a public location.
--- ---
--- 
view detailed report &gt;
--- ---
---
--- ---
--- 
privacy statement
microsoft corporation, one microsoft way, redmond, wa 98052
--- ---
---</t>
  </si>
  <si>
    <t>fw: quote request - microsoft surface  - matthew nasby</t>
  </si>
  <si>
    <t>hello,
can you please send me a quote for a new surface for matthew nasby to replace his existing one.</t>
  </si>
  <si>
    <t>important: confirmation of delegated administration changes</t>
  </si>
  <si>
    <t>confirmation: next digital inc. no longer has administrative permissions.
confirmation: next digital inc. no longer has administrative permissions.Â Â view this email in your browser.
next digital inc. no longer has administrative permissionsÂ 
organization: 
name:  mnp admin
user id:  
this message confirms that next digital inc. has been removed from the delegated administrator list for your microsoft online services account by your company representative, 
partner support information:delegated administrator:next digital inc.
e-mail address:
phone number:7802-6399 usa</t>
  </si>
  <si>
    <t>unifi controller - e4c - new location
require a new location created on the unifi controller
e4c - alex taylor
will have to also confirm fortinet has the setup to have use between both the unifi aps and fortiaps
 no  
 one  
 other</t>
  </si>
  <si>
    <t>ssa cloud &amp; microsoft product key
the ssa cloud keeps disconnecting it happens quite frequently and randomly, interent as far as i know is not the issue as chrome still works. i also need a product key for the microsoft office. thank you in advance
 no  
 one  
 minor inconvenience</t>
  </si>
  <si>
    <t>[jira] automation for jira assigned jlabs-422 to you</t>
  </si>
  <si>
    <t>automation for jira assigned this issue to you
johnson and johnson innovation/jlabs-422 list of jlabs active ports 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
automation for jira assigned this issue to you
johnson and johnson innovation
/Â Â    Â  jlabs-422
 list of jlabs active ports 
  automation for jira  2:35Â pmÂ est
assignee: unassigned  chuck corvec
view issue
get jira notifications on your phone! download the jira cloud app for android or ios.
manage notifications   Â â€¢Â    give feedback   Â â€¢Â    privacy policy</t>
  </si>
  <si>
    <t>microphone and printer</t>
  </si>
  <si>
    <t>good morning ,
i require a microphone for my computer and also our printer from behind our advisors relocated .
please see me for more details.
best regards
  service manager   
tel:    Â www.lexusofedmonton.ca
 family member since 2002</t>
  </si>
  <si>
    <t>new hard drive and ram for x-2.  at the next site visit please work on this upgrade, and advise joey when done.  thanks!
 no  
 one  
 other</t>
  </si>
  <si>
    <t>outlook delays</t>
  </si>
  <si>
    <t>hi there:
my outlook has been very slow lately and is showing 11 messages sitting in my outbox, some of which people have responded to. when i switch between my personal inbox and our general email inboxes (yeg and grants) they are slow to load. this delay starting happening earlier this week. iâ€™m wondering if someone can help me with this situation.</t>
  </si>
  <si>
    <t>barbara morgan - ost file size limit reached</t>
  </si>
  <si>
    <t>hi there,
i keep getting this error message. can you please urgently assist me?
barbara morgan
capital paper recycling ltd
10595 50 street se
calgary, ab t2c 3e
effective immediately, due to the unsecured nature, we cannot accept interac e-transfers. *unless authorized by kim burns.
the information in this email and any attachments is sent by capital paper recycling ltd. and is intended to be confidential and for the use of only the individual or entity named above. the information may be protected by solicitor-client privilege, work product immunity or other legal principles. if the reader of this message is not the intended recipient, you are notified that unauthorized review, retention, dissemination, distribution, copying or other use of or taking any action in reliance upon this information is strictly prohibited. 
if you received this email in error, please notify us immediately by email reply and delete or destroy this message and any copies.</t>
  </si>
  <si>
    <t>good morning mnp,
im having some issues logging into my vpn.
can you please call me at ?</t>
  </si>
  <si>
    <t>original email sent to zach. could dan shaw call me please at . the issue is on my laptop.</t>
  </si>
  <si>
    <t>forms
window for downloading health care card application form gives message, please wait, and download latest version of adobe reader.  does not display for to print form.
 no  
 one  
 work impacting</t>
  </si>
  <si>
    <t>no access to adobe
i cant open pdf files anymore, seems like i need a liscence to open adobe
 no  
 one  
 work impacting</t>
  </si>
  <si>
    <t>it glue opening folder rather than specific file
i have only noticed this if the file i am trying to open is a pdf file. specifically this happens a lot when lokking for info for igloo. i'll give an example. if i am on igloo's page and i search for adobe. a number of results will pop up. two of them are pdf files. if i click on one of them, rather than opening the file it takes me to the folder where the file is. if it is a large list i have to search again to find it
 no  
 everyone  
 minor inconvenience  
308</t>
  </si>
  <si>
    <t>- new user request :: barry taylor</t>
  </si>
  <si>
    <t>carya - rachel - new user request :: barry taylor
rachel is requesting for barry to have access everything of linda's as he's stepping in for her and doing all the finances while she's away.
barry doesn't seem to have an account so creating a request, please reach out to amin as he's aware of this request. user form is probably needed from rachel.
she's requesting to treat as urgent as barry will be there tomorrow.
 no  
 one  
 unable to work</t>
  </si>
  <si>
    <t>hi amin,
where are we at with renewing the adobe licence? having the message pop up every time i open a pdf is getting pretty annoying.</t>
  </si>
  <si>
    <t>vmware renewal - support expires 28-mar-2021</t>
  </si>
  <si>
    <t>the primary contact in connectwise  
sherwoofd park
1350252
 next digital edmonton  
fri 29 jan, 2021  
renewal for:
https://ndconnect.nextdigital.ca/v4_6_release/services/system_io/router/openrecord.rails?locale=en_us&amp;recordtype=configfv&amp;companyname=nextdigital&amp;recid=867</t>
  </si>
  <si>
    <t>fw: purpose of safety googles</t>
  </si>
  <si>
    <t>hi there,
please note that the following staff have been granted access to the agency leaders folders:
brenda kotylak
leanna andrews
courtney cox
here is the link:
n:\leaders\agency leaders
call me if you have any questions.</t>
  </si>
  <si>
    <t>hi there,
i had a new computer set up last week.
now i am having a problem when i try to use my profile tax software - it doesn't like the path - i think it doesn't like the name of the user - we have it as rhonda.weston and it doesn't know how to recognize the dot in the name.Â  is it possible to change this user name at this point?</t>
  </si>
  <si>
    <t>computer exceptionally slow</t>
  </si>
  <si>
    <t>hi there,
wondering if someone could check into my computer as it has started slowing down over the past week and at times is exceptionally slow and impeding work. i am best available between 12noon and .</t>
  </si>
  <si>
    <t>microsoft edge sign in</t>
  </si>
  <si>
    <t>hi,  
is there way automate user sign-ins on microsoft edge for all through gpo?</t>
  </si>
  <si>
    <t>[jira] automation for jira mentioned you on jlabs-416</t>
  </si>
  <si>
    <t>automation for jira mentioned you on an issue
johnson and johnson innovation/jlabs-416 port activation 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
automation for jira mentioned you on an issue
johnson and johnson innovation
/Â Â    Â  jlabs-416
 port activation 
  automation for jira  1:39Â pmÂ est
hey @james anderson,
this ticket will breach its time to resolution sla in 60 minutes. you should action or reassign it as soon as possible.
note: if it reaches 15 mins to time to resolution sla breach, it will escalate to pagerduty and notify the on-call team member.
view issue
get jira notifications on your phone! download the jira cloud app for android or ios.
manage notifications   Â â€¢Â    give feedback   Â â€¢Â    privacy policy</t>
  </si>
  <si>
    <t>fw: fm hub email fwd</t>
  </si>
  <si>
    <t>hi there,
can you please have the fm hub email removed from tanya tellier and forwarded to marina aleeve.
let me know if you have any questions,</t>
  </si>
  <si>
    <t>lifestyles financial</t>
  </si>
  <si>
    <t>good morning.
this is jj here with lifestyles financial. i am having an issue with my computer the last two weeks. it will all of a sudden shut down with no warning. when it does the surge protector/ backup battery will beep as it turns off. i am able to turn the com back on no issues within a couple minutes but i have lost a couple small emails when its happened. i was hoping we could open a ticket and you could advise me how to proceed</t>
  </si>
  <si>
    <t>fw: plant operations drive</t>
  </si>
  <si>
    <t>hello david
elliot and myself are missing the new â€œplant operationsâ€ drive/folder you created.Â  iâ€™ve run the login script from my desktop but it didnâ€™t map the new drive..Â  eliot will re-boot his desktop over lunch, but appreciate if you can investigate and advise</t>
  </si>
  <si>
    <t>my surface is extremely slow</t>
  </si>
  <si>
    <t>hello,
i am running into all sorts of performance issues with my surface tablet. i try to close out what isnâ€™t necessary to speed things up, however it really doesnâ€™t help. the surface also seems to be running really hot too. i donâ€™t know how old this tablet is or if there is other items running in the background that i donâ€™t know of, but i am hoping this can be looked at.
i should be available between 2-330 today.
matthew nasby, crsp, csp, cit, p. gscÂ Â cor manager
225 parsons road sw Â edmonton abÂ Â t6x 0w ext. 185 Â tfÂ )
www.youracsa.ca</t>
  </si>
  <si>
    <t>fw: your mailbox is almost full.</t>
  </si>
  <si>
    <t>hello,
as per martinâ€™s request below, could you please expand his outlook mailbox so he has more room?</t>
  </si>
  <si>
    <t>has added 1 license(s) to their adobe account. Â â€ŒÂ â€ŒÂ â€ŒÂ â€ŒÂ â€ŒÂ â€ŒÂ â€ŒÂ â€ŒÂ â€ŒÂ â€ŒÂ â€ŒÂ â€ŒÂ â€ŒÂ Â â€ŒÂ â€ŒÂ â€ŒÂ â€ŒÂ â€ŒÂ â€ŒÂ â€ŒÂ â€ŒÂ â€ŒÂ â€ŒÂ â€ŒÂ â€ŒÂ â€ŒÂ Â â€ŒÂ â€ŒÂ â€ŒÂ â€ŒÂ â€ŒÂ â€ŒÂ â€ŒÂ â€ŒÂ â€ŒÂ â€ŒÂ â€ŒÂ â€ŒÂ â€ŒÂ Â â€ŒÂ â€ŒÂ â€ŒÂ â€ŒÂ â€ŒÂ â€ŒÂ â€ŒÂ â€ŒÂ â€ŒÂ â€ŒÂ â€ŒÂ â€ŒÂ â€Œ
dustin, your additional license request has been received.
 has added 1 license(s) to their adobe account.
order details
customer vip number:e5e6e9ebc0dcc4bf902a
po number: c01a19a09c65bccf520a
number of licenses authorized for purchase: 1
date of purchase authorization: 20-january-2021 pst
duration: 2 month(s)
anniversary date: 22-march-2021 pdt
plan
named-user licenses
acrobat pro dc
1
manage your account  customer support  terms of use
adobe and the adobe logo are either registered trademarks or trademarks of adobe in the united states and/or other countries. all other trademarks are the property of their respective owners.
adobe, 345 park ave., san jose, ca 95110 usa</t>
  </si>
  <si>
    <t>can we get an new email made. basic license. 
password: winter2021</t>
  </si>
  <si>
    <t>access issue - bookkeeper email</t>
  </si>
  <si>
    <t>good day
again, nathalie have an access issue with password.Â  please call her tomorrow on the 2
i would ask this time to seek for a permanent solution.Â  itâ€™s the third or fourth time in a row that sheâ€™s having password issue, please fix it once for all.</t>
  </si>
  <si>
    <t>he there,
please note that  has been granted access to the following folder:
n:\special projects\carf accreditation
she should be able to modify and make edits.
let me know if you have any questions,</t>
  </si>
  <si>
    <t>m.luiza coelho - apple id foe</t>
  </si>
  <si>
    <t>hi,
i need an apple id created for 
let me know when is ready.</t>
  </si>
  <si>
    <t>hi guys.
in my contacts i had them separated into different categories. sometime in the last month or so the categories disappeared and only the recent ones show up.
anything we can do about that?
probably around 2000 to recategorize.
.
rr#4 eckville, alberta
t0m 0x
cellular 
email:
web:www.skocdopole.com</t>
  </si>
  <si>
    <t>please assign to me.
jeff meadows
field services technician
ph.Â 
4922 - 53 st.
red deer,       ab
t4n2e9
mnp.ca 
good morning jeff,</t>
  </si>
  <si>
    <t>carya - rachel - enable user accounts in february
as per rachel:
we have some of our elt team on leave. could you please blocked access to the following:
linda tickner â€“ until feb 22
leanna craig â€“ until feb 1
carolyn frew â€“ until feb 1
these accounts have been disabled on ad, please schedule ticket and enable accounts on the specified dates or night before.
 no  
 one  
 minor inconvenience</t>
  </si>
  <si>
    <t>- assistance with opening and converting ".heic" extension files.</t>
  </si>
  <si>
    <t>hi helpdesk
a client has emailed me fourteen (14) â€œ.heicâ€ extension type files that i cannot open on my computer.
(see sample or example of 2 files attached to this email)
i suspect that they are image-photo files taken or created with an apple device.
can you provide some assistance so that i can open them and insert the images into five (
cell:</t>
  </si>
  <si>
    <t>spam issue
emails from  keep going to my spam filter. i have hit the "allow" button several times but they still go in there.  is there any way to make this stop.
 no  
 one  
 minor inconvenience</t>
  </si>
  <si>
    <t>she should have that access already. when the last ticket was in, her permissions were changed for the o drive. if she has logged off and back on since then, the permissions should have changed. has she actually tried saving yet?
i will confirm with mnp that permissions were granted for the drive, not just the single folder.
hi anneliese and mnp,
we will need andreaâ€™s help on another proposal (p20 131) and so she will need the ability to save in the folder. rather than doing this on a proposal to proposal basis would we be able to give andrea ruether access to save in all of the â€œ2.2 proposalâ€ folders in the marketing drive? this will save time for making these requests, and by the time the request made it through completion last time we found a work-around anyway.
best,
nyle segovia, marketing
group2
architecture interior design ltd.
630c-10th street e saskatoon sk s7h 0g9
t + ext. 607
group2.ca
group2 is committed to being both responsive and responsible in navigating these extraordinary times with everyoneâ€™s safety in mind. since the outset of the covid-19 situation, we have enabled our employees to work remotely, allowing us to continue business operations and maintain our client commitments.</t>
  </si>
  <si>
    <t>new position - veronica ajisola transitional support worker</t>
  </si>
  <si>
    <t>hello,
this email is to notify you of an upcoming employee transfer:
employee name:veronica ajisola Â Â Â 
department: youth housing
job title: transitional support worker Â Â Â 
supervisor: brandie hermary
effective date: january 27, 2021
distribution list &amp; action required
it
rds:request for rds/network access
e-mail:request for outlook account.
e-mail signature set-up:
-Â Â Â Â Â Â Â name: veronica ajisola
-Â Â Â Â Â Â Â position: transitional support worker
-Â Â Â Â Â Â Â program: youth housing program
folder access:
-Â Â Â Â Â Â Â please mirror user gian reyes
-Â Â Â Â Â Â Â request for n:\youth division\2. yhp staff\youth housing programs shared drive
-
staff distribution list:all staff
no shore-tel access required.
please send account details to: brandie hermary ()
payroll/finance
payroll details will be provided once processed.
reception
please update existing employee list.
communications
for information only.
program manager
for information only.
facilities manager
for information only.
if you have any questions or concerns please let me know.</t>
  </si>
  <si>
    <t>fw: messages quarantined since jan 18, 2021 08:00 am for</t>
  </si>
  <si>
    <t>hi there,
can you let me know why barb still receiving vivâ€™s email? the email has been removed from barb account long ago. any update will be great.
m.luizacoelho e ext 132
9321 jasper avenue, edmonton ab t5h 3t7
e4calberta.org</t>
  </si>
  <si>
    <t>adobe editor</t>
  </si>
  <si>
    <t>hello,
can you please assign one of our adobe editor licenses to shauna ()?</t>
  </si>
  <si>
    <t>quote request - lexus - microphone for computer</t>
  </si>
  <si>
    <t>lexus
robert watson
microphone for computer
 someone else  
robert watson
main
1350650
 next digital edmonton  
thu 28 jan, 2021  
 no  
 accessories (mice, keyboards, ram/ssd upgrades etc)  
 other  
microphone.  doesn't need camera, just need a mic
unsure.  leaving to your discretion</t>
  </si>
  <si>
    <t>poundmaker - e3 for cultural advisor</t>
  </si>
  <si>
    <t>poundmaker
1349652
 add licenses  
 office 365 e3  
1
cultural advisor</t>
  </si>
  <si>
    <t>1350111
 add licenses  
 office 365 e3  
1
martin garber-conrad</t>
  </si>
  <si>
    <t>fw: request for 5 workstations</t>
  </si>
  <si>
    <t>good morning,
could you please provide me a quote for 5 workstations, specifications similar to our last order of the dell 3050 micro desktops.</t>
  </si>
  <si>
    <t>-  - new email address -</t>
  </si>
  <si>
    <t>hi,
i hope this message meets you well,
we wish to notify you that as requested by  of  we have created an account for a consultant in the active directory domain with the following details
username:Â Â Â Â Â Â Â Â  taizeel
email address:Â  
we would also wish to notify you that we have performed a manual sync to office 5 114th avenue nw
edmonton,       ab
t5m2y8
mnp.ca</t>
  </si>
  <si>
    <t>site resources - 4-5 cable runs in back garage area</t>
  </si>
  <si>
    <t>we did some office moves here â€“ i am wondering if you can come by and do some cable runs, etcâ€¦
this would be t&amp;m work</t>
  </si>
  <si>
    <t>cw manage access - jenny neville</t>
  </si>
  <si>
    <t>carly is going to be getting some help from jenny on the mnp finance team. she will need to be setup on our system, but do not follow our normal user onboarding process. she should only have a cw manage id with mfa and no other access to our system. (no it glue, no automate, etc.)
give her the same cw manage security access as connie.
once creds are created, youâ€™ll need to reach out to jenny and make sure she can login, and likely assist with getting her mfa working.
let me and carly know when done please.
her details are as follows:
jenny neville
administrative assistant
partner
ph. +
14505 114th avenue nw
edmonton,       ab
t5m2y8
mnp.ca</t>
  </si>
  <si>
    <t>please increase my mailbox size if this is legit.
, cpa, cma
cfo
calmont
your mailbox is almost full.
41324 mb
41779 mb
current size
maximum size
please reduce your mailbox size. delete any items you don't need from your mailbox and empty your deleted items folder.</t>
  </si>
  <si>
    <t>nicole willmer added 1 new comment. johnson and johnson innovation/jlabs-416 port activation 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
nicole willmer added 1 new comment.
johnson and johnson innovation
/Â Â    Â  jlabs-416
 port activation 
  nicole willmer  2:02Â pmÂ est
hi james,
what time is john available on friday? or would he have availability on either monday or tuesday or next week?
kind regards,
nicole
view issue
get jira notifications on your phone! download the jira cloud app for android or ios.
manage notifications   Â â€¢Â    give feedback   Â â€¢Â    privacy policy</t>
  </si>
  <si>
    <t>good afternoon just curious about the apple id. leah has cori spryâ€™s old phone and we need to set up and id for leah, as the previous one was for cori.
leah spoke with apple today and they were unable to help.
what next steps are we looking at.</t>
  </si>
  <si>
    <t>[jira] josh rogers assigned jlabs-419 to you - port activation</t>
  </si>
  <si>
    <t>josh rogers assigned this issue to you
johnson and johnson innovation/jlabs-419 port activation - avicanna 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
josh rogers assigned this issue to you
johnson and johnson innovation
/Â Â    Â  jlabs-419
 port activation - avicanna 
  josh rogers  1:22Â pmÂ est
assignee: josh rogers  james anderson
view issue
get jira notifications on your phone! download the jira cloud app for android or ios.
manage notifications   Â â€¢Â    give feedback   Â â€¢Â    privacy policy</t>
  </si>
  <si>
    <t>installation request - town of mayerthorpe</t>
  </si>
  <si>
    <t>hi,Â 
we have a new installation request for the town of mayerthorpe. please assign this to dave beharrell.
site: town of mayerthorpe -Â  town office
address:Â 4911 5
scope of work:Â add 8 port digital line card, add on vm license,install 2 desk sets. wires to be connected to bix by electrical.Â 
bom list:Â 
nec gcd-8dlca, 8 port digital line card x 1
sv9100 vmbox-lic 01 - voice mail - x 8
nec dtz-12d-3(bk) tel - 12 button digital terminal - x 2
please use po-1800Â 
toll free:Â 
website: Â www.libertysecurity.ca</t>
  </si>
  <si>
    <t>access to a network folder</t>
  </si>
  <si>
    <t>good morning,
can you please provide cassandra and myself to the folder listed below:
cfo
9910-103rd street
edmonton, ab t5k 2v ext 11 (cell)
www.ecfoundation.org
visit ecf on facebook
or follow us on twitter!
no quit, never stop!
disclaimer
this communication is intended for the use of the recipient to whom it is addressed, and may contain confidential, personal or privileged information.Â  please contact us immediately if you are not the intended recipient of this communication, and do not copy, distribute or take action relying on it.Â  any communication received in error, or subsequent reply should be deleted or destroyed.</t>
  </si>
  <si>
    <t>e3 license for fara</t>
  </si>
  <si>
    <t>1349118
 add licenses  
 office 365 e3  
1
fara</t>
  </si>
  <si>
    <t>phishing emails using barb spencer's name</t>
  </si>
  <si>
    <t>myself and connie olson have received phishing messages using barb spencer's name. see attachements. senders have been clocked, pleas advise if we need to take another action.  
_      
 attached files:  
- mail.pdf  
- screenshot 2021-01-22 at 8.32.55 am.jpeg</t>
  </si>
  <si>
    <t>hi jafaru,
a m365 e3 license has been provisioned to  please let us know if any further configuration is required on our part for the new user.</t>
  </si>
  <si>
    <t>how do i open this attachment?</t>
  </si>
  <si>
    <t>hi â€“ i need to open this attachment â€“ itâ€™s a haul card that i need to create a lem for.Â  can you please let me know how.Â  iâ€™m working from home â€“ my cell number is .</t>
  </si>
  <si>
    <t>re: email lists</t>
  </si>
  <si>
    <t>hello,
i sent this email last week asking for help reviewing the email lists/groups in use at pulse and have not heard back.Â  has a ticket been created?</t>
  </si>
  <si>
    <t>new e3 license for r3 deconstruction user fara vargas</t>
  </si>
  <si>
    <t>r3 deconstruction
1349118
 add licenses  
 office 365 e3  
1
fara vargas</t>
  </si>
  <si>
    <t>scribe transcribed your voicemail message. on tue jan 19 2021 20:1 thank you. bye.
you have a new voicemail message.
new voice message
--- 
(
--- 
--- 
time:tue jan 19 2021 20:15 mst
--- 
duration:00:22
---
vm-id:29194
month to date usage: 16 messages / 00:09:24 (hh:mm:ss)</t>
  </si>
  <si>
    <t>[jira] automation for jira mentioned you on og-1075</t>
  </si>
  <si>
    <t>automation for jira mentioned you on an issue
ontario genomics/og-1075 hp laptop touchpad issue 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
automation for jira mentioned you on an issue
ontario genomics
/Â Â    Â  og-1075
 hp laptop touchpad issue 
  automation for jira  4:00Â pmÂ est
hey @james anderson,
this ticket will breach its time to resolution sla in 60 minutes. you should action or reassign it as soon as possible.
note: if it reaches 15 mins to time to resolution sla breach, it will escalate to pagerduty and notify the on-call team member.
view issue
get jira notifications on your phone! download the jira cloud app for android or ios.
manage notifications   Â â€¢Â    give feedback   Â â€¢Â    privacy policy</t>
  </si>
  <si>
    <t>hi folks,
when time allows on your end, can one of you give me a shout?
i am working on a pdf and there are pages that keep auto ocrâ€™ing. i fear that this may have caused the pdf to become corrupted and i donâ€™t want it to happen again (is auto ocr a possible cause?)
i am hesitant to re-open sore wounds by asking if this maybe a reappearance of problems related to the dreaded ticket #124 â€“ 51st street
red deer, ab t4n 6k
email:
website:www.nrcb.ca
this communication is intended for the use of the recipient to which it is addressed, and may contain confidential, personal and or privileged information. please contact us immediately if you are not the intended recipients of this communication, and do not copy, distribute, or take action relying on it. any communication received in error, or subsequent reply, should be deleted.</t>
  </si>
  <si>
    <t>island ford - dealermine button not working</t>
  </si>
  <si>
    <t>hi dave, 
we have a button on our phone that we could transfer calls to dealermine and the button is now lit up and not working. can you look into it for me please.
-- 
kind regards
, 
office manager</t>
  </si>
  <si>
    <t>notice of upcoming student hires - kathy kim, jennifer wang</t>
  </si>
  <si>
    <t>hello,
this email is to notify you of an upcoming student hires:
request #1:
employee name:kathy kim Â Â Â 
department: community and school based programs
job title: program assistant Â Â 
supervisor: kelly bickford
effective date: january 20, 2021
distribution list &amp; action required
it
rds: request for rds/network access
e-mail: request for outlook account.
e-mail signature set-up:
-Â Â Â Â Â Â Â name: kathy kim
-Â Â Â Â Â Â Â position: program assistant
-Â Â Â Â Â Â Â program: community and school based programs
folder access:
-Â Â Â Â Â Â Â please mirror user darian selander
equipment requests: request for computer/laptop.
no shore-tel access required.
please send account details to: darian selander () and kelly bickford ()
program manager
for information only.
request #2:
employee name:jennifer wang Â Â Â Â 
department: community and school based programs
job title: program assistant Â Â 
supervisor: kelly bickford
effective date: january 20, 2021
distribution list &amp; action required
it
rds: request for rds/network access
e-mail: request for outlook account.
e-mail signature set-up:
-Â Â Â Â Â Â Â name: jennifer wang
-Â Â Â Â Â Â Â position: program assistant
-Â Â Â Â Â Â Â program: community and school based programs
folder access:
-Â Â Â Â Â Â Â please mirror user darian selander
equipment requests: request for computer/laptop.
no shore-tel access required.
please send account details to: darian selander () and kelly bickford ()
program manager
for information only.
if you have any questions or concerns please let me know.</t>
  </si>
  <si>
    <t>[jira] (og-1075) hp laptop touchpad issue</t>
  </si>
  <si>
    <t>yoo jin park added 1 new comment. ontario genomics/og-1075 hp laptop touchpad issue 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
yoo jin park added 1 new comment.
ontario genomics
/Â Â    Â  og-1075
 hp laptop touchpad issue 
  yoo jin park  4:4 â€“ i am available tomorrow at 11am or after 3:45pm.
let me know when would work for you.</t>
  </si>
  <si>
    <t>baymag - exshaw control room pcs, cabinet and cables</t>
  </si>
  <si>
    <t>baymag
gilles - for the new control room.
baymag - exshaw control room pcs, cabinet and cables
 the primary contact in connectwise  
exshaw plant
 next digital calgary  
wed 10 feb, 2021  
 no  
 desktop computer  
 video adapter  
 accessories (mice, keyboards, ram/ssd upgrades etc)  
 performance tier - i7, 16gb ram, 512gb ssd, quadro video card, 3 year warranty  
1
please quote 1 x hp workstation pc - must be equivalent to a z240s (newer model is fine). 
this pc will need to be set up to run 4 displays, and thus will need a good video card, please ensure that there is a quadro or workstation card quotes, and ideally it will have 4 x dp outputs..
 yes  
 dvi  
 displayport  
 dvi  
 displayport  
4
for this order, please quote: 4 x 25'-30' displayport cables 
8 x 25'-30' dvi cables
 other  
1 x workstation ups, has to be specc'd to run 2x hp z240 workstations (existing), 1 x new hp workstation (on this quote), 2 x hp elitedesk pcs.
server cabinet rack (in calgary office) - matt has already discussed this with kubi.</t>
  </si>
  <si>
    <t>quote request -  - laptop needs failed hard drive replaced</t>
  </si>
  <si>
    <t>renee fletcher/ hard drive on her laptop has failed
laptop needs failed hard drive replaced
 the primary contact in connectwise  
sonora
1349665
 next digital edmonton  
tue 26 jan, 2021  
 yes  
 accessories (mice, keyboards, ram/ssd upgrades etc)  
 hdd/ssd  
 1tb hdd  
 2.5" sata  
1
replacement hard drive for hp notebook - 15-bw018ca</t>
  </si>
  <si>
    <t>automation for jira made 1 update.Â les kondejewski added 1 new comment.Â  ontario genomics/og-1074 sharepoint security information needed 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
automation for jira made 1 update.Â les kondejewski added 1 new comment.Â 
ontario genomics
/Â Â    Â  og-1074
 sharepoint security information needed 
updates
  automation for jira  5:02Â pmÂ est
status: waiting for customer  waiting for support
comments
  les kondejewski  5:02Â pmÂ est
i just sent the meeting invitation with zoom link â€“ for 5pm tonight.
https://us01?pwd=skfdrmtwc2jetgkynlzok1grz1p0qt09&amp;from=addon
if not tonight we can meet tomorrow.
view issue
get jira notifications on your phone! download the jira cloud app for android or ios.
manage notifications   Â â€¢Â    give feedback   Â â€¢Â    privacy policy</t>
  </si>
  <si>
    <t>electronic signature set up
electronic signature no longer works and not able to re-set up myself.
 no  
 one  
 minor inconvenience</t>
  </si>
  <si>
    <t>credential
ua: cultural-advisor (pa team access) 
pw: 
ea: 
 no  
 some  
 other</t>
  </si>
  <si>
    <t>hi there,
i never got a reply back on thisâ€¦.
operations calgary
capital paper recycling ltd
10595 50 street se
calgary, ab t2c 3e
good morning,
my emails from  are being copied to 
can we have this stopped now please, as i am no longer primarily sitting at the transport computer?
i do need for the other way to remain though â€“  still needs to be copied to me at 
hope that makes sense?</t>
  </si>
  <si>
    <t>password</t>
  </si>
  <si>
    <t>can you please reset the microsoft/email password for .
if possible can you make the password winter2021 and force a reset on the next log in?</t>
  </si>
  <si>
    <t>fw: adding someone to olt distribution/phone list</t>
  </si>
  <si>
    <t>hello helpdesk,
can you please add sajjad ahmad to the old distribution/phone list in the global address list?Â  please advise judy fortini (ccâ€™d here) when this is complete.</t>
  </si>
  <si>
    <t>vmware renewal notice</t>
  </si>
  <si>
    <t>please quote a renewal for the attached vmware item, config attached, which expires within 90 days.</t>
  </si>
  <si>
    <t>spam email? or actual expired norton?
hello, please review the attached email, is this spam/phishing or is my nortan actually expired? please advise. thank you.
 no  
 one  
 work impacting</t>
  </si>
  <si>
    <t>justin wiebe - opal document review - hik vision install</t>
  </si>
  <si>
    <t>opal document review - hik vision install
https://nextdigital.itglue.com/291#version=published&amp;documentmode=view
 no  
 one  
 other</t>
  </si>
  <si>
    <t>vpn access</t>
  </si>
  <si>
    <t>hello,
i canâ€™t seem to get my vpn access to work. i do have a desktop shortcut that is called "forticlient vpn" and it prompts me for my acsa username and password but i tried both shogstead  with my password and it didn't work. would you be able to please assist?</t>
  </si>
  <si>
    <t>please give me a call. 780 913-331Â 
cÂ Â Â Â  
12316-107 avenue, edmonton, ab  t5m 1z1
www.mhkinsurance.com
we're here to help with your insurance needs. emails       and phone calls are still encouraged. appointments are required for       in-office broker meetings. please wear a mask when       visiting.
mhk welcomes       e-transfer payments to banking@mhkinsurance.â€‰com.
if you       receive this email in error, please notify us by reply email and destroy       this message. mhk complies with canada's anti-spam and alberta's pipa       legislations. if you no longer wish to receive emails from mhk, please       reply with 'unsubscribe' in the subject   line.</t>
  </si>
  <si>
    <t>email adjustments please</t>
  </si>
  <si>
    <t>good morning,
my emails from  are being copied to 
can we have this stopped now please, as i am no longer primarily sitting at the transport computer?
i do need for the other way to remain though â€“  still needs to be copied to me at 
hope that makes sense?</t>
  </si>
  <si>
    <t>fw: barracuda email security service quarantine notification</t>
  </si>
  <si>
    <t>how do we get the option to stop messages from being quarantined.
have the same happen with emails from industrial scientific
project manager
c:       +
e:       
w:       www.siterg.com
#170, 120 pembina road, sherwood park, ab, t8h 0m2</t>
  </si>
  <si>
    <t>re: ticket #1330891/ - email not working closed no response</t>
  </si>
  <si>
    <t>please call me to discuss.Â   
sent from my iphone  
on jan 18, 2021, at 10:06 am, support - mnp it managed services &lt;&gt; wrote:
ï»¿</t>
  </si>
  <si>
    <t>please remove frank's "out of office"</t>
  </si>
  <si>
    <t>good morning,
can you please remove frankâ€™s â€œout of officeâ€. he returned yesterday.</t>
  </si>
  <si>
    <t>request for chris ippolito - upgrade of home equipment</t>
  </si>
  <si>
    <t>chris requires the following:
 focusrite scarlett-solo-3rd-gen usb audio interface
 shure sm7b vocal dynamic microphone
 gator frameworks deluxe desk-mounted broadcast microphone boom
cori davidge
consultant, technology solutions
ph.Â +
310 - 4000 4 st se
calgary, ab
t2g2w3
mnp.ca</t>
  </si>
  <si>
    <t>scanning issue
 has a cannon pixma mx432.  he cannot seem to scan in pdf.  he says that he has .tiff and .jpeg.  when i look it up online it says it can do it but i cant navigate him to the right spots without seeing his screen. i was hoping someone could walk him through the process. i have added the link below of where i found the "how to" https://support.usa.canon.com/kb/index?page=content&amp;id=art13668, becky</t>
  </si>
  <si>
    <t>ekubzgi, genet - termination, january 18, 2021</t>
  </si>
  <si>
    <t>good afternoon,
please be advised that genet ekubzgiâ€™s last day withcarya is today, january 18, 202 e:  f: 
180, 839 5 ave sw  calgary, ab  t2p 3c8
carya (formerly calgary family services)
we are working remotely to help calgarians through the covid-19 pandemic. please reach out to us if you need support.carya is here for you.
in the spirit of our efforts to promote reconciliation, we acknowledge the traditional territories and oral practices of the blackfoot, the tsuut'ina, the stoney nakoda first nations, the mÃ©tis nation region 3, and all people who make their homes in the treaty 7 region of southern alberta. we also respectfully acknowledge that the province of alberta is comprised of treaty 6, treaty 7, and treaty  during business hours (monday-friday, 8:30am-4:3) and in case of an emergency dial 911.
this e-mail is intended solely for the person or entity to which it is addressed and may contain confidential and/or privileged information. any review, dissemination, copying, printing, forwarding or other use of this e-mail by persons or entities other than the addressee is prohibited. if you have received this e-mail in error, please contact the sender immediately and delete the material from your computer.</t>
  </si>
  <si>
    <t>re: ticket#1346366/albertaconstruction/auditor access -- has been updated</t>
  </si>
  <si>
    <t>good afternoon,
please note that our external auditor no longer requires access.</t>
  </si>
  <si>
    <t>alex - unable to access vpn</t>
  </si>
  <si>
    <t>unable to access vpn
when i try to log into the forticlient vpn i get the warning message: "unable to establish the vpn connection. the vpn server may be unreachable. (-1</t>
  </si>
  <si>
    <t>luiza coelho - software installation on rds</t>
  </si>
  <si>
    <t>hi there, 
i need to download the following open source software but need to know the following first: 
 it a safe to do so?
 can be download on the rds?
here is the link, need mnp adviceÂ  and help to download. 
https://riskandassurancegroup.org/ra-risk-coverage-software/</t>
  </si>
  <si>
    <t>re: staff shared drive access</t>
  </si>
  <si>
    <t>please let me know if we are unable to set sheila up with access and i can log in and complete it for her.
marisaredmond e
9321 jasper avenue, edmonton ab t5h 3t7
e4calberta.org</t>
  </si>
  <si>
    <t>- documents won't open first time and sometimes won't open at all.</t>
  </si>
  <si>
    <t>documents won't open first time and sometimes won't open at all.
the communications file in my d drive was not opening the first time and i could usually get it to open by waiting and trying again. now it is telling me i don't have permission and showing the message i have attached.
 no  
 one  
 work impacting</t>
  </si>
  <si>
    <t>update - email distribution list - work order canada</t>
  </si>
  <si>
    <t>hello,
please delete our email distribution list titled â€œwork order canadaâ€.</t>
  </si>
  <si>
    <t>teams
my calendar is not linking to teams
 no  
 one  
 work impacting</t>
  </si>
  <si>
    <t>good morning,
alexandra reached out to us two times as she has experienced her ad account locking out upon first sign-in, or when she steps away from her desk at lunch, upon returning to connect to a remoteapp, she receives the following message:
previously daniel shaw worked with bev jensen on a similar issue where here workstation constantly triggered an account lockout in ad. was the root cause found for bev, as it seems to have been resolved for her?
 has experience the account locked out a few times this past week. please connect with alexandra ( or 780.460.0 jasper avenue nw
edmonton, ab t5j 2w ext. 10
web:https://www.tri-global.com</t>
  </si>
  <si>
    <t>fortinet renewal notice - support expires 18-feb-2021</t>
  </si>
  <si>
    <t>good morning,
on the acsaâ€™s marketing drive, thereâ€™s been files that are missing/deleted.
this is the specific folder: m:\1_communications &amp; marketing new\internal &amp; staff engagement\staff communications (email &amp; adp)\staff birthday messages
are you able to retrieve the missing files?</t>
  </si>
  <si>
    <t>adp was installed on my laptop on friday and when trying to loggin this morning, the certificate is not validating.  
please reach out asap as adp training in happening live now.</t>
  </si>
  <si>
    <t>can you tell me what your computer name is and i'll push out the upgrade. your computer needs to be on.</t>
  </si>
  <si>
    <t>vpn for computer
i can not access the vpn from new computer.
 no  
 one  
 work impacting</t>
  </si>
  <si>
    <t>good afternoon,
jennifer rose is going for surgery and is estimated to be off for the next 6 weeks. can we get allow chantal ali access to her email in jenâ€™s absence?</t>
  </si>
  <si>
    <t>employee termination
sara petraschuk no longer works at igloo. please ensure her email account reflects that
 no  
 one  
 minor inconvenience</t>
  </si>
  <si>
    <t>- outlook add  email to profile
please add the "" email to 's outlook account.
 no  
 one  
 minor inconvenience</t>
  </si>
  <si>
    <t>new employee
victoria riley - administrative team
start date ?
un
pw
ea
 no  
 one  
 other</t>
  </si>
  <si>
    <t>good afternoon
confirm permissions of this folder \site.local\site\site energy\fa&amp;a\business operations\corporate ap\2021 dspto allow ap staff, â€œbrandi, lori ann, melissa rehbein, nicole maddenâ€, corporate and admins only. â€“ if you show me where to look for this i can check for myself on my other folders to see who has permission
please set permissions to this folder \site.local\site\site energy\fa&amp;a\business operations\corporate ap\7.2 dsp reports for hrto the same permissions as \site.local\site\site energy\fa&amp;a\business operations\corporate ap\2021 dsp noted above with the addition of lisa walsh
please lock down this folder and subfolders ; \site.local\site\site energy\fa&amp;a\business operations\corporate ap\2019 archive all inv cks batches and olderto read only access so no one can modify or delete a document but can open save as or copy and paste.
please lock down this folder and subfolders \site.local\site\site energy\fa&amp;a\business operations\corporate ap\2020 archive all inv cks batchesso documents can not be deleted same as above â€œifâ€ additional documents can still be added if needed. not sure if this is possible please advise.
please set permissions to this folder \site.local\site\site energy\fa&amp;a\business operations\corporate ap\7.1 ap bankingto the same permissions as \site.local\site\site energy\fa&amp;a\business operations\corporate ap\2021 dsp Â with the addition of connie strang, bonnie hinger, brenda hokiro
also is this something i can do myself or does it have to go through it?</t>
  </si>
  <si>
    <t>power bi pro for dan wright</t>
  </si>
  <si>
    <t>site resource group
1347647
 add licenses  
 other license  
power bi pro
1
dan wright</t>
  </si>
  <si>
    <t>expand drive
expand p: on nc-pmkr-be02 for poundmaker.
opal approval in 1365745
 no  
 everyone  
 work impacting</t>
  </si>
  <si>
    <t>ms teams issue
ms teams not showing in calendar for shceduling a meeting
 yes  
 some  
 work impacting</t>
  </si>
  <si>
    <t>good morning,
since the sql upgrade earlier this week we have an internal application that we are experiencing issues with. the application is connecting to the new database and is working fine when accessed from directly within the server where it is hosted, but it is not connecting outside of that server at all. as we have made no changes to the application other than updating the sql connections with the new credentials we have to assume that the issue is related to network traffic routing and would need someone from mnp to look into that for us. the application was in use and was working right up until the 11th when we began the changeover, and we can see no reasons within the code that would cause this problem.
the server where the application is hosted is acsa-web-001 and the page that we are working with is http://int.acsa-safety.org/notifications/assocqueue. outside of the server itself this page is throwing an error as shown here:
when accessed through the server via rdp the page loads correctly:
chris gusnowskyÂ Â business analyst
225 parsons road sw Â edmonton abÂ Â t6x 0w ext. 771 Â tfÂ )
www.youracsa.ca</t>
  </si>
  <si>
    <t>good morning
your team set up email for leah. we have no password as the voicemail that was left was very crackly and we could not make out anything he was saying. could someone please call asap at</t>
  </si>
  <si>
    <t>sign in and password change not possible
when i try to access our server i am told i am unable - that my user name or password may not be configured property for the server.
when i try and update my password i also get an error message that destination server does not authorize it.
 no  
 one  
 work impacting</t>
  </si>
  <si>
    <t>dr. krivuzoff-sanderson - console computer in reception area is slow</t>
  </si>
  <si>
    <t>dr. krivuzoff-sanderson - console computer in reception area is slow
dr. caroline reports that the console computer near the reception area is running slowly and would like us to investigate it. can be done remotely. higher priority as this is impacting patient experience.
 no  
 one  
 work impacting</t>
  </si>
  <si>
    <t>csat - 1340490
this ticket keeps generating red csat alerts.
i've checked with carla twice but she's mentioned it's not coming from her clicking. she may have clicked it the first time, but not any other time. 
logs show otherwise, that it's coming from a samsung phone from office and shaw ip. 
can we have a look at what might be causing this? perhaps there is something going on with the phone?
please keep ticket as next digital, while we figure this out.
 no  
 one  
 minor inconvenience</t>
  </si>
  <si>
    <t>john m headset</t>
  </si>
  <si>
    <t>shawn kubiski
partner
ph. +
14505 114th avenue nw
edmonton, ab
t5m2y8
mnp.ca</t>
  </si>
  <si>
    <t>hi tim,
i had a quick look and see adobe acrobat pro dc on your account is up for renewal.
let us have a check and weâ€™ll let you know what the next steps are.
@support -hi team, can you please review cts adobe licenses and share next steps with tim?</t>
  </si>
  <si>
    <t>ontario teachers insurance plan - sophos</t>
  </si>
  <si>
    <t>get outlook for android
partner
ph. +
14505 114th avenue nw
edmonton, ab
t5m2y8
mnp.ca
hey kubi,
we need to get a competitive quote for sophos on the attached.Â  it would be to displace trend micro.</t>
  </si>
  <si>
    <t>microsoft office 365 for flyrite</t>
  </si>
  <si>
    <t>hi, and happy new year.
i'd like your advice and assistance please, in solving a problem i'm having.Â  my airworthiness auditor works his files etc. in office, but my office 200 - 56 avenue nw,Â  edmonton, alberta canada t6e 0b f</t>
  </si>
  <si>
    <t>ubiquiti ap need</t>
  </si>
  <si>
    <t>good morning eugene,
below, is a quote for wireless equipment needed, to restore wifi at your location.Â  as you recall, this was originally recommended last year, to help strengthen your current officeÂ  wifi but, you postponed to move forward at that time.
our tech team has noted that this equipment can be purchased locally and installed at your location fairly quickly. if you approve, please take a moment to review and forward your approval to proceed.</t>
  </si>
  <si>
    <t>cannot close pdf's -please call - thanks</t>
  </si>
  <si>
    <t>kate p - access to shared drive</t>
  </si>
  <si>
    <t>good afternoon,
this is a request to please grant kate price full access on our shared â€“ leadership folder on the w drive.</t>
  </si>
  <si>
    <t>group2 edmonton wifi connection problem</t>
  </si>
  <si>
    <t>good morning,
i brought my laptop into the office today and have been unable to connect to the wifi. my iphone was having similar problems. how can this problem be resolved this morning? i have an important teams interview this afternoon at 2:00 and would like to use my laptop for that call.
best regards,
robert h r labonte, associate
architect, aaa, oaa, mraic, ncarb, uli alberta
group2
architecture interior design ltd.
900-10150 100th street nw edmonton ab t5j 0p6
t + (ext. 517)
c +
group2.ca
group2 is committed to being both responsive and responsible in navigating these extraordinary times with everyoneâ€™s safety in mind. since the outset of the covid-19 situation, we have enabled our employees to work remotely, allowing us to continue business operations and maintain our client commitments.</t>
  </si>
  <si>
    <t>- 2fa on  old email accounts.</t>
  </si>
  <si>
    <t>good afternoon,
i believe you have administrative rights to all of the @wktrucking.com emails.Â  basically there are a few accounts that have incorrect ) is still listed to receive the codes and the security questions are her answers.Â  how can i get this changed?
shauna
w-k trucking inc.</t>
  </si>
  <si>
    <t>after attempting password reset, cannot log into outlook and mitel on rds
- recieved password reset reminder from mnp it
- attempted password reset link on rds
- certain apps not accepting either old or new password
 no  
 one  
 work impacting</t>
  </si>
  <si>
    <t>amanda tam accounts to be disabled
amanda tam has left the organization and her accounts need to be disabled however i need access to her email account.
.
 no  
 one  
 work impacting</t>
  </si>
  <si>
    <t>rds03 issues!</t>
  </si>
  <si>
    <t>hey team,
i am logged into rds03 again today and a bunch of shortcuts/pins on my taskbar are inaccessible..
i cannot open windows explorer! â˜¹
this is obviously a major productivity killer.
can you please help?</t>
  </si>
  <si>
    <t>hi there,
we have been advised by one of our brokers that we need to allow some new ip addresses to our authorized sender list (see below).Â  can you please assist with this request?</t>
  </si>
  <si>
    <t>jorge bustamante - expand p drive on nc-carya-be02</t>
  </si>
  <si>
    <t>expand p drive on nc-carya-be02
client name: 
server name: nc-carya-be02
drive letter name: p
amount to expand by: 30 gbs
original ticket: #1364622 (this is your ticket number, do not remove the # sign)
impact/urgency: medium/high
 no  
 everyone  
 work impacting</t>
  </si>
  <si>
    <t>securing mcmurray metis -- imc folder on shared drive</t>
  </si>
  <si>
    <t>can we have only one person to change, detele any folders.  can you please give me that access and the other members only have view save options.</t>
  </si>
  <si>
    <t>we are once again having issues with our email folders, for me to see emails i move into folders i have to constantly go into settings, filters, clear filter and then my emails pop up, this needs to be fixed. also we are not receiving ah email remittance emails again, this issue was on our end last time, it was blocking them so concerned this is happening again. i also need this fixed asap. the email is: 
president i operations
wbs â€“ wholesale bakery specialties
10633-172 street, edmonton, ab t5s 1p
mobileÂ :</t>
  </si>
  <si>
    <t>cannot open any pdfs in rds
rds is trying to open pdfs as a word document?
 no  
 some  
 unable to work</t>
  </si>
  <si>
    <t>please ensure effective today that all access to the server/email etc. is terminated for kennedy becks. Â Â thanks.</t>
  </si>
  <si>
    <t>nddc-dc02 vss service is frozen and it needs a restart.
nddc-dc02 is failing backups because the vss copy service is stuckin starting state
 no  
 everyone  
 minor inconvenience</t>
  </si>
  <si>
    <t>surgery computer lost connectivity to surgery printer
everytime the "next digital" update happens it nreaks the connection to the printer
pvc-d-288
 yes  
 everyone  
 work impacting</t>
  </si>
  <si>
    <t>hello,
david is no longer employed at ideal.Â  please change his microsoft password to Â Â legacy8
c: 
attics â€¢ roofing â€¢spray foam â€¢walls</t>
  </si>
  <si>
    <t>- fwd: feb 7 - sterling place - power shut down update</t>
  </si>
  <si>
    <t>date has now changed to feb 15
sent from my iphone
begin forwarded message:
date: february 5, 2021 at 11:27:22 am mst
reply-to: 
ï»¿
please see the attached memo regarding a reschedule of the planned shutdown for february 7th including the notice from epcor.</t>
  </si>
  <si>
    <t>fw: macbook pro procurement</t>
  </si>
  <si>
    <t>partner
ph. +
14505 114th avenue nw
edmonton, ab
t5m2y8
mnp.ca
hi shawn,
can you help us procure a macbook for one of our developers in toronto?
weâ€™re looking to get an apple macbook pro 16â€ w/touch bar (i7 with min 512gb ssd, min 1
ph. (
300 - 340 king st. e
toronto, on
m5a 1k8
mnp.ca</t>
  </si>
  <si>
    <t>palmer orthodontics - hostedbiz o365 password expired</t>
  </si>
  <si>
    <t>senior project specialist
ph.Â +       ext 309
14505 114th avenue nw
edmonton,       ab
t5m2y8
mnp.ca 
afternoon jerry,
i just wanted to make you aware that the global admin password for our palmer orthodontics account has expired and will need to be reset.
please let me know when you are able to do that and if you needed to change the password at all.</t>
  </si>
  <si>
    <t>reactivating deb moore</t>
  </si>
  <si>
    <t>hello mnp,
deb moore was our previous executive assistant.Â  she retired at the end of september, 2020.Â  she is going to volunteer her time to help us transition judy fortini into the ea role.
i started to do a new hire form, but i think itâ€™s a bit much in this case.Â  what we really need is just to have her access reactivated to what it was on her last day of work in september 31, 202 e:  c: 
180, 839 5 ave sw  calgary, ab  t2p 3c8
carya (formerly calgary family services)
stay up to date with the latest carya news, programs, and events by signing up for ourmonthly newsletter.
in the spirit of our efforts to promote reconciliation, we acknowledge the traditional territories and oral practices of the blackfoot, the tsuut'ina, the stoney nakoda first nations, the mÃ©tis nation region 3, and all people who make their homes in the treaty 7 region of southern alberta. we also respectfully acknowledge that the province of alberta is comprised of treaty 6, treaty 7, and treaty  during business hours (monday-friday, 8:30am-4:3) and in case of an emergency dial 911.
this e-mail is intended solely for the person or entity to which it is addressed and may contain confidential and/or privileged information. any review, dissemination, copying, printing, forwarding or other use of this e-mail by persons or entities other than the addressee is prohibited. if you have received this e-mail in error, please contact the sender immediately and delete the material from your computer.</t>
  </si>
  <si>
    <t>sagar kohli - not receiving shoretel voicemail via email</t>
  </si>
  <si>
    <t>hi,
can you please look into why sagar isnâ€™t receiving his voicemail through his email.</t>
  </si>
  <si>
    <t>please see attached for new user request.</t>
  </si>
  <si>
    <t>we have a shared folder called mcmurray metis - imc on our shared drive that we will have to add access permissions for heidi taves, her email is   
can you please allow this to hapen.</t>
  </si>
  <si>
    <t>re: vpn for employees</t>
  </si>
  <si>
    <t>fyi i am connected now ðŸ˜Š
good afternoon,
we need to get the following employees (shawn myers, heidi taves &amp; shannon earle) set up and connected to our vpn.
they operate out of another office and are not based here at the metis local.
can you please contact each employee, go on their computer and set up their vpn, show them how it works and test that the system is working.</t>
  </si>
  <si>
    <t>re: discontinue email account</t>
  </si>
  <si>
    <t>i approve this request.
sent from my iphone
on jan 14, 2021, at 8:0
www.schizophrenia.ab.ca
this message and any attachments are directed in confidence to those named, and must not be reviewed, retained or disclosed without the consent of the sender or the named recipient(s).Â  if you have received it in error, please delete it and notify us immediately
&lt;image001.png&gt;</t>
  </si>
  <si>
    <t>- fw: csr meeting - january 27, 2021</t>
  </si>
  <si>
    <t>i sent this message from outside the cloud last week. it appears that people are just getting them now. is there a way to recall/stop them?
tracy
*******************************
office coordinator
401-11010 142 st nw
edmonton, abÂ  t5n 2r
this is last month. am i missing something?
on wed., feb. 3, 2021, 9:16 a.m. , &lt;&gt; wrote:
deanna simmons
january 27, 2021
good afternoon,
you have registered for the council of school representativesâ€™ (csr) meeting beginning at 5:02.
please note that you must change your screen name to last name â€“ school (ie, kuehnemuth â€“ local office).
this will assist us in confirming who is in attendance and who will be reimbursed for attending the meeting.
we encourage you to log in early to avoid wait times. staff will be checking reps in beginning at 4:00 pm. you will be placed in the waiting room until staff have confirmed that you are on the list. please be patient as this takes some time. if we canâ€™t determine who you are from your screen name you will not be permitted into the meeting or paid for your attendance.
at this time, we are also missing 70 staff lists. if your school is listed below, please forward an updated staff list to the me so i can update our records.
academy at king edward
amiskwaciy
athlone
avonmore
belmead
belmont
braemar
crestwood
daly grove
delwood
earl buxton
eastglen
edmonton christian high
edmonton christian ne
epsb â€“ communications &amp; inclusive learning
epsb â€“ curriculum and resource support
epsb â€“ fnmi
epsb â€“ research and innovation for students
epsb â€“ strategic district supports
esther starkman
forest heights
fraser
gold bar
grandview heights
greenview
highlands
hillcrest
hillview
homesteader
hospital school campuses â€“ casa ties
hospital school campuses â€“ glenrose
inclusive learning â€“ waverley
ivor dent
jasper place
john d. bracco
kameyosek
kate chegwin
lansdowne
laurier heights
learning store northgate
learning store whyte
learning store west ed
lee ridge
londonderry
lorelei
meadowlark
metro continuing
meyokumin
michael strembitsky
millwoods christian
mount royal
nellie carlson
new directions/transitions at park plaza
old scona
patricia heights
queen elizabeth
riverbend
roberta macadams
rosslyn
s. bruce smith
spruce avenue
steele heights
stratford
thorncliffe
w. p. wagner
waverleywestbrook
westglen
council of school reps (csr) - local 37 is inviting you to a scheduled zoom meeting.
topic: csr january 27,  5 5442
find your local number:  https://edpub-org.zoom.us/u/ka2</t>
  </si>
  <si>
    <t>shutdown - azrdstest</t>
  </si>
  <si>
    <t>we are shutting downing the azrdstestserver, and in the future, we will request you to decommission it from our tenant
the users moved to (wvd) ibsg-wvd-pd-0</t>
  </si>
  <si>
    <t>static ips needed for casino dene</t>
  </si>
  <si>
    <t>static ips needed for casino dene
got an email from bill about alarm setup:
hello mike,
we are working with casino dene to get some new alarm monitoring set up and it is possible that weâ€™ll need to have 2 dedicated ip connections from the panels out to our monitoring station.
weâ€™ll be at site next week and could assist with running the cat c: 780-919- 97 st nw, edmonton ab, t6e6e9
paladintechnologies.com
 no  
 some  
 minor inconvenience</t>
  </si>
  <si>
    <t>please forward alisha androschuk's did/ext  to mhk reception</t>
  </si>
  <si>
    <t>mnp,
as soon as possible, please forward alishaâ€™s number, 587.525.600 so our reception team can redirect her calls for the time being.</t>
  </si>
  <si>
    <t>- prep surface pro x-7799 and phone 403-312-1262 for grace ojekunle</t>
  </si>
  <si>
    <t>prep surface pro x-779 for grace ojekunle
we have a prior staff that will be returning from maternity leave shortly.  please prep surface pro x-779 for grace ojekunle.</t>
  </si>
  <si>
    <t>hey there barb will be coming down from calgary the week of february 15th and will need to use the transport computer to access her computer in calgary as well as her files. can you assist in getting this done for her please?</t>
  </si>
  <si>
    <t>attn: terry/dave - field law new hire - service ticket #inc0025947 - user onboarding - lyle guard -</t>
  </si>
  <si>
    <t>hello,
please see attached form:
1.Â Â Â Â Â Â Â Â Â full name of staff member, as well as the ad name:lyle guard // lguard
2.Â Â Â Â Â Â Â Â Â location of staff member (edm/ cal/ ykn):cal
3.Â Â Â Â Â Â Â Â Â user group: (lawyer / manager / staff):lawyer
4.Â Â Â Â Â Â Â Â Â do they need to be part of any hunt group: (reception or central services etc):n/a
5.Â Â Â Â Â Â Â Â Â do they need mobility? what is the userâ€™s mobile number?no
6.Â Â Â Â Â Â Â Â Â do they need a did? (yes / no)yes (this will be yes 99/100 times)
7.Â Â Â Â Â Â Â Â Â if they are taking over an did, what is the did. n/a (usually a special request)
8.Â Â Â Â Â Â Â Â Â mac address of the phone that the user needs to be assigned to.n/a (not required)
9.Â Â Â Â Â Â Â Â Â is scribe feature required? (yes/no)***yes***
10.Â Â Â Â Â date due by: jan 31, 2021</t>
  </si>
  <si>
    <t>good morning,
can you please change the following email,  to , effective immediately. Â we will also need to make sure that all email directed to the original cherylsr goes to the new email at this time.Â  please confirm when complete.</t>
  </si>
  <si>
    <t>good morning
please note that the primary contact for  inc. has changed.Â  effective immediately, carie campbell will be our primary contact for all network issues.Â  i am leaving  effective february 1
220Â summitÂ plazaÂ 190Â boudreauÂ roadÂ st.Â albertÂ abÂ t8nÂ 6b9Â //Â landrex.com
privateÂ andÂ confidentialÂ â€‘Â theÂ informationÂ transmittedÂ isÂ intendedÂ onlyÂ forÂ theÂ personÂ orÂ entityÂ toÂ whichÂ itÂ isÂ addressedÂ andÂ mayÂ containÂ proprietary,Â businessâ€‘confidentialÂ and/orÂ Â privilegedÂ material.Â ifÂ youÂ areÂ notÂ theÂ intendedÂ recipientÂ ofÂ thisÂ messageÂ youÂ areÂ herebyÂ notifiedÂ thatÂ anyÂ use,Â review,Â retransmission,Â dissemination,Â distribution,Â reproductionÂ orÂ anyÂ Â actionÂ takenÂ inÂ relianceÂ uponÂ thisÂ messageÂ isÂ prohibited.Â ifÂ youÂ receivedÂ thisÂ inÂ error,Â pleaseÂ contactÂ theÂ senderÂ andÂ deleteÂ theÂ messageÂ andÂ anyÂ relatedÂ attachmentsÂ orÂ copies.</t>
  </si>
  <si>
    <t>re: shortel not working</t>
  </si>
  <si>
    <t>i believe the phones may have just crashed. kim tried calling and is just getting a busy signal. a lot of people have white icons for shortel. no calls coming thrugh.
kristin bell receptionadministrator
225 parsons road sw Â edmonton abÂ Â t6x 0w Â fÂ  Â tfÂ )
www.youracsa.ca</t>
  </si>
  <si>
    <t>caseware
caseware requiring an update in order for me to open
 no  
 some  
 work impacting</t>
  </si>
  <si>
    <t>2020-21 school rep address book</t>
  </si>
  <si>
    <t>good morning, can you please change the following in the address book, as they are bouncing back.
 to 
 to</t>
  </si>
  <si>
    <t>good morning,
i donâ€™t have access to top left. tom c and i tried to access it this morning but it wouldnâ€™t let me log in. i tried to reset my password but nothing came through to my email. i kind of need this tool to see what everyone else seeâ€™s in the project group.</t>
  </si>
  <si>
    <t>attention: sean dunbar - any idea why next digital is listed as owner on this and other files?</t>
  </si>
  <si>
    <t>director of neighbourhood developmentÂ Â 
edmonton community development companyÂ Â 
phone:  (ext. 2)
the edmonton cdc is transforming 10 derelict properties into neighbourhood assets:Â 
learn more about ourÂ project 10Â initiative on our website!</t>
  </si>
  <si>
    <t>urgent: srg-esrigeo</t>
  </si>
  <si>
    <t>can you please see if this vm is down??
business process manager
t:       +
c:       +
f:       +
e:       
w:       www.siterg.com
#170, 120 pembina rd., sherwood park, ab, t8h 0m2</t>
  </si>
  <si>
    <t>terminations</t>
  </si>
  <si>
    <t>hi
please disable the following windows accounts and email, if applicable.
alex acuna
ryan paczulla
joren yabut
calvin blewitt</t>
  </si>
  <si>
    <t>problem - e4c - teams licensing</t>
  </si>
  <si>
    <t>e4c
teams licensing
288, 148, 529, 469, etc...
hello,
a concern came up during our recent meeting about how licensing changes are now handled by opal. during this discussion, it was brought to light that e4c's current onboarding documentation/licensing structure does not automatically add teams licenses (business basic licenses) for new users, plus existing ones do not have it. this causes e4c staff to call in right before they need to head into a meeting and need it asap.
this would be worth making a standard change for e4c along with adding these steps to the onboarding documentation (and offboarding to remove the license). we would likely have to discuss with the client to make sure we're only assigning things to staff they approve, but in ticket #1223192 luiza mentions all rds users should have teams licenses. can the team review this and figure out what our strategy for this should be?</t>
  </si>
  <si>
    <t>write access to the scheming folder
i require write access to the following:
n:\technical services\support team\field techs\site visit schedule\scheming
i currently only have read access, but require the abililty to create files and edit them in this folder.
 no  
 some  
 work impacting</t>
  </si>
  <si>
    <t>we are having reports from users that their internet speeds are quite slow. remoting in, speed tests are showing above average speeds, but we would appreciate it if you could send someone to the office to confirm.
all the drops in the office connect to a 1Â cÂ 
#3540 manulife place, 10180-101 street,
edmonton, ab t5j 3s4
canadaici.com
toronto â€¢ calgary â€¢ edmonton â€¢ ottawa â€¢ winnipeg
this message and any attachments are confidential. if the reader is not the intended recipient, you are hereby notified that any dissemination, distribution or copying of this email is strictly prohibited. if you have received this email in error, please notify the sender immediately by return email. internet communications cannot be guaranteed to be secure or error-free as information could be intercepted, corrupted, lost arrive late or contain viruses. the sender does not accept liability for any errors or omissions in the context of this message.</t>
  </si>
  <si>
    <t>could you please investigate.
 cpa, ca
2808 - 58th ave. se
controller
calgary, ab t2c 0b cell:
totalsolutions
totalcommitment
total satisfaction</t>
  </si>
  <si>
    <t>need retrival of deleted folder
i deleted a folder and all of its contects in error and need it back
r:/deposits/202</t>
  </si>
  <si>
    <t>emails not being sent out</t>
  </si>
  <si>
    <t>hi jason
i noticed that i cannot send out emails this morning. please look into it for me. 
i am going to the office now.</t>
  </si>
  <si>
    <t>here we go again emails nto being sent
service manager
p: 780-489-811
e:
wawasmtp.wawanesa.com rejected your message to the following e-mail addresses:
robyn e. pepper ()
wawasmtp.wawanesa.com gave this error:
spf fail - please correct the spf record for  from ip 
your message wasn't delivered because the recipient's e-mail provider rejected it.
diagnostic information for administrators:
generating server: ap-exchange-01.always.local
wawasmtp.wawanesa.com #550 5.7.0 spf fail - please correct the spf record for  from ip  ##
original message headers:
```
received: from ap-exchange-01.always.local () by
```
```
ap-exchange-01.always.local () with mapi id 14.03.0487.000;
```
```
wed, 14 oct 2020 09:23:20 -
```
```
thread-index: adaippcl9+yapliasnkvl251xwpkcwaaprga
```
```
date: wed, 14 oct 2020 15:23:19 +b1c1b4ecb469618353a77b1apexchange01a_";
```
```
type="multipart/alternative"
```
```
mime-version: 1.0
```</t>
  </si>
  <si>
    <t>so i have discovered that if i do an email draft on the computer and leave it in draft folder it does no show up in the draft folder on my i phone. is there a way that can be changed so it does?
.
rr#4 eckville, alberta
t0m 0x
cellular 
email:
web:www.skocdopole.com</t>
  </si>
  <si>
    <t>hey team,
can you please look into this issue with janiking.ca emails getting caught up in the sophos spam filter?
iâ€™ve attached an example email that shayna provided.
please advise amin and i of your findings..</t>
  </si>
  <si>
    <t>ndcgy-fw01 - file system check recommended
ndcgy-fw01 - file system check recommended
 no  
 some  
 work impacting</t>
  </si>
  <si>
    <t>hello, i am looking to create a user account called â€œcncâ€ with a specific password.Â  this user id will be used by multiple people when we are working on autocad designs.Â  this user will not have an email address and will not need account edge or act installed.Â  the idea behind this user id is that i can install a cad program for design here and anyone with the cnc user credentials will be able to access this program.</t>
  </si>
  <si>
    <t>canada ici fortigate cpu usage over 80% (critical system alert devid:fgt80etk18013304 cw-edm-fw01)</t>
  </si>
  <si>
    <t>devicecw-edm-fw0)
triggercpu_high
filter
log details: logver62-10-06 09:16:27device idfgt80etk18013304
device namecw-edm-fw01virtual domainroot
date2020-10-06time09:16:2typeevent
sub typesystemlevelnotice
eventtimelog descriptionsystem performance statistics
actionperf-statscpu87
memory66total session977
disk0bandwidth90175/91723
setup rate28disk log rate0
fortianalyzer log rate89messageperformance statistics: average cpu: 87, memory:  66, concurrent sessions:  977, setup-rate: 28</t>
  </si>
  <si>
    <t>hi there, this is what we get when we click on the link from the attached news release. (i have pdfâ€™s the news release, so it doesnâ€™t give this exact warning) i can forward you the news release we are talking about if you would like.
sylvia g. kaminski
sylvia g. kaminski
website coordinator/field office administrator
natural resources conservation board
100, 5401 1st avenue south
lethbridge, alberta t1j 4v/
website:www.nrcb.ca</t>
  </si>
  <si>
    <t>re: lori ann hart sage access different</t>
  </si>
  <si>
    <t>good morning,
lori annâ€™s sage access is different from the other girls. please ensure that she has the same access as melissa rehbein in ap, po, and jc. perhaps this was over looked when she was originally hired on and things have changed over the years and her access was never updated? the identifying factor wasshe does not have access to post batches in jc. all of the other ap clerks have access to do so. i would like to ensure that the sage ap access is the same for all the girls.
please feel free to contact me directly to discuss. lori i have included you on this email to provide feedback or approval if required.</t>
  </si>
  <si>
    <t>fw: outlook emails &amp; calendar</t>
  </si>
  <si>
    <t>hey team,
can someone please look into this for sarah and eilidh?
i was onsite on tuesday and provisioned eilidhâ€™s account as she is taking over for sarah.
i set up full access to sarahâ€™s mailbox, along with mailbox forwarding rules per their request.
iâ€™ve just gave this a once over and found no issues with how its provisioned in o 4 st se
calgary,       ab
t2g2w3
mnp.ca 
good morning david,
today is my last day so the sooner the better for herðŸ˜Š</t>
  </si>
  <si>
    <t>printer not printing</t>
  </si>
  <si>
    <t>hey there,
i am having troubles trying to get our printer to print anything
parts technician
cervus equipment, john deere - alberta
highway 12 west, box 1420Â stettler, albertaÂ t0c 2lÂ Â  Â Â f Â Â  Â Â  www.cervusequipment.com
powered by the worldâ€™s dominant agricultural, transportation andÂ industrial brands, the cervus equipmentÂ namerepresents honesty, innovation and ingenuity. cervus is listed on the tsx under the symbol â€œcervâ€.</t>
  </si>
  <si>
    <t>check backup tape library contents</t>
  </si>
  <si>
    <t>check backup tape library contents to ensure that the friday morning long-term tape backup ran and it has data on it.</t>
  </si>
  <si>
    <t>mhk - signing into teams inside/outside of rds simultaneously</t>
  </si>
  <si>
    <t>hello mnp,
please advise if it is common to expect problems when signing into teams in multiple locations (inside rds and outside/on our device) and how to manage this? â€¦i was able to create a teams meeting outside of my rds (after having some problems inside rds). the msg in the snippet below is inside my rds and i am not able to sign back in. please advise. thanks!
nicole greidanus       
corporate digital solutions
eÂ Â Â Â Â  
dÂ Â Â Â  587.6-107 avenue, edmonton, ab  t5m 1z1
www.mhkinsurance.com
we're here to help with your insurance needs. emails       and phone calls are still encouraged. appointments are required for       in-office broker meetings. please wear a mask when       visiting.
mhk welcomes       e-transfer payments to banking@mhkinsurance.â€‰com.
if you       receive this email in error, please notify us by reply email and destroy       this message. mhk complies with canada's anti-spam and alberta's pipa       legislations. if you no longer wish to receive emails from mhk, please       reply with 'unsubscribe' in the subject   line.</t>
  </si>
  <si>
    <t>fw: case #: 388-166866 eft emails issue - smtp error</t>
  </si>
  <si>
    <t>hello,
please see below i am unable to send eft remittance emails as of last week.
katie oâ€™hara Â accounting technician
225 parsons road sw Â edmonton abÂ Â t6x 0w ext. 185 Â tfÂ )
www.youracsa.ca
hi katie,
please have your it check that authenticated smtp is enabled for the email account that is used for eft in the microsoft 36 ext 35Â  help desk (
for support related items please use ourÂ submit a requestÂ on the support page.
donâ€™t forget to follow baass onÂ twitter,Â linkedin,Â facebook,Â instagramÂ andÂ youtube</t>
  </si>
  <si>
    <t>fw: privacy assessment it related questions</t>
  </si>
  <si>
    <t>submitted on behalf of nhp canada. this should go to opal.
chris ippolito
manager, client experience
ph.Â +       ext 312
14505 114th avenue nw
edmonton,       ab
t5m2y ext. 259
toll free: 
web:Â www.nhpcanada.org and remember to regularly check your government health services website for updates.
this message (including any attachments) is for the addressee(s) only and may contain information that is privileged, confidential or exempt from disclosure. if you have received thisÂ message in error please immediately notify the sender and delete this email message and any attachments.</t>
  </si>
  <si>
    <t>fw: newforma workflow connector for procore  enhancement update</t>
  </si>
  <si>
    <t>please provide a quote to complete newforma upgrades for project center server and project centre client as noted in the email below.Â  the â€˜full release notesâ€™ link should provide all necessary info.</t>
  </si>
  <si>
    <t>[jira] (og-1076) email is down - both on outlook and sharepoint</t>
  </si>
  <si>
    <t>elaine corbett made 1 update. ontario genomics/og-1076 email is down - both on outlook and sharepoint 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
elaine corbett made 1 update.
ontario genomics
/Â Â    Â  og-1076
 email is down - both on outlook and sharepoint 
  elaine corbett  8:11Â pmÂ est
status: waiting for support  escalated
view issue
get jira notifications on your phone! download the jira cloud app for android or ios.
manage notifications   Â â€¢Â    give feedback   Â â€¢Â    privacy policy</t>
  </si>
  <si>
    <t>we have a new printer in our shipping dept. &amp; need it set up properly please.</t>
  </si>
  <si>
    <t>fortinet renewal notice - support expires 17-feb-2021</t>
  </si>
  <si>
    <t>- fw: shoretel voice message from +17802379285 for mailbox 880</t>
  </si>
  <si>
    <t>good morning,
received this voicemail email to  but it appears in the email address to be addressed to e4c-at emergency.  wanted to send to you as i think there may be an issue with the forwarding.</t>
  </si>
  <si>
    <t>bittitan - collaboration license</t>
  </si>
  <si>
    <t>the primary contact in connectwise  
main
 next digital edmonton  
fri 15 jan, 2021  
71 x bittitan collaboration licenses</t>
  </si>
  <si>
    <t>fw: subscription renewal reminder.</t>
  </si>
  <si>
    <t>hello mnp,
has someone been able to review my jan 13, 2020 email request?
can you help with my adobe accounts and how it is set up for monthly payments?
i am being billed $34.61 for an adobe account to an old credit card.
1. i need this adobe to be with the bulk accounts
2. need this credit card to be removed.</t>
  </si>
  <si>
    <t>poundmaker - missing the sophos email gateway connectors in o365</t>
  </si>
  <si>
    <t>poundmaker is missing the sophos email gateway connectors in o365
poundmaker is missing the sophos email gateway connectors in o365
these were added when we removed the exchange server, but have been removed since then.
 no  
 everyone  
 work impacting</t>
  </si>
  <si>
    <t>fw: 5 new ip 480 phones required</t>
  </si>
  <si>
    <t>note email address confirmation for billing purposes.
good morning!
i'm looking to add 5 new phonesÂ to our system. each of them will be brand new phones at the desks (no previous phones at the desks).
can you also let me know where invoices are being sent? we haven't received invoices on our last 3 requests and want to make sure you are getting paid. if you can please forward them to  it would be greatly appreciated.</t>
  </si>
  <si>
    <t>fortinet renewal notice - support expires 16-feb-2021</t>
  </si>
  <si>
    <t>hi there,
our toshiba printer stopped working for all of us upstairs earlier today. i spoke with toshiba and he reinstalled the driver on my computer but apparently everyone else will need to have it reinstalled on theirs now too. he saved it onto my desktop for our it to take care of.
can we arrange to have this taken care of?</t>
  </si>
  <si>
    <t>[jira] automation for jira assigned og-1076 to you - email is down</t>
  </si>
  <si>
    <t>automation for jira assigned this issue to you
ontario genomics/og-1076 email is down - both on outlook and sharepoint 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
automation for jira assigned this issue to you
ontario genomics
/Â Â    Â  og-1076
 email is down - both on outlook and sharepoint 
  automation for jira  8:11Â pmÂ est
assignee: unassigned  jorge bustamante
view issue
get jira notifications on your phone! download the jira cloud app for android or ios.
manage notifications   Â â€¢Â    give feedback   Â â€¢Â    privacy policy</t>
  </si>
  <si>
    <t>cannot get onto the  hub (hub.landrex.com)</t>
  </si>
  <si>
    <t>this is what i get when i try to access the  hub through chrome.
heather mcleod
project coordinator
t:780.459-526
220 summit plaza 190 boudreau road st. albert ab t8n 6b9// landrex.com
private and confidential - the information transmitted is intended only for the person or entity to which it is addressed and may contain proprietary, business-confidential
and/or privileged material.Â  if you are not the intended recipient of this message you are hereby notified that any use, review, retransmission, dissemination, distribution,
reproduction or any action taken in reliance upon this message is prohibited. if you received this in error, please contact the sender and delete the message and any related
attachments or copies.</t>
  </si>
  <si>
    <t>we have so many computer and server problems i donâ€™t even know where to begin. please come see me when you get here!Â 
sent from iphone.</t>
  </si>
  <si>
    <t>[jira] (tiap-1002) microsoft teams download</t>
  </si>
  <si>
    <t>susanne staer added 1 new comment. toronto innovation acceleration partners/tiap-1002 microsoft teams download 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
susanne staer added 1 new comment.
toronto innovation acceleration partners
/Â Â    Â  tiap-1002
 microsoft teams download 
  susanne staer  12:5 â€“ 
i am talking to him now at 1 so i can let him know to expect your call. this afternoon he has only 2-2:30 free, however.
reply-to: it support &lt;&gt;
date: friday, january 15, 2021 at 12:09 pm
attached file
(0.0 kb)
view issue
get jira notifications on your phone! download the jira cloud app for android or ios.
manage notifications   Â â€¢Â    give feedback   Â â€¢Â    privacy policy</t>
  </si>
  <si>
    <t>exchange self-signed certificate being used for tls</t>
  </si>
  <si>
    <t>lance molnar
field services technician
ph.Â +
14505 114th avenue nw
edmonton,       ab
t5m2y8
mnp.ca 
hello lance,
iâ€™ve been having trouble getting our new website to use our exchange server to send email. it keeps rejecting the tls certificate. so i started to use
https://www.checktls.com/testreceiver to test our server at mail.adaandc.com. it gives the following log (cert errors in yellow)
â€‘â€‘&gt;
starttls
&lt;â€‘â€‘
220 2.0.0 smtp server ready
starttls command works on this server
connection converted to ssl
sslversion in use: tlsv1_2
cipher in use: ecdhe-rsa-aes256-sha384
perfect forward secrecy: yes
certificate #1 of 1 (sent by mx):
cert validation error(s): unable to get local issuer certificate
this may help:what is an intermediate certificate
so email is encrypted but the recipient domain is not verified
cert hostname does not verify (adaandc.com != adaandc-mail-01.adaandc.local  dns:adaandc-mail-01.adaandc.local)
so email is encrypted but the host is not verified
```
not valid before: novÂ  2 17:46:40 2017 gmt
```
```
not valid after: novÂ  2 17:46:40 2022 gmt
```
subject= /cn=adaandc-mail-01.adaandc.local
issuer= /cn=adaandc-mail-01.adaandc.local
~~&gt;
ehlo www11-do.checktls.com
so what i can see here is it is using a certificate that expires on november 2, 2022 (in green). when i look at my exchange certificates this is our self-signed certificate:
so i attempted to make mail-01 use our godaddy certificate for tls encryption as this should allow our cert to pass and is a best practice. so next i used the exchange powershell to enable the godaddy certificate for smtp and then removed the self signed certificate from the server and i restarted the microsoft transport service. this however just disabled tls altogether on mail-01. a test from checktls.com showed that starttls option was no longer available and i was getting an error (event id 12014) in the application log of:
microsoft exchange could not find a certificate that contains the domain name adaandc-mail-01.adaandc.local in the personal store on the local computer. therefore, it is unable to support the starttls smtp verb for the connector outbound proxy virtual send connector with a fqdn parameter of adaandc-mail-01.adaandc.local. if the connector's fqdn is not specified, the computer's fqdn is used. verify the connector configuration and the installed certificates to make sure that there is a certificate with a domain name for that fqdn. if this certificate exists, run enable-exchangecertificate -services smtp to make sure that the microsoft exchange transport service has access to the certificate key.
i tried re-enabling the certificate and this webpagehttps://blogs.blackmarble.co.uk/adawson/2016/03/02/exchange-2013-cert-change-unable-to-support-the-starttls-smtp-verb/Â  and ran these commands:
$certs = get-exchangecertificate -thumbprint 8d7d47fbf1d7e3b43cf0e5ee4755653de7c78401
$certinfo = â€œ&lt;i&gt;â€ + $certs.issuer + â€œ&lt;s&gt;â€ + $certs.subject
set-receiveconnector "client frontend adaandc-mail-01" -tlscertificatename $certinfo
but couldnâ€™t get it working. so for now iâ€™ve reverted back to the self-signed certificate but would like to get us onto the godaddy cert.
any ideas or can we schedule a tech to set this up? only on mail-01 for now and then once working for mail-04.
what do you think?</t>
  </si>
  <si>
    <t>increase ram on nddc-unifi01
vm constantly showing high memory alerts. please shutdown, and increase ram by 2 gb
 no  
 everyone  
 work impacting</t>
  </si>
  <si>
    <t>add space to f drive on nc-lsc-be03
we need to add 50gb of space to the sbove listed drive 
corrisponding tocket 1279747
 no  
 everyone  
 other</t>
  </si>
  <si>
    <t>give the new guys itg write access
please give oarrie, justin, brian, and kulvinder appropriate access in itg.  oarrie needs write access, justin and brian will need things like router admins, and kulvinder will need everything that ssss get.  please reach out to each of them upon completion of changes.  start with oarrie, he needs to record a password.
 no  
 some  
 work impacting</t>
  </si>
  <si>
    <t>no internet bobcat of calgary</t>
  </si>
  <si>
    <t>we have no internet in the office.
sales manager
bobcat of calgary</t>
  </si>
  <si>
    <t>fw: foxit phantom update</t>
  </si>
  <si>
    <t>hello,
can we make it so the users on server unique do not get the notifications for foxit phantom updates? if thatâ€™s possible, will mnp still know when we have foxit updates available? is this update something we should be applying right away or putting off?</t>
  </si>
  <si>
    <t>adobe- file name too long</t>
  </si>
  <si>
    <t>good morning,
we are having issues opening certain files do to the file name being too long. i have attached a snippit of the alert we receive when attempting to open the files.
please advise as to how to proceed.</t>
  </si>
  <si>
    <t>royal caretaking - shaw internet slower than advertised</t>
  </si>
  <si>
    <t>royal caretaking speed test
i have been cc'd on an email for about 3 months working with shaw to get the internet speeds increase to what was promised by shaw. the think they have figured out the issue but want someone to run a speed test with a laptop bypassing all of our equipment. this means plugging your laptop directly in to the shaw modem. we should be getting atleast 900mbps but they said they are getting 600mbps behind our equipment. i ran a speed test on the server and only got the original 300mbps. so if we can have someone contact zack to book an outage to run this test and report back to shawn parks and myself that would be great. please let me know if you need any other information before heading on site 
 no  
 everyone  
 work impacting</t>
  </si>
  <si>
    <t>fw: cannot get onto the  hub (hub.landrex.com)</t>
  </si>
  <si>
    <t>this is the other message i get:
heather mcleod
project coordinator
t:780.459-526
220 summit plaza 190 boudreau road st. albert ab t8n 6b
f:
220 summit plaza 190 boudreau road st. albert ab t8n 6b9// landrex.com
private and confidential - the information transmitted is intended only for the person or entity to which it is addressed and may contain proprietary, business-confidential
and/or privileged material.Â  if you are not the intended recipient of this message you are hereby notified that any use, review, retransmission, dissemination, distribution,
reproduction or any action taken in reliance upon this message is prohibited. if you received this in error, please contact the sender and delete the message and any related
attachments or copies.</t>
  </si>
  <si>
    <t>acsa - desktop quote</t>
  </si>
  <si>
    <t>set up remote desk top new laptops
need to have remote desktop set up on new laptops for wellness network
 no  
 some  
 unable to work</t>
  </si>
  <si>
    <t>change permissions for jon gulayets
change permission of jon gulayets so that he cannot view all ticket in client portal
 no  
 one  
 other</t>
  </si>
  <si>
    <t>lori ann hart sage access different</t>
  </si>
  <si>
    <t>hi darryl
we are facing issues with wifi in the shipping area, particularly with the credit card machine. it is a moneris core v400m wireless terminal.
the machine sits less than 3 feet from the booster and it still doesnâ€™t get wifi.
can you check on your end if the booster is working properly?
shubh</t>
  </si>
  <si>
    <t>check state of voicemail connector in manage
we haven't seen any vms in triage since last week.  please verify that the connector is actually working.
 no  
 everyone  
 work impacting</t>
  </si>
  <si>
    <t>local email - more</t>
  </si>
  <si>
    <t>it appears that none of the emails we had set up are workingâ€¦
*******************************
office coordinator
401-11010 142 st nw
edmonton, abÂ  t5n 2r
tracy, i still canâ€™t send any messages from my edpub account to anyone outside edpub.org. most likely, you will get this message and my home account () will not. further complicating the issue is if someone outside of edpub.org tries to send an email  it will not send. iâ€™ve tried multiple accounts and asked natasha. unfortunately and as expected, she was unsuccessful in sending a message or successfully setting up her edpub office 365 account.
aaron kucher
ept local 37
twc chair
hey aaron,
it worked. iâ€™ve logged in as you and i see your one final test message.
microsoft was having a major meltdown late yesterday afternoon. looks like it should be good to go now? tracy
*******************************
office coordinator
401-11010 142 st nw
edmonton, abÂ  t5n 2r
tracy, hopefully you get this message, but i tried to send a test email to my regular home email and it failed to send. i then tried to send an email  and it failed.
aaron kucher</t>
  </si>
  <si>
    <t>windows upgrade</t>
  </si>
  <si>
    <t>we are starting to see this error on some of our computers.
you are running windows 7 operating system and in 110 days (12/31/2020) you will be unable to launchÂ lightspeedevo on this computer.Â  you will need to upgrade to a supported operating system, which currently includes:
windows 8.1
windows 10
can i get a quote to update windows on 1Â 
 and powersports
www.eckomarine.com</t>
  </si>
  <si>
    <t>secure folder in s drive - ecs</t>
  </si>
  <si>
    <t>hi mnp,
can you please setup a secure folder in thes drive, within the personal lines folder, named ecs. there is currently an ecs folder there. please use the existing folder if you can apply the following security settings to it, otherwise remove existing and create a new one. only the following groups/individuals should have access to the ecs folder (and they should have full permission within that folder):
ecs team
 christina sholter
 colleen coombs
 dora jones
 kim heykants
 meagan leitch
management
mhk it team</t>
  </si>
  <si>
    <t>hi there,
some of our computers say we have no internet connection, we do have access to it for some things, but not others.
r3 deconstruction &amp; demolition inc.
relationships â€“ results â€“ reputation
#100-18215 11
fax: 
www.r3demo.com
instagram:@r3_demo__abatement
facebook:r3 deconstruction</t>
  </si>
  <si>
    <t>hello,
i would like assistance getting access to ideal insulations iis server that is hosting their celeritime application as there seems to be issues with adding new employees.
let me know if you have any questions.
i will be unavailable for the next 3 x 10 x 103
good morning kyle,
we are having another issue with an employee not working in the time clock.Â  i made an previous employee active in the time system, as he is now working for us again, and its coming up with the same error as the last time.
mike fowler, heâ€™s in edmonton, same as last time.
when you have some time can you do your magic and make it work pleasej
teresa bowes
insulation coordinator
attics â€¢ roofing â€¢ spray foam â€¢walls</t>
  </si>
  <si>
    <t>hello,
we would like to have the shoretel app put on all of the tech computers.
is this something that is preset on the computers, or something i will need to manually have put on each computer.
best regards,
  assistant to executives   
tel:   Â  www.lexusofedmonton.ca
 family member since 2014</t>
  </si>
  <si>
    <t>fieldlaw mitel application - unable to reach your server</t>
  </si>
  <si>
    <t>hi,
we are having issues with our mitel application on desktop â€“ says unable to reach your server at fl-shoretel-hq.fieldlaw.com
desk phones are working fine.
could you please look into this.
kind regards,
jaishil r prasad
edmonton mits system consultant
..................................................................
mobile: 825.993.419
email:
this message and any attached documents are only for the use of
the intended recipient(s), are confidential and may contain privileged 
information. any unauthorized review, use, retransmission, or other 
disclosure is strictly prohibited. if you have received this message in 
error, notify the sender immediately, and delete the original message.
long view approved for general use</t>
  </si>
  <si>
    <t>- i use blackbaud's raiser's edge software. it is supposed to be integratre...</t>
  </si>
  <si>
    <t>extended summary
 - i use blackbaud's raiser's edge software. it is supposed to be integratred with micorosoft outlook. there is a blackbaud for outlook plug in that has an add-in error when i try to use it.
description
i use blackbaud's raiser's edge software. it is supposed to be integratred with micorosoft outlook. there is a blackbaud for outlook plug in that has an add-in error when i try to use it.
when i click an email address in blackbaud's raiser's edge, it opens up microsoft outlook correctly. but then when i click the blackbaud icon that's supposed to open a feature that will add an action to the raiser's edge record for sending the email, the add-in does not work and shows an error message
 no  
 one  
 work impacting</t>
  </si>
  <si>
    <t>- opal approved, expand c drive by 20 gb on server asi-mail02</t>
  </si>
  <si>
    <t>opal approved, expand c drive by 20 gb on server asi-mail02
reference ticket: 1285073 
approved to expand 20 gb on the c drive. the server is a vm
 no  
 one  
 other</t>
  </si>
  <si>
    <t>carya - agm on-site assistance
thursday sept 24th - 5pm - carya will be hosting their agm and their team is requesting on-site presence from 4:30 onwards. meeting likely to last longer than 30 minutes and so the on-site presence may be needed from 4:30-6:00pm.
 no  
 one  
 other</t>
  </si>
  <si>
    <t>my computer always telling me that is getting virus and trojan
can somebody come and see if we need to install anti virus?</t>
  </si>
  <si>
    <t>canfit sql backups</t>
  </si>
  <si>
    <t>hello,
i canâ€™t seem to find where the daily sql backups for canfit are going.Â  none of the maintenance plans execute without an error.Â  can you please look into it for me?</t>
  </si>
  <si>
    <t>site - unknown beeping in calgary server room</t>
  </si>
  <si>
    <t>can we get this checked out?
business process manager
t:       +
c:       +
f:       +
e:       
w:       www.siterg.com
#170, 120 pembina rd., sherwood park, ab, t8h 0m2</t>
  </si>
  <si>
    <t>calgary number not working again</t>
  </si>
  <si>
    <t>hello,
are we able to have someone telnet into the calgary switch 2c-cgy-t1k at  and reboot asap. our calgary main line is currently down.</t>
  </si>
  <si>
    <t>remote access - access from home computer</t>
  </si>
  <si>
    <t>good morning,
i am having issues with accessing rds from my home computer. it keeps giving me error message that i have to contact my administrator.
also, our internet and computers are very slow today. i have been waiting for a few websites and i am not able to close the internet pages as they are completely frozen.</t>
  </si>
  <si>
    <t>rds session reconnect messages (just after noon today)</t>
  </si>
  <si>
    <t>hi mnp,
just starting since late last week or the beginning of this week, iâ€™m getting the reconnecting message (i.e. the one that says 1 of 5 attempts) for my rds connection â€“ once or twice a day since it started (it just happened right after noon today â€“ iâ€™m on server 1Â 
cÂ Â Â Â  
12316-107 avenue, edmonton, ab  t5m 1z1
www.mhkinsurance.com
we're here to help with your insurance needs. emails       and phone calls are still encouraged. appointments are required for       in-office broker meetings. please wear a mask when       visiting.
mhk welcomes       e-transfer payments to banking@mhkinsurance.â€‰com.
if you       receive this email in error, please notify us by reply email and destroy       this message. mhk complies with canada's anti-spam and alberta's pipa       legislations. if you no longer wish to receive emails from mhk, please       reply with 'unsubscribe' in the subject   line.</t>
  </si>
  <si>
    <t>mnp,
we have a few other calendars we have created for all mhk employees to access if needed for viewing room availability for the purpose of booking them. many times, i am unable to open the main boardroom and small boardroom calendars, really just since we migrated to 36Â 
cÂ Â Â Â  
12316-107 avenue, edmonton, ab  t5m 1z1
www.mhkinsurance.com
we're here to help with your insurance needs. emails       and phone calls are still encouraged. appointments are required for       in-office broker meetings. please wear a mask when       visiting.
mhk welcomes       e-transfer payments to banking@mhkinsurance.â€‰com.
if you       receive this email in error, please notify us by reply email and destroy       this message. mhk complies with canada's anti-spam and alberta's pipa       legislations. if you no longer wish to receive emails from mhk, please       reply with 'unsubscribe' in the subject   line.</t>
  </si>
  <si>
    <t>adding more people to acccess team ccs shared mailbox
please provide additional access to the team ccs shared mailbox for the following people:
1. alanna rast
2. brad gaboury
3. doug ries
4. garnett germain
5. gordon selman
6. heather leduc
7. ian oagles
8. jeff homynyk</t>
  </si>
  <si>
    <t>blockage of emails
we are continuing to find that emails are being blocked.  the latest, that is verifiable, is orders through our shopify account are not all making it through.  we can see them on the shopify site, but not all are making it through.  we are also uncertain what else may be blocked.
 yes  
 everyone  
 work impacting</t>
  </si>
  <si>
    <t>office needs to be installed on reception computer locally</t>
  </si>
  <si>
    <t>could we please have our cloud password changed?</t>
  </si>
  <si>
    <t>scanning  - rush</t>
  </si>
  <si>
    <t>hey there,
seems the big printer outside of accounting in the pre-owned building isnâ€™t wanting to scan papers to send to my email. restarted it but still not working. prints out a paper saying â€œcannot displayâ€ after every try.
best regards,
denaya enyedy  sales coordinator  lexus of edmonton
tel: 780-466-</t>
  </si>
  <si>
    <t>changes to address book - school reps 2020-21</t>
  </si>
  <si>
    <t>hopefully,Â this is coming close to the final changes on this address book.
please change the following:
take off:
kristy mccoy - 
darcia sarnecki - 
catherine borgeson -Â 
change:
carmelina stagliano -  to 
add:
sydney mcleod - 
lori houle - 
patricia opyr - 
laurie bonanni-mcgee -</t>
  </si>
  <si>
    <t>hello,
i received an email from  @ ideal insulation stating their time clocks are having issues.
i would like to schedule a time with you to connect to their server that is hosting this app and make the necessary changes to resolve this issue.</t>
  </si>
  <si>
    <t>urgent - daily server interruption at 11pm</t>
  </si>
  <si>
    <t>good day team,
please see attached for an error message that pops up regarding the server disconnect. my night shift crew has advised that this occurs every day at 11pm. 
can you advise what can be done to fix the issue? ideally, we need access to the server without interruption between 5am to 1am the next day.</t>
  </si>
  <si>
    <t>fw: undelivered mail returned to sender</t>
  </si>
  <si>
    <t>hi there. i keep getting this same message when i try to send emails to head office. is there an issue with the server?
doris
doris bryan 
r e s i d e n t  m a n a g e r
t. 
5112 elbow dr sw
calgary, alberta t2v 1h ext. 21 suite 400, 1550 5 st sw calgary, alberta t2r 1k3
-----original message-----
i keep getting this message....
-----original message-----
this is the mail system at host gateway32.websitewelcome.com.
i'm sorry to have to inform you that your message could not be delivered to one or more recipients. it's attached below.
for further assistance, please send mail to postmaster.
if you do so, please include this problem report. you can delete your own text from the attached returned message.
the mail system
&lt;&gt;: host
mx-01-us-west-2.prod.hydra.sophos.com said: 554 5.7.1
service unavailable; client host  is blacklisted. visit
https://us-west-2.protection.sophos.com?d=sophos.com&amp;u=ahr0chm6ly93d3cuc29wag9zlmnvbs9lbi11cy90ahjlyxqty2vudgvyl2lwlwxvb2t1cc5hc3b4p2lwpte5mi4xoduumtq1ljeymg==&amp;e=y2fyb2x5bm5llnnjb2zmawvszebhcmxpbmd0b25zdhjlzxquy2e=&amp;t=utztrktjzfy0udiwsndemurnemwzv2dsszlpqwdfsk55dst3um1mk0vxmd0=&amp;h=7497f1d739bcfc3cb6
to request delisting (in reply to rcpt to command)
important covid-19 notice: please note that we remain open for business but, as a result of covid-19, our office is closed to the general public and open to clients by appointment only until further notice. with most of our staff now working remotely, please continue to contact us by email (preferably), or by phone, but note that there may be delays in checking voice messages remotely. we appreciate your continued business and patience during this unprecedented time.
the information in this email and any attachments is sent by arlington street investments and is intended to be confidential and for the use of only the individual or entity named above. the information may be protected by solicitor-client privilege, work product immunity or other legal principles. if the reader of this message is not the intended recipient, you are notified that unauthorized review, retention, dissemination, distribution, copying or other use of or taking any action in reliance upon this information is strictly prohibited. if you received this email in error, please notify us immediately by email reply and delete or destroy this message and any copies</t>
  </si>
  <si>
    <t>problem - lexus of edmonton - office 365 licensing</t>
  </si>
  <si>
    <t>lexus of edmonton
office  with retail keys. they were recently migrated to exchange online and it has caused some issues with the way office activates as it wants to use their own account now (which makes perfect sense - this is how ms licensing is supposed to work). unfortunately this is causing an issue where staff members are no longer able to use their ms365 apps once the program sees they have no license. this is going to keep happening unless we change something.
rather than being reactive to this problem now and every time a new machine is deployed, can we look into a proactive solution? this would probably be best handled by  the team. it can be something as simple as adding a step in their workstation setup documentation to order a license as soon as we know who it's for.</t>
  </si>
  <si>
    <t>- opal approved to add 20 gb, server nc-carya-be02, drive c</t>
  </si>
  <si>
    <t>opal approved to add 20 gb, server nc-carya-be02, drive c
need to add 20 gb, server nc-carya-be02, drive c
reference ticket: 1286735
 no  
 one  
 other</t>
  </si>
  <si>
    <t>fw: website hosting</t>
  </si>
  <si>
    <t>please assist mick in renewing the domain.
kolyn anderson
senior project specialist
ph.Â +       ext  4 st se
calgary,       ab
t2g2w3
mnp.ca 
can you please check that theÂ domain name is still ok, i get this when testing:
on tue, sep 15, 2020 at 3:27 pm kolyn anderson &lt;&gt; wrote:
hi mick
nothing has changed from our end that i am aware of.</t>
  </si>
  <si>
    <t>you have received a voice mail message from jim held, + for mailbox 127.
message length is 00:00:57. message size is 451 kb.</t>
  </si>
  <si>
    <t>mhk nicole g - question regarding permissions for previous versions</t>
  </si>
  <si>
    <t>mhk nicole g - permissions for previous versions
while discussing another issue with nicole, she asked about who could access and use the previous versions feature. there is some concern if it is available to all staff on the shares, and the possiblilty to overwrite live data with older data.
 no  
 everyone  
 other</t>
  </si>
  <si>
    <t>hi,
how come all of a sudden so many websites are blocked?</t>
  </si>
  <si>
    <t>locked out</t>
  </si>
  <si>
    <t>hello,
i've been out of the dealership for a couple days due to training. we are having issues with extensionsÂ where sales reps get automatically booted out. i need to be able to log back in so i can get this issueÂ resolved asap.Â 
can someone get in touch with me asap !Â 
you can call me at  ext 470.</t>
  </si>
  <si>
    <t>travis  blake - wbs email is down</t>
  </si>
  <si>
    <t>please note. this is in regards to my wbs email account. 
out of nowhere it started asking me for my password. on my iphone when i go to enter it i get this screen which iâ€™ve never seen before.Â 
president
r3 deconstruction
18215 114 ave, edmontonÂ 
t5s2p6
www.r3demo.com</t>
  </si>
  <si>
    <t>spencer - triage merged tickets stay on triage
when tickets are merged on triage, the resulting child tickets remain on the triage board.  example: service ticket #1260684 - email distribution group.  we need this ticket to be visible from the parent ticket as well.  we're also going to need to find all tickets that are on the triage board in the merged status and figure out if any of them are still relevant.
 no  
 some  
 work impacting</t>
  </si>
  <si>
    <t>amin esmaeili - wallworks - dropbox ie11 - eos</t>
  </si>
  <si>
    <t>wallworks - dropbox ie11 - eos
wallworks uses dropbox and there has been a notice sent out that dropbox is ending ie11 support as of october 2020.
please review if anyone has/uses ie11 that could run into issues with dropbox. if so, please inform them of the dropbox end of support.
 no  
 some  
 minor inconvenience</t>
  </si>
  <si>
    <t>hello,
can you please assign the following users adobe pro licenses.
rachel forseth &lt;&gt;;
jessica mihaly-lassonde &lt;&gt;;
jennifer nouch &lt;&gt;;
chris steel &lt;&gt;</t>
  </si>
  <si>
    <t>good morning,
can some one please help us asap, we are unable to send emails from blue link.</t>
  </si>
  <si>
    <t>itero machines not connecting to proper wifi.</t>
  </si>
  <si>
    <t>had discussed this with faizel janmohamed last week in our sherwood park office now having issues with our itero machines connecting to itero wifi when they should be connecting to align net wifi.  
can reach me at our hewes office - .</t>
  </si>
  <si>
    <t>brenda raynard - ccs contracting</t>
  </si>
  <si>
    <t>good afternoon
our calgary branch has been having issues with their phone system completely shutting off and on over the last couple of days. can you please contact janette at 403-585-775
fax:</t>
  </si>
  <si>
    <t>possible power outage at our building sept 16, 2020</t>
  </si>
  <si>
    <t>hello helpdesk,
please be advised highline electrical will be onsite on wednesday september 16, 2020 from 6:00pm â€“ 2:0  e: f: 
180, 839 5 ave sw  calgary, ab  t2p 3c8
carya (formerly calgary family services)
stay up to date with the latest carya news, programs, and events by signing up for ourmonthly newsletter.
in the spirit of our efforts to promote reconciliation, we acknowledge the traditional territories and oral practices of the blackfoot, the tsuut'ina, the stoney nakoda first nations, the mÃ©tis nation region 3, and all people who make their homes in the treaty 7 region of southern alberta. we also respectfully acknowledge that the province of alberta is comprised of treaty 6, treaty 7, and treaty  during business hours (monday-friday, 8:30am-4:3) and in case of an emergency dial 911.
this e-mail is intended solely for the person or entity to which it is addressed and may contain confidential and/or privileged information. any review, dissemination, copying, printing, forwarding or other use of this e-mail by persons or entities other than the addressee is prohibited. if you have received this e-mail in error, please contact the sender immediately and delete the material from your computer.</t>
  </si>
  <si>
    <t>carya rds cloud backup
we're updating quickbooks tonight, if we can complete a backup of the next cloud environment at carya prior to my start time at 8pm.
 no  
 everyone  
 other</t>
  </si>
  <si>
    <t>important: sig hotfix and cloud maintenance window</t>
  </si>
  <si>
    <t>dear clients,
please be advised sigÂ hotfix release 2020.02.155Â will be made available via liveupdate on friday september 25, 2020. keal cloud brokers will have this update applied during our  window on sunday september 27, 2020 between 6am to 2pm et. 
items corrected in this release:
 reports with multiple report instances can now be successfully run using the report scheduler
 suspense field â€œsuspended toâ€ no longer showing terminated users in the drop-down menu
 when doing a billing method reassignment, the policy line with the new billing method is now showing in the policy grid
 an issue causing errors when producing a lloydâ€™s auto dec page in sig has been corrected
remember, if your office has not yet updated to 20r2 (2020.02) full release, this must be updated before you apply the hotfix. if you need help determining the correct sequence to apply updates in your office, please contact support.</t>
  </si>
  <si>
    <t>field law documentation
documentation needs to be updated to reflect what we do and don't support for field law, as well as include contact information for their current managed services provider. it currently has info from when they were still a managed client.
shouldn't this be updated when a client is offboarded?
 no  
 everyone  
 work impacting</t>
  </si>
  <si>
    <t>multiple staff - email issue</t>
  </si>
  <si>
    <t>hi jason,
one of my contacts at aer â€“ andrea moniz () has been trying to send me emails this morning, and none of them are coming through to me. she hasnâ€™t had any bounce back messages, and nothing indicating that the email wasnâ€™t received. i checked my junk mail and itâ€™s not there. i have received things from her in the past without issue, so this is a really weird situation.
are you able to look into this for me, and try to find out whatâ€™s going on?
please note, i have a meeting from 10 -11 and 1:30-3:30, and i finish my day at 3:3
fax: 
this communication is intended for the use of the recipient to which it is addressed, and may contain confidential, personal and/or private information. please contact me immediately if you are not the intended recipient of this communication, and do not copy, or take action relying on it. any communication received in error, or subsequent reply, should be deleted or destroyed.
pplease do not print this email unless absolutely necessary. the trees will thank you!</t>
  </si>
  <si>
    <t>window update notice on thin client</t>
  </si>
  <si>
    <t>hello mnp,
can you please look why  is receiving this message on his thin client? if you need to access his system to troubleshoot, please reach him at 587-349-747Â 
cÂ Â Â Â  
12316-107 avenue, edmonton, ab  t5m 1z1
www.mhkinsurance.com
we're here to help with your insurance needs. emails       and phone calls are still encouraged. appointments are required for       in-office broker meetings. please wear a mask when       visiting.
mhk welcomes       e-transfer payments to banking@mhkinsurance.â€‰com.
if you       receive this email in error, please notify us by reply email and destroy       this message. mhk complies with canada's anti-spam and alberta's pipa       legislations. if you no longer wish to receive emails from mhk, please       reply with 'unsubscribe' in the subject   line.</t>
  </si>
  <si>
    <t>crm not working</t>
  </si>
  <si>
    <t>please let me know if there is anything else that you may need.</t>
  </si>
  <si>
    <t>- mhk's rds desktop screensaver missing</t>
  </si>
  <si>
    <t>mhk's rds desktop screensaver missing
can we get our 202</t>
  </si>
  <si>
    <t>server reboot acsa-shq-003</t>
  </si>
  <si>
    <t>hello,
can i get a reboot on our shoretel call recorder server acsa-shq-003 asap as it is currently not recording calls or has been since the sophos updates on september 8.</t>
  </si>
  <si>
    <t>good morning,
we have received several complaints from our members about our emails going into spam/junk inboxes.Â  there seems to be quite a few when we send out meeting invites, that would include zoom links and details.
it is getting frustrating for them. i have advised to review their spam filters, but even then, there are far too many issues.
is there something we can do or tell them?
â€œchange is inevitable, so embrace it.â€
office administrator
discipline and sanctions
hockey edmonton
zone 8 â€“ mdc â€“ hockey alberta
10618 124 street nw
edmonton, ab t5n 1s ext. 10
www.hockeyedmonton.ca
hockey edmonton aims to foster, through the sport of hockey, development of active, healthy lifestyles.</t>
  </si>
  <si>
    <t>michelle rose - access to i drive</t>
  </si>
  <si>
    <t>hi mnp,
please give michelle rose access to the i drive.
also, i canâ€™t see a folder called policies &amp; procedures that jana created in the i drive. we met today and discussed this, but i didnâ€™t have a visual of that particular folder on my end. please advise.</t>
  </si>
  <si>
    <t>re: copitrak down at back office xerox</t>
  </si>
  <si>
    <t>if i could add, somehow what is going on is also affecting the independent lawyers network connection/wifi way on the other side of the office.Â  one lawyer has stretched a cable from his desktop down the hallway into the server room to connect to the back of the old strathcona law office router so that he can work.
assistant to robert simpson
durocher simpson koehli &amp; erler llp
7904 gateway blvd.
edmonton, ab t6e 6c
fax:Â 0
good morning,
our copitrak is down at the back xerox and is not recording prints/scans/photocopying at the xerox.Â  printing from the computer still brings up the copitrak pop up screen listing the files.Â  copitrak is still up at the front xerox.Â  can this be fixed?Â  my computer slowed down in the last 10 mins and my screen was freezing but that part seems to be fixed, i was kicked out of the nextcloud and had to completely log back in again.Â  iâ€™m not sure if this is related?
natalie at the back, with jordan are having computer problems as well. computers are giving slow response time and nicole canâ€™t log onto speech live dictation.
help!
assistant to robert simpson
durocher simpson koehli &amp; erler llp
7904 gateway blvd.
edmonton, ab t6e 6c
fax:Â 0</t>
  </si>
  <si>
    <t>fw: vesta folder need restored</t>
  </si>
  <si>
    <t>this is the folder that i need put back as i accidently deleted what was in here as of sept 20.
z:\branch files\es branch files\_e-tickets\3. for customer approval\vesta</t>
  </si>
  <si>
    <t>unhealthy identity synchronization notification: september 10, 2020 23:06 utc</t>
  </si>
  <si>
    <t>find out how to troubleshoot this issue.Â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 ---
---
your identity synchronization from on-premises is unhealthy
on september 10, 2020 23:06 utc, azure active directory did not register a synchronization attempt from the identity synchronization tool in the last 24 hours for  .
for information on troubleshooting this issue, please see the directory synchronization troubleshooter resource.
--- ---
--- 
do not reply to this message. it was sent from an unmonitored email account.
--- ---
---
--- ---
--- 
privacy statement
microsoft corporation, one microsoft way, redmond, wa 98052
--- ---
---</t>
  </si>
  <si>
    <t>we were having difficulties with our sterilization computers about a week ago, and now the issue has resurfaced.  
it is in regards to the recording/reporting .  
could we please have a technician call to assist us with this.</t>
  </si>
  <si>
    <t>| multi-factor authentication - service accounts</t>
  </si>
  <si>
    <t>hello,
 has approved the deployment of microsoft 365 multi-factor authentication (mfa). currently users have been instructed to self-enroll their mobile devices prior to planned enforcement next week.
can you inform us if your team has service accounts or tools which may be affected by mfa? we need to determine if any tools are using legacy authentication and if an app password may be required.
 currently utilizes azure ad free tier which does not offer conditional access controls. an option for services accounts is to provision premium azure ad license to leverage benefits of conditional access controls to avoid impacting current authentication methods.</t>
  </si>
  <si>
    <t>fw: firewall issues still!</t>
  </si>
  <si>
    <t>good afternoon team,
issues with the sophos spam filter have been ongoing for shayna and her team. we need to get this taken care of.
please review past tickets and gather the details as necessary. i will forward any information as it becomes available.</t>
  </si>
  <si>
    <t>fw: ipsec vpn tunnel to canada</t>
  </si>
  <si>
    <t>jerry wilkinson
senior project specialist
ph.Â +       ext 309
14505 114th avenue nw
edmonton,       ab
t5m2y8
mnp.ca 
hi jerry
we have upgraded the firewall and for some reason it has completely removed the tunnels.
have re-created the tunnel with theses settings.
1. ike crypto profile
1. ipsec crypto profile
1. ike gateway with pre-shared key:3n19ybu11ln1hkbhifpl04byrza7x6do
advance options
1. ipsec tunnel
1. status is red.
is this all correct?
kind regards
gerhard erasmus
information technology supervisor
multotec (pty) ltd
tel: Â Â Â Â Â  +27 (0) 11Â 928 4207
mobile: +27 (0)73Â 393 7724
email:
achieve yourmineral processinggoalswithmultotec:Â www.multotec.com</t>
  </si>
  <si>
    <t>fw: urgent!!</t>
  </si>
  <si>
    <t>flavio soares
strategic advisor
ph.Â +       ext 325
14505 114th avenue nw
edmonton,       ab
t5m2y8
mnp.ca 
-----original message-----
we are not getting our emails to !!
i need people in this now. we are missing orders coming in and have clients losing their!!
president
r3 deconstruction
18215 114 ave, edmonton
t5s2p6
www.r3demo.com</t>
  </si>
  <si>
    <t>carya - constant contact dkim and self-authentication information</t>
  </si>
  <si>
    <t>hi,
we recently discovered that we are having issues sending email through constant contact (the platform we use to send mass emails to program participants, donor, stakeholders etc). a lot of our emails are bouncing. after talking to their support team it sounds like a change was made on our end that has caused this. iâ€™m trying to figure out whether this was a change that your team might have made or if this was caused by something else. see the below email for more details on what has happened.
if you could help me out with this i would greatly appreciate it. please feel free to give me a call at 403.606.479 e:  c: 
180, 839 5 ave sw  calgary, ab  t2p 3c8
carya (formerly calgary family services)
in the spirit of our efforts to promote reconciliation, we acknowledge the traditional territories and oral practices of the blackfoot, the tsuut'ina, the stoney nakoda first nations, the mÃ©tis nation region 3, and all people who make their homes in the treaty 7 region of southern alberta. we also respectfully acknowledge that the province of alberta is comprised of treaty 6, treaty 7, and treaty 8 territory, the traditional lands of first nations and mÃ©tis peoples.
hello carya, Â  thank you for your call to the deliverability team at constant contact. as discussed during our call your domain is currently employing a dmarc policy that is causing
this sender is trusted.
sophospsmartbannerend
hello carya,</t>
  </si>
  <si>
    <t>fw: cgy unable to access vmail</t>
  </si>
  <si>
    <t>please assign this to me.</t>
  </si>
  <si>
    <t>newforma/vision/marketing integration not working</t>
  </si>
  <si>
    <t>please open a ticket and contact dulcie.
the client reports that they cannot work properly due to this issue.
flavio soares
strategic advisor
ph.Â +       ext 325
14505 114th avenue nw
edmonton,       ab
t5m2y
hi julian â€“
i just sent craig an email and received your contact information per his out of office.
i am wondering if while craig is away you would be available to work with flavio, our it consultant to resolve the issue i have identified below.
dulcie timmons, marketing manager
group2
architecture interior design ltd.
200, 4706 Â 48thÂ Â avenue red deer ab t4n 6j4
t +
c +
group2.ca
good morning,
i am reaching out today with regards to an issue we have been having with regards to the following issue.
the interface between vision and newforma is not populating a folder on the marketing (o:) drive â€“ a typical error via vision reads â€œthe workflow could not be initiated because the record did not meet the workflow conditionâ€ â€“ sometimes there will be no error and still does not populate. jon has advised this is an issue but is currently on holidays.
craig and flavio, we are hoping to have this issue address sooner than later. are the two of you able to work together to resolve? please let me know how i can support the process and feel free to contact me directly if you have any questions.</t>
  </si>
  <si>
    <t>fax to email</t>
  </si>
  <si>
    <t>good afternoon,
our reception team let us know that the fax to email is not working. when a fax comes in is it not going through as a pdf to email. the girls have had to go into the faxer app and manually print them off.
if someone can take a look at as soon as possible. we do not know how long this has been going on.
if you need to talk to reception please speak to rachel</t>
  </si>
  <si>
    <t>for tracking, another email made it through to kyla (attached).
if we could have a specialist connect with kyla to review the email headers and identify remedies, that would be best.
amin esmaeili
manager, client experience
direct +       ext  4 st se
calgary,       ab
t2g2w3
mnp.ca 
hey raimund,
i wanted to bring this to your attention as bci seems to be having consistent anti-spam issues.
1. spam goes through
2. legit emails blocked.
3. some spam considered trusted (banner)
4. some spam donâ€™t have â€œblock senderâ€ option in the banner.
kyla has provided screenshots below.
i know #1 and #2 are debatable, though hopefully there is possible tweaks we can make to make it more accurate.
#3 and #4 are pretty odd.
i wasnâ€™t sure which ticket to put this into as i see there are a few already relating to email/spam.
#1252535 â€“ was the ticket rob assisted kyla with.
can we get a full review started of their anti-spam so as to improve itâ€™s filtering for the 4 points above?
@rob, @mike, @ali, if you guys have any additional insights on this issue, please add your thoughts.</t>
  </si>
  <si>
    <t>fw: action needed: ios distribution certificate expires in 30 days</t>
  </si>
  <si>
    <t>jana lumsden       cpa, cma
chief financial officer
eÂ Â Â Â Â  
dÂ Â Â Â  587.6-107 avenue, edmonton, ab  t5m 1z1
www.mhkinsurance.com
we're here to help with your insurance needs. emails       and phone calls are still encouraged. appointments are required for       in-office broker meetings. please wear a mask when       visiting.
mhk welcomes       e-transfer payments to banking@mhkinsurance.â€‰com.
if you       receive this email in error, please notify us by reply email and destroy       this message. mhk complies with canada's anti-spam and alberta's pipa       legislations. if you no longer wish to receive emails from mhk, please       reply with 'unsubscribe' in the subject   line.
dear jana lumsden, your ios distribution certificate will no longer be valid in 30 days. to generate a new certificate, sign in and visit certificates, identifiers &amp; profiles. certificate: ios dis
caution! this message was sent from outside your organization.
sophospsmartbannerend
dear jana lumsden,
your ios distribution certificate will no longer be valid in 30 days. to generate a new certificate, sign in and visitcertificates, identifiers &amp; profiles.
certificate: ios distribution
team id: npkf6b9x9s
to learn more about expired certificates, visit the certificates support page.
best regards,
apple developer program support
tm and Â© 2020 apple inc.
one apple park way, ms 301-1tev, cupertino, ca 95014.
all rights reserved / privacy policy / account / support</t>
  </si>
  <si>
    <t>carly dinan - csp user count audit</t>
  </si>
  <si>
    <t>csp user count audit
the client only has 8 employees and one server but the active licenses assigned through the csp portal is almost double that. i would like an audit to be done to review licenses and requirements. please provide me with an excel spreadsheet to review with the client.
 no  
 one  
 minor inconvenience</t>
  </si>
  <si>
    <t>server reboot (50.57.5.77 rackspace)</t>
  </si>
  <si>
    <t>good afternoon,
we are experiencing some anomalous behavior and latency with one of our applications. the application is running on a rackspace server and even connecting to the server via rdp has produced sporadic errors, so we were hoping to have the server rebooted at some point between 5 and 6 pm this evening, if possible?
sorry for the short notice, we only recently became aware of the issues and impacts.</t>
  </si>
  <si>
    <t>request for site survey at praxair edmonton  - 34th street</t>
  </si>
  <si>
    <t>hello dave,
please see the attached po and service order to request a site survey at praxairÂ  - 9501 3
www.setelecom.ca
making it our business to look after yours!
17075 leslie st units 7,8,9 &amp; 10Â newmarket, ontario, canada,Â l3y 8eÂ and follow the prompts.
facility video tour</t>
  </si>
  <si>
    <t>fw: toshiba printer</t>
  </si>
  <si>
    <t>hello,
i need you to change this printer to read to the following ip address so that we can set up capability in the server for it to talk to our cdk intellidealer software:
edmontonÂ Â Â Â Â Â Â Â  Â Â  Â Â Â Â Â  spare
please escalate this.</t>
  </si>
  <si>
    <t>i just spoke to support and they said the same thingâ€¦our email is running really slow</t>
  </si>
  <si>
    <t>raimund schwind -  - shoretel down</t>
  </si>
  <si>
    <t>- shoretel down
shortel down and inaccessible after power outage.  dave says we will need to send a tech with keyboard, monitor, and mouse.  any questions can be called in to dave
original email text: good morning dave and shawn,
we had a power outage last night that has wreaked havoc on our servers. everything is down at the moment including our shoretel server. i have tried restarting it manually since i am unable to access it remotely on the shoreware director. is it possible for you to do something on your end?
even to get us back up and phone lines redirecting to my cell? 780068 - outlook certificate errors</t>
  </si>
  <si>
    <t>wallworks - ongoing hp plotter issues</t>
  </si>
  <si>
    <t>this hp plotter has been a time sink hole for ali.
 i believe he worked with exdol on a ticket re: this issue.
 we need to review best driver options, otherwise recommend possibilities for upgrade.
amin esmaeili
manager, client experience
direct +       ext  4 st se
calgary,       ab
t2g2w3
mnp.ca 
hi amin,
one of the consequences to the recent upgrade to our server is that i was the only estimator able to print drawings on the hp designjet 1050c. mason discovered a driver online that amil subsequently installed on the server. although usable this driver is time consuming to use and limits our printing options. we need a better working solution. if you arenâ€™t our current account manager, please forward. thank you.
wallworks
acoustic architectural products inc.
vancouver. calgary. edmonton. winnipeg. toronto. montreal.
424 51 avenue se, calgary ab. ca. t2h 0m ext 2
 ;www.wallworks.com</t>
  </si>
  <si>
    <t>phones are down for external calling</t>
  </si>
  <si>
    <t>hey mark,
howâ€™s it going?
we can make internal calls, but we can't receive or make calls to external numbers.Â Â  i looked at our 3cx dashboard, and there doesnâ€™t appear to be any issues that would affect this.
can you have a look, please?
our voip provider emailed me yesterday saying that our system is not showing up as registered.Â  i am not sure what this means but have followed up with him.</t>
  </si>
  <si>
    <t>fw: ticket#/group2/ - poor performance on rdsvr share (projects) -- has been upda</t>
  </si>
  <si>
    <t>good morning jeff / nd team.Â  we are having issues with the projects server again today.Â  occurred earlier this morning around 8:30am and again now 10:45am.Â  please investigate asap.</t>
  </si>
  <si>
    <t>fw: help with a form</t>
  </si>
  <si>
    <t>this needs to go to probably an sa not sure.
Â  Â  project coordinatorÂ  Â  p-)Â  Â  Â tf- Â Â        Â nextdigital.ca
howâ€™s it going? Â  can you direct this to someone that can help fill out this form?Â  it was sent by our investment custodian. cheers, chris
this sender is trusted.
sophospsmartbannerend
howâ€™s it going?
can you direct this to someone that can help fill out this form?Â  it was sent by our investment custodian.</t>
  </si>
  <si>
    <t>kyla - addition of web dev agency</t>
  </si>
  <si>
    <t>kyla - addition of web dev agency
kyla will be going on maternity leave.
bci has hired an agency to take over and revamp their entire website. 
through this they may be taking on the sole responsibility when it comes to hosting, and amending any changes etc as per their package.
kyla would like to reconfirm all of their login details. they would like a single mnp contact with wordpress familiarity to be assigned as the liaison.
they would like :
cpanel access information (login and password)
kyla would like to provide the new team with access to everything asap.
 no  
 one  
 other</t>
  </si>
  <si>
    <t>access to fyi
many of the employee are getting access denied when they try to log in to their fyi since we have migrated
 no  
 everyone  
 other</t>
  </si>
  <si>
    <t>smtp info</t>
  </si>
  <si>
    <t>hello,
we are in the process of setting up some automated e-mail from keymay application server and we require some smtp information. if a new account is required  suggested, but mark should be able to provide a new name if that is not available.
we need the following
smtp server
smtp server port
ssl/tls requirements for smtp email service.
username/password for sending email through smtp server.</t>
  </si>
  <si>
    <t>nextcloud freezing for everyone/kicked out of the cloud repeatedly since 7 a.m.</t>
  </si>
  <si>
    <t>morning,
everyone in the back of our office keeps getting kicked out of nextcloud and our screens keep freezing.Â  itâ€™s been like this since 7 a.m. but worse in the last couple hours.Â  it doesnâ€™t seem to be happening to our receptionist on her computer up front.Â  is this something that can be fixed?</t>
  </si>
  <si>
    <t>opal  - update managed services proposal
the client team section is out-of-date and probably other areas too.
 no  
 some  
 work impacting</t>
  </si>
  <si>
    <t>hello,
our team uses a rdp connection to access our files at the office while working from home.
the connection uses this address: :6000</t>
  </si>
  <si>
    <t>rds disconnect frequently
rds disconnect frequently while working
 no  
 one  
 work impacting</t>
  </si>
  <si>
    <t>good morning, Â  our shortel is down, would someone please be able to assist us with this? Â  thank you, Â   concierge   tel: 780-</t>
  </si>
  <si>
    <t>concerns &amp; queries</t>
  </si>
  <si>
    <t>good morning
we have a couple of issues we wish to be addressed.
1. we donâ€™t appear to always be getting notices from our regular customers when they issue direct deposits.Â  has something within our firewall, or some other setting changed to not allow these notifications to come in?Â  it appears to be happening more frequently lately, but that may be the current situation, or vacation.Â  we would still like it checked.
2. we had emailed lance last week, but we would like someone to come in and sit with us to discuss plans in the event many members are required to work from home.Â  we were set up in late march, but that solution required the machine to be turned on at the office, and it doesnâ€™t appear to be working any longer.
we are hoping this shouldnâ€™t have been 2 separate requests.Â  please contact me if you have any questions.</t>
  </si>
  <si>
    <t>scanner need updating
scan to email no worky with mnp now
 no  
 everyone  
 work impacting</t>
  </si>
  <si>
    <t>printer added to network</t>
  </si>
  <si>
    <t>if possible can we please get the printer set up onto the network?
printer m454 dw (w1y45a) in the surgery prep area. currently hardwired to pvc-d-7094 , and need to get it connected to pvc-d-7096</t>
  </si>
  <si>
    <t>urgent: wifi issues</t>
  </si>
  <si>
    <t>we have users in our edmonton office at manulife saying that they are unable to connect to the wifi â€“ they are getting a verification error here. the password has been confirmed as the correct one, so iâ€™m not sure why some are unable to connect, but some are able to.
i am working from home, so i cannot confirm any of this. please contact carter smith at the edmonton office via  via his phone 780-702-808 c:  
a:#3540 manulife place, 10180-101 street,
 edmonton, ab t5j 3s4
w:canadaici.com
e:
edmonton  calgary  winnipeg  toronto  ottawa
this message and any attachments are confidential. if the reader is not the intended recipient, you are hereby notified.</t>
  </si>
  <si>
    <t>hello,
our staff are having a hard time logging into their webmail. when they try to access it through chrome we get an error message saying the connection is not secure.
 mba, crsp
chief operating officer
edmonton, alberta, canada
direct: 780.395.299
sherwood park main: 
www.alignortho.com</t>
  </si>
  <si>
    <t>issues with documents - multiple staff</t>
  </si>
  <si>
    <t>hi there, 
from the past few week iâ€™m having so many issues with excel docs. either the screen freezes or the doc. do not open at all. 
please advise how can we get the issue solved. i had couple managers as well having the same issues. 
the files are located here: 
1. i have to update everyday around 4-5pm
n:\leaders\agency leaders\ohs\9.1 covid-19 reports\working docs\e4c covid-19 compiled20200720.xlsx
1. manager access their folders between 3-5pm everyday but some of them having issues to open the docs.
n:\leaders\agency leaders\ohs\9.1 covid-19 reports</t>
  </si>
  <si>
    <t>can someone please help us, everybody in calgary and edmonton are getting the same error message.
shelly kitchen Â  Â _inside sales
d:587.393.946
Â  Â cts-industries.com</t>
  </si>
  <si>
    <t>brad dennis - website being blocked</t>
  </si>
  <si>
    <t>website being blocked
karen (receptionist) uses a site called eway.ca for ordering supplies from staples. today she was denied access and the fortinet shut us down. can someone please check into it? we use this site on a weekly basis.
 no  
 everyone  
 work impacting  
karen is our receptionist and will pick up our office number.</t>
  </si>
  <si>
    <t>ethernet switch / site cameras</t>
  </si>
  <si>
    <t>hi david,
we arenâ€™t having any luck with that new switch going out to our site cameras.
we replaced the sfp in the stratix out in the field and nothing happened. after that, we replaced the stratix switch altogether and still not getting any activity.
is there a chance the aruba sfp is bad? if so, do we have any spare sfpâ€™s onsite to replace it with?</t>
  </si>
  <si>
    <t>email distribution outlook</t>
  </si>
  <si>
    <t>hi there, 
please remove the following former employees from the distribution list/outlook as they are inactive users on outlook.
 caleb jacko
 cole smith
 danielle beaulieu
 deanna clarke
 ernestina malheiro
 hana clark
 jan man
 joylin fri ndumanu
 kara hewer
 kathryn east
 kayla mcdougall
 lisa sumner
 monique scheelar
 paige butler
 renay ristoff
 sarah andrews
 sara-jayne johnson carcerano
 sherry saulteaux
 stephanie ball
 vivianne bridgeman
 taylor wood
 tiffany james
 wren cliff
 zzz lauren pedersen
 zzz naseem heady
 zzz jazzmin pablo
 zzz lauren groves
 tracy robison
 jennie wiles
cancel the following rds accounts as well remove their names from the email directory/outlook. 
 rob fragoso
 talla rejaei
 test 1
 outreach 1
 outreach 2
 outreach 3
 ohs volunteer
 ohs volunteer 1</t>
  </si>
  <si>
    <t>work ticket</t>
  </si>
  <si>
    <t>i am getting an error report and can not access work ticket</t>
  </si>
  <si>
    <t>rds sessions = canada ici</t>
  </si>
  <si>
    <t>hi
i am investigating reports that cms in our rds environment is having issues for some users.
can you provide a report for me of who is accessing our rds environment and how long the session has been active for.</t>
  </si>
  <si>
    <t>please assign to me.
field services technicianÂ Â  p-)Â Â  Â tf-Â Â  Â nextdigital.ca
struggling with h:/ projects drive again as of right nowâ€¦.Â Â  Â  -jg Â  jon gulayets, associate Â   200, 4706 Â 48th Â avenue red d
caution! this message was sent from outside your organization.
allow sender  block sender
sophospsmartbannerend
struggling with h:/ projects drive again as of right nowâ€¦.
-jg
jon gulayets, associate
group2
architecture interior design ltd.
200, 4706 Â 48th Â avenue red deer ab t4n 6j4
t + x 422
c +
group2.ca
group2 is committed to being both responsive and responsible in navigating these extraordinary times with everyoneâ€™s safety in mind. since the outset of the covid-1)Â Â Â tf-Â Â Â nextdigital.ca
network issues yesterday accessing projects drive for large parts of afternoon.Â  reported by numerous users.
-jg
jon gulayets, associate
group2
architecture interior design ltd.
200, 4706 Â 48th Â avenue red deer ab t4n 6j4
t + x 422
c +
group2.ca
group2 is committed to being both responsive and responsible in navigating these extraordinary times with everyoneâ€™s safety in mind. since the outset of the covid-1)Â Â Â tf-Â Â Â nextdigital.ca</t>
  </si>
  <si>
    <t>hi there,
my ticket was closed about continued slowness but itâ€™s persisting.Â  iâ€™ve attached a screenshot of whatâ€™s going on at the time.
 caib
client executive, commercial lines
eÂ Â Â Â Â  
dÂ Â Â Â  587.6-107 avenue, edmonton, ab t5m 1z1
www.mhkinsurance.com
weâ€™re all here for you! email or phone us (no visits please).
mhk welcomes e-transfer payments to banking@mhkinsurance.â€‰com.
if you receive this email in error, please notify us by reply email and destroy this message. mhk complies with canada's anti-spam and alberta's pipa legislations. if you no longer wish to receive emails from mhk, please reply with 'unsubscribe' in the subject line.</t>
  </si>
  <si>
    <t>rds monitoring</t>
  </si>
  <si>
    <t>good morning team,
are you able to advise if we can monitor rds connectivity for the following laptops over a period of time?
laptop number
user name
x-4192
bruce stocks
x-4012
jim ross
x-5126
luis llanes
x-3230
bey sennapha
x-2928
jeffrey mamaril
we need to understand how many times rds connection is lost over a period of 1 week and on which computer stations.</t>
  </si>
  <si>
    <t>new scanner for flex room
we need to replace the scanner in the flex room, so_d-6323.  the new scanner is an epson workforce es-500w, twain driver scanner.  we need it set up to scan into patient charts in dolphin.  can i have some remote assistance with this or does it need to be done onsite?
 no
 one
 work impacting</t>
  </si>
  <si>
    <t>good day,
we have been notified by quickbooks that we have an update that needs to get done. could we get someone to get this update completed for us when someone is available.
please advise</t>
  </si>
  <si>
    <t>urgent: issue with heavyjob</t>
  </si>
  <si>
    <t>can someone call heavyjob 
the consolidation is stuck in a loop and mobile imports are not working
business process manager
t: +
c: +
f: +
e: 
w: www.siterg.com
#170, 120 pembina rd., sherwood park, ab, t8h 0m2</t>
  </si>
  <si>
    <t>failed backup jobs for e4c</t>
  </si>
  <si>
    <t>other  
not seeing a ticket for failed backup jobs for e4c (feb 2, 2021)
the "submit a bug" feature is in the debugger. click the orange x in the title of the "your next ticket" module to load the debugger.  "submit a bug" is in the top row.  this is helpful as it automatically includes a massive snapshot of data that makes it easier to debug data issues.  
i received the email alert for e4c backup jobs failed. i am not sure if a ticket was generated, although i did receive the email. that email does cc itms board backups. 
just sending this your way just in case a ticket did not get generated.</t>
  </si>
  <si>
    <t>- d drive on nc-pgh-be01 needs to be expanded by 30 gb</t>
  </si>
  <si>
    <t>d drive on nc-pgh-be01 needs to be expanded by 30 gb
d drive on nc-pgh-be01 needs to be expanded by 30 gb, opal approval given on 1356591
 no  
 everyone  
 work impacting</t>
  </si>
  <si>
    <t>disable account
please disable catorina-amanda ryan no longer at pml
 no  
 one  
 unable to work</t>
  </si>
  <si>
    <t>hello,
iâ€™ve recently re-joined site and when i open outlook, the following message appears. please address if there is an issue. thank you - trent
Â  cga
corporate development manager
t:       +
c:       +
f:       +
e:       
w:       www.siterg.com
1402, 500-4th avenue sw, calgary, ab, t2p 2v6</t>
  </si>
  <si>
    <t>re: ticket #1331940/marisa orfei - email spam showing up marisa name with an email from gmail accoun</t>
  </si>
  <si>
    <t>hello mike!
i have sent an electronic newsletter from mailchimp to my staff, and no one has received it. we send a newsletter every 2 weeks, and this is the first time it's not showing up in our inboxes.Â 
i decided to do a test, and sent a copy to my personal email and it worked. i'm guessing that the recent workÂ to increase securityÂ is blocking these newsletters toÂ only our staff. i checked the spam folder and there is nothing there. my staff said the same thing.Â 
furthermore, since this work has been done, people suddenlyÂ can't open word documents on our resource website, which are only the attachments called announcements, like the ones here. we need to keep these in word format, as our audience makes edits to them to suit their needs. we have been receivingÂ a lot of emails that people can't access them. robert, our website person, can't figure it out and sees nothing on his end. can this be something that's solvable on your end? i know that's a long shot.</t>
  </si>
  <si>
    <t>- p drive on nc-pmkr-be02 needs to be expanded by 30gb</t>
  </si>
  <si>
    <t>p drive on nc-pmkr-be02 needs to be expanded by 30gb
p drive on nc-pmkr-be02 needs to be expanded by 30gb,
opal approval give on 1355177
 no  
 everyone  
 work impacting</t>
  </si>
  <si>
    <t>[error][hardware status] notification from your device: ecf-qnap01</t>
  </si>
  <si>
    <t>"host: disk 4": disconnected.
 notification from your device: ecf-qnap01
nas name: ecf-qnap01
severity: error
date/time: 2021/02/01 05:08:23
app name: hardware status
category: drives
message:  "host: disk 4": disconnected.
to configure notification rules, log in to your device and go to                notification center &gt; system notification rules
Â©2021 qnap systems, inc.</t>
  </si>
  <si>
    <t>eq sage access changed?</t>
  </si>
  <si>
    <t>hello,
my sage access has somehow changed for the equipment module. i am no longer able to update gl prefix which i should have access to. can you please look into this?</t>
  </si>
  <si>
    <t>fw: not read: today expiration date</t>
  </si>
  <si>
    <t>i didnâ€™t send an email to the address noted below.Â  i did get one earlier this morning which i deleted.
delivery has failed to these recipients or groups:
the format of the email address isn't correct. a correct address looks like this:  please check the recipient's email address and try to resend the message.
diagnostic information for administrators:
generating server: co2pr04mb2213.namprd04.prod.outlook.com
remote server returned '550 5.1.3 storedrv.submit; invalid recipient address'
original message headers:
```
received: from co2pr04mb2213.namprd04.prod.outlook.com
```
```
(fe80::10a2:5ece:bbc0:5308) by co2pr04mb2213.namprd04.prod.outlook.com
```
```
(fe80::10a2:5ece:bbc0:5308%10) with mapi id 15.20.3805.021; fri, 29 jan
```
```
2021 19:10:12 +0000
```
```
content-type: application/ms-tnef; name="winmail.dat"
```
```
content-transfer-encoding: binary
```
```
```
```
```
```
&lt;&gt;
```
```
```
```
thread-topic: today expiration date
```
```
thread-index: aqhw9llrhcpstf4d8e69zgiqyjjboa==
```
```
```
```
x-priority: 1
```
```
date: fri, 29 jan 2021 19:10:12 +0000
```
```
message-id: &lt;&gt;
```
```
accept-language: en-ca, en-us
```
```
content-language: en-ca
```
```
x-ms-has-attach:
```
```
x-ms-tnef-correlator: &lt;&gt;
```
```
mime-version: 1.0
```
```
x-ms-publictraffictype: email
```</t>
  </si>
  <si>
    <t>fw: image packages</t>
  </si>
  <si>
    <t>hi,
can we get these recovered please?</t>
  </si>
  <si>
    <t>backup failures....</t>
  </si>
  <si>
    <t>iâ€™m consistently getting notifications of backup failures on the regina server in the past 24-hours. is this a matter of concern?
please advise.
don
backup copy job: ehc-reg-dc1 - hostedbizz - backup copy\ehc-reg-dc1
error
1 of 1 vms processed
friday, january 29, 2021 7:25:08 am
success
0
start time
7:25:08 am
total size
0 b
backup size
17 mb
offsite rpo violation: some backups were not copied within 1 day 
processing ehc-reg-dc1 error: file  is locked. failed to open storage for read access. storage: . failed to restore file from local backup. vfs link: . target file: . chmod mask: . agent failed to process method {datatransfer.restoretext}. 
some restore points were not processed
failed to merge full backup file error: file  is locked. failed to open storage for read access. storage: . failed to restore file from local backup. vfs link: . target file: . chmod mask: . agent failed to process method {datatransfer.restoretext}. 
failed to generate points error: file  is locked. failed to open storage for read access. storage: . failed to restore file from local backup. vfs link: . target file: . chmod mask: . agent failed to process method {datatransfer.restoretext}.
warning
0
end time
8:19:30 am
data read
0 b
dedupe
1.0x
error
1
duration
0:54:22
transferred
0 b
compression
1.0x
details
name
status
start time
end time
size
read
transferred
duration
details
ehc-reg-dc1
error
7:28:15 am
7:36:09 am
0 b
0 b
0 b
0:07:53
offsite rpo violation: object ehc-reg-dc1 was not copied within 1 day 
error: file  is locked. failed to open storage for read access. storage: . failed to restore file from local backup. vfs link: . target file: . chmod mask: . agent failed to process method {datatransfer.restoretext}. 
maximum retry count reached (5 out of 5)
veeam backup &amp; replication 54</t>
  </si>
  <si>
    <t>dell renewal notice - support expires 28-feb-2021</t>
  </si>
  <si>
    <t>dr. caroline krivuzoff-sanderson -  - computer is running slowly
leanne's computer is running slowly according to her. we have cleaned up startup programs/services but it is still a problem. need to remote in and reproduce issue and investigate further.
 no  
 one  
 work impacting</t>
  </si>
  <si>
    <t>email set-up request</t>
  </si>
  <si>
    <t>hello,Â 
could we please set up an email account for erika scott today, email address would be  she doesn't start until monday, but because i'm prepping briefing materials for her theresa approved us setting up her email account early.Â 
she'll also need full access to:
 philanthropy, generic mailbox: 
 communications, generic mailbox: 
 predecessors:
 jennifer moir
 denise meade</t>
  </si>
  <si>
    <t>outlook sync issues</t>
  </si>
  <si>
    <t>hi,   
daphne is missing emails in outlook can you please get this resolved?  
contact</t>
  </si>
  <si>
    <t>good morning,
i am inquiring if you can please take a look into our network connections, as my staff have had to restart their computers up to 3 times already this morning due to our cdk dropping out. (system locks up and drops out with a spinning wheel) â€“ this issue is across the board and need to be able to work with cdk as our operating system.
this affects our techs times, our efficiencies of creating woâ€™s, parts, sublets, Â and any other cdk functions we use on a daily basis.</t>
  </si>
  <si>
    <t>hi,
can you please remove rachel and monique from the above dist list and add kate price?
much thanks,
leanna
, ma, ccc, cphr
hr manager
t: 403.205.524
180, 839 5 ave sw  calgary, ab  t2p 3c8
carya (formerly calgary family services)
stay up to date with the latest carya news, programs, and events by signing up for ourmonthly newsletter.
in the spirit of our efforts to promote reconciliation, we acknowledge the traditional territories and oral practices of the blackfoot, the tsuut'ina, the stoney nakoda first nations, the mÃ©tis nation region 3, and all people who make their homes in the treaty 7 region of southern alberta. we also respectfully acknowledge that the province of alberta is comprised of treaty 6, treaty 7, and treaty  during business hours (monday-friday, 8:30am-4:3) and in case of an emergency dial 911.
this e-mail is intended solely for the person or entity to which it is addressed and may contain confidential and/or privileged information. any review, dissemination, copying, printing, forwarding or other use of this e-mail by persons or entities other than the addressee is prohibited. if you have received this e-mail in error, please contact the sender immediately and delete the material from your computer.</t>
  </si>
  <si>
    <t>we have detected a critical alert on one of your instances.Â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 ---
---
Â alert for ibsgazdc02.igloo.local 
youâ€™re receiving this email because we have detected a critical alert on one of your addomainservice instances.
--- ---
--- 
title:
--- 
health service data is not up to date.
---
--- --- 
description:
--- 
the aad connect health service is not receiving the latest data from the server(s) listed above. this may be due to connectivity issues or data collection issues on the server itself.
the latest data received by the aad connect health service is older than 2 hours. the server specific alert details blade indicates the type of data that is not up to date. if a server has not uploaded any data for 30 consecutive days, it will be marked as disabled. see more details atazure ad connect health data retention policy.
---
--- --- 
raised:
--- 
january 26, 2021 22:56 utc
---
--- --- 
server:
--- 
ibsgazdc02.igloo.local
---
--- --- 
service:
--- 
igloo.local
---
--- --- 
tenant:
--- 
---
--- ---
---
--- 
recommended action
the server specific alert details blade indicates the type of data that is not up to date. the â€œlast receivedâ€ column shows the last time the aad connect health service received data for the data type.
for each stale data type, please follow the steps in thetroubleshooting documentation.
to check health of your services monitored by azure active directory connect health, visit the azure ad connect health portal.
if you no longer wish to receive these notifications,read the instructions for updating your settings. only global administrators can change settings.
--- ---
---
--- ---
--- 
privacy statement
microsoft corporation,one microsoft way, redmond, wa 98052
--- ---
---</t>
  </si>
  <si>
    <t>losing vpn connection
hi there, we have been experiencing issues with our vpn today.  i had issues connecting just before 8 am this morning.  i tried three times and it said it couldnt connect to the host. i then rebooted my home laptop and when it came back up it was working.  since then i have lost connection three times. the last time was between 9:40 and 9:5</t>
  </si>
  <si>
    <t>urgent! please force close firefox
my ff is locked up and i am in the midst of an urgent ticket with a deadline of (now).
please close ff on my rds session!
 no  
 one  
 unable to work</t>
  </si>
  <si>
    <t>morning
we need a new email account set up:
email: 
it should be web based and set up so that it can added to his personal computer.</t>
  </si>
  <si>
    <t>mnp client portal</t>
  </si>
  <si>
    <t>hi lukas,
i'm sending this in to have a ticket created.
attention support: please install mpn client portal to pulse vet workstations. permissions for lukas and kim should be to view 'all tickets'
chris ippolito
manager, client experience
ph.Â +       ext 312
14505 114th avenue nw
edmonton,       ab
t5m2y
a: 450 ordze road, unit #320.Â  sherwood park, ab t8b 0c
a: 450 ordze road, unit #320.Â  sherwood park, ab t8b 0c
a: 450 ordze road, unit #320.Â  sherwood park, ab t8b 0c5
www.pulseveterinary.ca
hi chris,
i submitted a ticket yesterday morning to install some software on some computers in dentistry via the mnp tool on...</t>
  </si>
  <si>
    <t>- access to folder on w:</t>
  </si>
  <si>
    <t>hello, 
iâ€™m a practicum student with the prime time program at carya. our folder recently got moved on the w: and i can longer access it. in order to access it i need to be given access to the shared mwc folder and specifically the prime time folder within the mwc folder. please let me know if you need any more information to make this possible. i have ccâ€™d my practicum supervisor on this email.</t>
  </si>
  <si>
    <t>parts phone issues at sp volkswagen</t>
  </si>
  <si>
    <t>hi, the parts phone queue and park lines have been having issues now for a long time at spvw, i have worked with dave on options, we have had to regularly Â restart the switches.
should we consider deleting and recreating the whole parts ques and phones? dave you are aware of the parts parking issues _ we really need a permanent solution to this can you escalate this to a critical state.</t>
  </si>
  <si>
    <t>attachedÂ 
sent from my iphone
business process manager
t:       +
c:       +
f:       +
e:       
w:       www.siterg.com
#170, 120 pembina rd., sherwood park, ab, t8h 0m2</t>
  </si>
  <si>
    <t>ho - create report on wg usage adn advanced reprotinh</t>
  </si>
  <si>
    <t>hi dave, so if i understand you correctly the screen shot report below is only available at dss since we are the only ones with enhanced reporting license? also besides us and airdrie, no one else has calls queueâ€™d in workgroups? 
but we could demo the enhanced license (at all our stores? ) for 45 days?</t>
  </si>
  <si>
    <t>re: urgent assistance please</t>
  </si>
  <si>
    <t>hello
may i please get someone to reach out to barbara, she has called as well as emailed and nothing
she is heading the edmonton plant at noon, i need this rectified before that
your help is appreciated</t>
  </si>
  <si>
    <t>please reactivate user
same access as brad barteski
business process manager
t:       +
c:       +
f:       +
e:       
w:       www.siterg.com
#170, 120 pembina rd., sherwood park, ab, t8h 0m2</t>
  </si>
  <si>
    <t>charlene
karl
intern architect
mon 1 feb, 2021  
 edmonton office  
 architect/intern architect â€“ marketing drive modify, resource-share read access</t>
  </si>
  <si>
    <t>please create site for mhk calgary in unifi controller
i am installing a new ubiquiti wap on monday, and thus need a site created in the unifi controller.
i am unable to do this myself, please let me know when it is complete and i will configure it.
ticket#1326720 is the ticket i am using for the install, which will occur on jan 1st
 no  
 one  
 work impacting</t>
  </si>
  <si>
    <t>hi carlos, 
i have received your request. for a much faster response, please email your request to  
this goes directly to the help desk instead of the information email- which is not actively monitored. 
i have cc'd our help desk team on this email so they will be notified of your request and will start a ticket.</t>
  </si>
  <si>
    <t>hello mnp,
i am trying to delete a couple groups in sharepoint but am unable to do so.Â  can you please assist in removing the following folders:
 policies &amp; procedures (not policies &amp; procedures 2)
  team site
senior executive assistant
 society
9808 â€“ 148 street
edmonton abÂ  t5n 3e ext. 24 (direct)
*home of the new roozen family hospice centre</t>
  </si>
  <si>
    <t>hello,
do we have any open microsoft exchange accounts?Â  could you send me a list of employee names currently using an account?
i have a new employee that requires an outlook account.Â  this employee works in the field and will not need a workstation account at this time.Â  purely mobile.
please advise</t>
  </si>
  <si>
    <t>- can't open document with corel wordperfect x8</t>
  </si>
  <si>
    <t>good morning!
i can't open documents with corel wordperfect x8 anymore.
receptionist
durocher simpson koehli &amp; erler llp
old strathcona law offices
7904 gateway boulevard
edmonton, ab t6e 6c (ph)
 (fax)</t>
  </si>
  <si>
    <t>please assign to me.
jeff meadows
field services technician
ph.Â 
4922 - 53 st.
red deer,       ab
t4n2e9
mnp.ca 
jeff,
per our conversation yesterday, i was unable to log into my work computer last night.
yesterday i left work at 630 and â€œrestartedâ€ my work pc. i always restart when i leave.
at 730, at home, i was unable to log in. multiple attempts. the vpn worked (always does); the rdp did not.
this morning, my work pc was powered up and at the log in screen once i moved my mouse.
shyllo</t>
  </si>
  <si>
    <t>printer
please install lexmark mc242 ext 10</t>
  </si>
  <si>
    <t>adobe creative cloud</t>
  </si>
  <si>
    <t>add licenses  
 other license  
adobe creative cloud
1
katrina whiteman</t>
  </si>
  <si>
    <t>hi,   
see details below.  
computer name: ibsg-022</t>
  </si>
  <si>
    <t>- fw: is it a scam ?</t>
  </si>
  <si>
    <t>i would like to know if this message is a scam
  assistant controller   
tel:    Â www.lexusofedmonton.ca
 family member since 201   Â www.lexusofedmonton.ca
 family member since 2015</t>
  </si>
  <si>
    <t>re: ticket #1321399/onsite visit resolved</t>
  </si>
  <si>
    <t>ali, did you also cancel the qnap back-up notifications to me?Â  i have not had any notifications regarding back up successful or failed all week (since tuesday morning at 3:10 am).Â  if so, can you please restore them so i know whatâ€™s going on?Â  no need to phone me about this â€“ just please send a message when itâ€™s corrected.</t>
  </si>
  <si>
    <t>good morning!
can you please have dave bruntonâ€™s name and email address removed from the carry steel records. he has now retired and does not need to be receiving ticket notifications etc. the two admins on the account should be blake hamilton and myself.</t>
  </si>
  <si>
    <t>quote request -  - usb c to hdmi adapters</t>
  </si>
  <si>
    <t>cari
usb c to hdmi adapters
 the primary contact in connectwise  
st albert
 dropshipped to client site directly from distribution  
220 summit plaza, 190 boudreau road, st. albert, ab t8n 6b9
mon 25 jan, 2021  
 no  
 video adapter  
 yes  
 other  
usb c
 hdmi  
1
2 x usb c to hdmi adapters (will be used with surface pro tablets)
2 x usb c to hdmi</t>
  </si>
  <si>
    <t>fwd: quotemaster system update - 1/15/2021</t>
  </si>
  <si>
    <t>for oarrie oliver...  
director of operationsÂ    
calgary, alberta   
calmont leasing ltd   
begin forwarded message:   
date: january 17, 2021 at 2:08:5.</t>
  </si>
  <si>
    <t>fortinet renewal notice - support expires 15-feb-2021</t>
  </si>
  <si>
    <t>request - additional panasonic telephone and license</t>
  </si>
  <si>
    <t>hi cori,
yes i would like another panasonic telephone and licence.Â  will it arrive at the same time as the rest of the order?</t>
  </si>
  <si>
    <t>re: voicemail from (780) 700-2850 -  received sat jan 16 2021 10:11 mst</t>
  </si>
  <si>
    <t>ken calling back from site.. asking for the heavy bid ticket to be re-opened as the issue is re-occurring.
stephen was working on this with the vendor.
this was for 1345 4 st se
calgary,       ab
t2g2w3
mnp.ca 
scribe transcribed your voicemail message. on sat jan 16 2021 10:10 said: 
hello this is dan bart with state readers group. i'm looking to re open ticket 134-577.
you have a new voicemail message.
new voice message
(
emergency support
time:
sat jan 16 2021 10:11 mst
duration:
00:16
vm-id:25113
month to date usage: 13 messages / 00:07:54 (hh:mm:ss)</t>
  </si>
  <si>
    <t>hi
please set up an user name and password for ron chand.Â he will be working out of calmont truck centre, calgary.Â  please set him up the same as steven briggs
his start date is february 2, 2021.
no email required</t>
  </si>
  <si>
    <t>already authorized with it, they will let us know when is completed. stay tuned.
m.luizacoelho e ext 132
9321 jasper avenue, edmonton ab t5h 3t7
e4calberta.org</t>
  </si>
  <si>
    <t>hi
please set up an email, user name and password for dustin christiansen.Â he will be working out of calmont equipment, red deerÂ  please set him up the same as terry mcgeough.
his start date is february 1, 2021.</t>
  </si>
  <si>
    <t>nicole willmer added 1 new comment. johnson and johnson innovation/jlabs-416 port activation 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
nicole willmer added 1 new comment.
johnson and johnson innovation
/Â Â    Â  jlabs-416
 port activation 
  nicole willmer  9:58Â amÂ est
hi james,
unfortunately there wont be anyone onsite on friday - is it possible to come by today as originally discussed by 3:00 or 4:00 pm?</t>
  </si>
  <si>
    <t>hi there,
can you please update the user â€“ cala hillsâ€™ e-mail signature to the following:
calahills, bhs, (she/her)e
c
please let us know when this is complete or if you require any information for this request.</t>
  </si>
  <si>
    <t>quarantined emails</t>
  </si>
  <si>
    <t>good morning,
i have been missing important emails from suncor and equinox engineering and cannot change the permissions.
every email in my quarantine box should have been accepted, could i have the emails in my quarantine set to accepted senders?
quality control inspector
t:       +
c:       +
e:       
w:       www.siterg.com
po box 210 / hwy 55, 1 mile west &amp; 1 mile south, cold lake, ab, t9m 1p1</t>
  </si>
  <si>
    <t>- can't access websites outside my rds on my computer</t>
  </si>
  <si>
    <t>can't access websites outside my rds on my computer
can't access amazon prime busines; canada life benefits
 no  
 one  
 work impacting</t>
  </si>
  <si>
    <t>pastor don - install office 2019</t>
  </si>
  <si>
    <t>jeff meadows
field services technician
ph.Â 
4922 - 53 st.
red deer,       ab
t4n2e9
mnp.ca 
hi jeff,
i hope you and your family are keeping well.
just wanted to send a quick email in case we missed each other again today, mostly due to my limited work hours. i was hoping you could install the office 2019 that we received through tech soup. i had ordered it when we got pastor donâ€™s laptop, but techsoup was having difficulties with that program at that time, so it was suggested to download the 2016 version, which i did, and is what is on pastor donâ€™s laptop right now. if you can update that for us, that would be great. the instructions were long and confusing. i thought maybe you had done it before and may not be such a tedious process, sorry if it isj
other than that, everything seems to be running fairly well at the moment.
i will have pastor donâ€™s laptop up and running for when you call, so you can log in remotely.
please let me know if you need any passwords, otherwise, they have not been changed since i gave them to you last.
blessings,
alicia mcclelland</t>
  </si>
  <si>
    <t>delete email
please delete email and access to teams for tiffany bellerose.
 no  
 one  
 minor inconvenience</t>
  </si>
  <si>
    <t>adobe issue
i am trying to access a government form to report an annual igloo pension  document as i have done in other years and need to get it done by jan 3</t>
  </si>
  <si>
    <t>please set my default printer
please set my default printer to the sharp machine at the hub.
 no  
 one  
 other</t>
  </si>
  <si>
    <t>slow internet
my internet on my surface is extremely slow and seemingly, only on my surface.
 yes  
 one  
 work impacting</t>
  </si>
  <si>
    <t>printing issues
i can not print from the 'nextcloud' and when i save documents to the computer desktop the format is different. please help me print from the cloud.
 no  
 one  
 work impacting</t>
  </si>
  <si>
    <t>temporary passwords
due to my email account scamming in this morning, i was told i have to login my email account with a temperoray passwords but it's not working. just want to make sure i have the right one.
 no  
 one  
 work impacting</t>
  </si>
  <si>
    <t>new computer
i was told there is a new computer ready for me that just needs to be set up.  can i find out when this will be done.  i believe it is in the computer room upstairs.  thanks
 no  
 one  
 work impacting</t>
  </si>
  <si>
    <t>outlook not working
can't send or receive emails. message at bottom of screen says 'need password'.
 no  
 one  
 work impacting</t>
  </si>
  <si>
    <t>1 x office 365 e1 (nonprofit staff pricing)</t>
  </si>
  <si>
    <t>add licenses  
 office 365 exchange online  
1
please make sure the licenses are applied to this tenant https://nextdigital.itglue.com/5530#partial=&amp;sortby=name:asc&amp;filters=%5b%5d</t>
  </si>
  <si>
    <t>screenconnect client requires admin creds</t>
  </si>
  <si>
    <t>connectwise control  
when attempting a screenconenct session from the mnp client portal with silke at carry steel, she was prompted for admin creds when launching the downloaded file.  screen shot attached</t>
  </si>
  <si>
    <t>terminate - bruce hogg</t>
  </si>
  <si>
    <t>business process manager
t:       +
c:       +
f:       +
e:       
w:       www.siterg.com
#170, 120 pembina rd., sherwood park, ab, t8h 0m2</t>
  </si>
  <si>
    <t>hello sales,
can you please get me a quote for a laptop with a regular keyboard (not compact like s surface pro), with min 8gb ram, 256gb ssd, intel core â€“ touch screen would be nice but not necessary.
can you also please quote us for a surface pro with dock, keyboard, and pen.Â  if it doesnâ€™t have a sim slot, that is ok.
please allow me to adjust the quantities on the quote as i may buy one of each or   e: f: 
180, 839 5 ave sw  calgary, ab  t2p 3c8
carya (formerly calgary family services)
stay up to date with the latest carya news, programs, and events by signing up for ourmonthly newsletter.
in the spirit of our efforts to promote reconciliation, we acknowledge the traditional territories and oral practices of the blackfoot, the tsuut'ina, the stoney nakoda first nations, the mÃ©tis nation region 3, and all people who make their homes in the treaty 7 region of southern alberta. we also respectfully acknowledge that the province of alberta is comprised of treaty 6, treaty 7, and treaty  during business hours (monday-friday, 8:30am-4:3) and in case of an emergency dial 911.
this e-mail is intended solely for the person or entity to which it is addressed and may contain confidential and/or privileged information. any review, dissemination, copying, printing, forwarding or other use of this e-mail by persons or entities other than the addressee is prohibited. if you have received this e-mail in error, please contact the sender immediately and delete the material from your computer.</t>
  </si>
  <si>
    <t>second loft smartboard</t>
  </si>
  <si>
    <t>good morning,
can i receive a quote for a mobile 6
poundmakerâ€™s lodge treatment centre
good morning flavio,
can i receive a quote for a mobile 6
poundmakerâ€™s lodge treatment centre</t>
  </si>
  <si>
    <t>can't access  drives though remote desktop</t>
  </si>
  <si>
    <t>i canâ€™t access the drives. believe the issue is my sid.
what i think is my sid is not working that leads me to think i have it wrong.
dan heaney</t>
  </si>
  <si>
    <t>hello,
this email is to notify you of an upcoming employee hire:
employee name:sarah feutl Â Â 
department: make tax time pay program
job title: program assistant Â Â 
supervisor: kelly bickford
effective date: january 18, 2021
distribution list &amp; action required
it
rds: request for rds/network access
e-mail: request for outlook account.
e-mail signature set-up:
-Â Â Â Â Â Â Â name: sarah feutl
-Â Â Â Â Â Â Â position: program assistant
-Â Â Â Â Â Â Â program: make tax time pay program
folder access:
-Â Â Â Â Â Â Â please mirror user darian selander
apple id creation: request for apple id.
cell-phone access:request for cell-phone.
no shore-tel access required.
please send account details to: darian selander () and kelly bickford ()
payroll/finance
payroll details will be provided once processed.
reception
please update existing employee list.
communications
for information only.
program manager
for information only.
facilities manager
for information only.
if you have any questions or concerns please let me know.</t>
  </si>
  <si>
    <t>sounds goodâ€¦i donâ€™t have access yet and i will be away from my laptop for approximately 60 minutes so will try when i return.
sheila
sheiladrewniak e
c
9321 jasper avenue, edmonton ab t5h 3t7
e4calberta.org</t>
  </si>
  <si>
    <t>fw: power bi</t>
  </si>
  <si>
    <t>can we please add this to dan wrights office account?
business process manager
t: +
c: +
f: +
e: 
w:www.siterg.com
#170, 120 pembina rd., sherwood park, ab, t8h 0m2</t>
  </si>
  <si>
    <t>reactivate - billy mcdonald</t>
  </si>
  <si>
    <t>please reactivate user
business process manager
t:       +
c:       +
f:       +
e:       
w:       www.siterg.com
#170, 120 pembina rd., sherwood park, ab, t8h 0m2</t>
  </si>
  <si>
    <t>insurance questions -  , january 17, 2021 renewal</t>
  </si>
  <si>
    <t>hey team,
please get the client team to answer these questions from  at .Â  once they have a chance to answer the questions please flip a change request to opal for review.</t>
  </si>
  <si>
    <t>loseca - nc-lsc-be03 has a status alert for sophos file scanner</t>
  </si>
  <si>
    <t>other  
sophos server protection
the "submit a bug" feature is in the debugger. click the orange x in the title of the "your next ticket" module to load the debugger.  "submit a bug" is in the top row.  this is helpful as it automatically includes a massive snapshot of data that makes it easier to debug data issues.  
1346525
sophos central portal is giving an alert for nc-lsc-be03 stating:
- not started: sophos file scanner
attached is an image of the message.</t>
  </si>
  <si>
    <t>re: ticket#1272571/need info/nexsource/project request - nexsource power - aging server and ms 365 m</t>
  </si>
  <si>
    <t>hi curt,
excellent, thank you guys! amin/flavio, would you like to send the quote to amy, or should i?</t>
  </si>
  <si>
    <t>quotevalet: accepted: #aaaq19958  - thursday, january 14, 2021 - 1346573</t>
  </si>
  <si>
    <t>14505 114th avenue nw, edmonton, ab, t5m 2y8
dear shawn kubiski,
this is an automated notification from the quotevalet system.
****quote accepted****acceptance details:
name: email from cheryl
email address: 
signature: *****************
from 
acceptance key: d44464051f3bf3eff1d8b3b8  - thursday, january 14, 
internal review quote link: https://www.quotevalet.com/concierge.aspx?tenantid=cea2edee-e401-4b8b-9e82-d745c217b9a3&amp;documentid=&amp;internal=1
this email was created using quotevalet - the online quote delivery and acceptance vehicle forquotewerks.</t>
  </si>
  <si>
    <t>firewall message</t>
  </si>
  <si>
    <t>good morning,
i received this message this morning â€“ never had this happen before. see below.
is it safe?
Â verticalÂ developmental managerÂ  
suite 1005Â  10104 103 avenueÂ  edmonton Â abÂ  t5j 0hÂ  cell:</t>
  </si>
  <si>
    <t>quote request - wk trucking - dvi cable for barb warawa</t>
  </si>
  <si>
    <t>wk trucking
barb warawa - old monitor is not working with new computer
dvi cable for barb warawa
 someone else  
; cc 
head office
75 township rd 542, mundare, ab  t0b 3h0
thu 21 jan, 2021  
 no  
 accessories (mice, keyboards, ram/ssd upgrades etc)  
 other  
dvi cable
dvi cable</t>
  </si>
  <si>
    <t>good afternoon,
this is a request to please set-up forwarding of emails from penelope inbox to rob zimmerman 
please let me know if you have any questions.</t>
  </si>
  <si>
    <t>fw: xps 15</t>
  </si>
  <si>
    <t>hey folks,
can you let me know what we can get this unit for?
business process manager
t: +
c: +
f: +
e: 
w:www.siterg.com
#170, 120 pembina rd., sherwood park, ab, t8h 0m2</t>
  </si>
  <si>
    <t>poundmakers lodge needs 1 office 365 e3 license for new user victoria riley</t>
  </si>
  <si>
    <t>poundmakers lodge
1347688
 add licenses  
 office 365 e3  
1
victoria riley</t>
  </si>
  <si>
    <t>office 365 exchange online for shayne hosack</t>
  </si>
  <si>
    <t>all-ways mechanical ltd.
1349561
 add licenses  
 office 365 exchange online  
1
shayne hosack</t>
  </si>
  <si>
    <t>power bi</t>
  </si>
  <si>
    <t>can we please add this to dan wrights office account?
business process manager
t:       +
c:       +
f:       +
e:       
w:       www.siterg.com
#170, 120 pembina rd., sherwood park, ab, t8h 0m2</t>
  </si>
  <si>
    <t>request for webcam</t>
  </si>
  <si>
    <t>hello,
we recently purchased two monitors for kathyâ€™s work station. we â€™d like to make sure that she has audio and visual capabilities for zoom and team meetings. Â i think we need to buy a web cam. would someone help us please?</t>
  </si>
  <si>
    <t>jana lumsden - missing emails from &lt;&gt;</t>
  </si>
  <si>
    <t>hi there
i appear to be missing recent customer emails sent to me by braydon ekstrom &lt;&gt; and need some help to figure out where they are going and how to direct them to my inbox. i have checked my spam filter and canâ€™t locate them.
one was today at 10:03am â€“ this was the second time i noticed an email was missing. jennifer bagu of our office received the same email just fine and i received weston ekstromâ€™s email of the same office shortly afterwards.
the first missing email i noticed missing waswednesday, december 30, 2020 12:5Â 
cÂ Â Â Â  
12316-107 avenue, edmonton, ab  t5m 1z1
www.mhkinsurance.com
we're here to help with your insurance needs. emails       and phone calls are still encouraged. appointments are required for       in-office broker meetings. please wear a mask when       visiting.
mhk welcomes       e-transfer payments to banking@mhkinsurance.â€‰com.
if you       receive this email in error, please notify us by reply email and destroy       this message. mhk complies with canada's anti-spam and alberta's pipa       legislations. if you no longer wish to receive emails from mhk, please       reply with 'unsubscribe' in the subject   line.</t>
  </si>
  <si>
    <t>admin rights</t>
  </si>
  <si>
    <t>good morning,
i am needing to have admin rights on the safety directory on our server.Â  i can edit documents and save but i cannot move documents, folders, or create new folders.Â  please enable access to this.Â  thanks.
with best regards
production manager
po box 22 ext 22
email:</t>
  </si>
  <si>
    <t>client care
please add jacquie to the client care email
 no  
 some  
 other</t>
  </si>
  <si>
    <t>tempus z folder access - chloe leadley</t>
  </si>
  <si>
    <t>please assign to me.
jeff meadows
field services technician
ph.Â 
4922 - 53 st.
red deer,       ab
t4n2e9
mnp.ca 
hey jeff,
i know that i should have put this request through the help desk but you know how â€˜buggeredâ€™ our folder access restrictions are on the z: drive.
shyllo is requesting that chloe be given full admin access to the z: drive. however, we stilldo not want her to have access (the financial folders) in z:1-accounting and z:tempus/controller folder â€˜oâ€™ stuff and z: craig folders.
she does also need access to z:shyllo as well. we have probably not done that for any previous staff, but chloe is in the role of shylloâ€™s personal assistant and will be needing access to much more of his information than any prior staff.
most likely this would be similar set up as jolyn and caleigh (with the exception of shyllo folder) but i honestly canâ€™t remember anymore (another to-do project of cleaning up folders &amp; access, eh?). at any rate, please get her as much access without giving her access to the 
fax: Â Â Â Â Â Â Â Â Â Â Â  
weâ€™ve moved!!
suite 200, 542 laura ave
red deer county, abÂ  t4e 0a5
*** this communication is strictly private and contains confidential information intended solely for the addressee(s).Â  access to this communication by parties other than the intended recipient(s) is unauthorized. if you have received this communication in error and are not the intended recipient, any disclosure, copying, distribution or action takenis strictly prohibited and may be unlawful. ***
note: the health and safety of our community, customers and staff is our top priority. we kindly ask that you do not come into our office at this time. we would be pleased to connect with you by email, phone or video conference.</t>
  </si>
  <si>
    <t>hello!
i have sandys tablet and she still needs it reconnected to the printer after the last server update.
please call me or provide me with a code so that your able to get in and fix it for her!
best regards,
  assistant to executives   
tel:   Â  www.lexusofedmonton.ca
 family member since 2014</t>
  </si>
  <si>
    <t>dave kusmierz - share issues</t>
  </si>
  <si>
    <t>he cannot save or edit anything
s:\construction operations\projects\56 fort mac\56-20-f0241 suncor pads 111,125-126 ,131
i checked his permissions for above and they seem to be ok?
business process manager
t:       +
c:       +
f:       +
e:       
w:       www.siterg.com
#170, 120 pembina rd., sherwood park, ab, t8h 0m2</t>
  </si>
  <si>
    <t>re:  time &amp; chaos</t>
  </si>
  <si>
    <t>hello, i was wondering if i could get time &amp; chaos set up on my computer?</t>
  </si>
  <si>
    <t>hi
please set up an user name and password for emmanuel belford.Â he will be working out of calmont truck centre, calgary.Â  please set him up the same as steven briggs
his start date is february 1, 2021.
no email required</t>
  </si>
  <si>
    <t>a high-severity alert has been triggered
âš microsoft 365 compliance center
severity:â—high
time:1/13/2021 11:34:10 pm (utc)
activity:protection
details: 1 message hit on eaa5d21a-fed2-484b-5e25-08d8b81bb8a-1, sent by  to  at time 1/13/2021 11:34:10 pm.
              view alert details</t>
  </si>
  <si>
    <t>adobe acrobat</t>
  </si>
  <si>
    <t>good morning, just about a year ago i had a subscription for adobe added onto my computer for acrobat. i think the subscription is expired as i am no longer able to use the tools in the program. would you be able to assist me with this please?
kind regards,
accounts payable administrator
14504 yellowhead trail nw edmonton, ab, t5l 3cÂ Â Â  direct: Â Â Â  toll free: 
email:
website:www.calmont.ca
this email, and any files transmitted with it, are confidential and are intended solely for the use of the individual or entity to which they are addressed. any unauthorized use or disclosure is prohibited. please notify the sender if you have received this email in error. thank you for your co-operation.</t>
  </si>
  <si>
    <t>new employee - clayton gayle</t>
  </si>
  <si>
    <t>name; clayton gayle
title: safety advisor
location; fort mcmurray
same access as bruce hogg
business process manager
t:       +
c:       +
f:       +
e:       
w:       www.siterg.com
#170, 120 pembina rd., sherwood park, ab, t8h 0m2</t>
  </si>
  <si>
    <t>greg repchinsky- h drive back up</t>
  </si>
  <si>
    <t>good morning,
can you please pull a back up of greg repchinskyâ€™s h drive (personal drive) Â and store it in the below noted file as soon as possible.</t>
  </si>
  <si>
    <t>offsite storage repository</t>
  </si>
  <si>
    <t>nexsource power
 someone else  
 ()
sylvan lake shop
 next digital red deer  
thu 21 jan, 2021  
need to quote a second ts-451+ with 4 3tb hdds, same as in quote aaaq17714-03. this will be installed at the sylvan lake shop and serve as a replication partner for the original qnap in the sylvan lake main office. labour should not be extensive, we will need to set up this qnap, install it at the shop, then set up replication between the two.</t>
  </si>
  <si>
    <t>cameron dening</t>
  </si>
  <si>
    <t>hi
please disable cameron deningâ€™s windows account.
please have all emails forwarded to craig hickey for 1 month.</t>
  </si>
  <si>
    <t>quotevalet: nd - orderform - field kit resupply carry steel</t>
  </si>
  <si>
    <t>14505 114th avenue nw, edmonton, ab, t5m 2y8
dear curt giacomoni,
this is an automated notification from the quotevalet system.
your customer carry steel placed orderform order # qvao
order details:
nd - orderform - field kit resupply - carry steel 
from 
to view or review the orderform order on quotevalet at any time click here.
this email was created using quotevalet - the online quote delivery and acceptance vehicle forquotewerks.</t>
  </si>
  <si>
    <t>quote request - calmont - second usb-c power cord for his laptop</t>
  </si>
  <si>
    <t>calmont
mike farhat on behalf on rick trenholm
second usb-c power cord for his laptop
 the primary contact in connectwise  
calmont-calgary-bobcat
 next digital calgary  
tue 19 jan, 2021  
 no  
 accessories (mice, keyboards, ram/ssd upgrades etc)  
 other  
-second "usb-c power cord" for his laptop 
-laptop : calmont-l-10175 ,s/n : pf23a01c
-courtney is not aware
usb-c power cord for rick trenholm at calmont-calgary-bobcat</t>
  </si>
  <si>
    <t>zoom plugin</t>
  </si>
  <si>
    <t>hi there,
i am having trouble connecting the zoom plugin with my outlook.
also, i have installed team viewer on my arlington computer so i can access it from my home, but although i can access my home computer from work, when i try to access my work computer from home, it keeps telling me that the computer is not on or is not connected to the internet.
so, fix these two problems and i will thank you forever.
grant kelba
```
p r o p e r t y  m a n a g e r
```
t.Â ( ext. 20
suite 400, 1550 5 st swÂ  
calgary, alberta t2r 1k3
```
arlingtonstreet.cafacebookÂ Â Â Â twitterÂ  Â Â linkedinÂ  Â Â youtube
```
important covid-19 notice: please note that we remain open for business but, as a result of covid-19, our office is closed to the general public and open to clients by appointment only until further notice. with most of our staff now working remotely, please continue to contact us by email (preferably), or by phone, but note that there may be delays in checking voice messages remotely. we appreciate your continued business and patience during this unprecedented time.
the information in this email and any attachments is sent by arlington street investments and is intended to be confidential and for the use of only the individual or entity named above. the information may be protected by solicitor-client privilege, work product immunity or other legal principles. if the reader of this message is not the intended recipient, you are notified that unauthorized review, retention, dissemination, distribution, copying or other use of or taking any action in reliance upon this information is strictly prohibited. if you received this email in error, please notify us immediately by email reply and delete or destroy this message and any copies</t>
  </si>
  <si>
    <t>anthony miller</t>
  </si>
  <si>
    <t>hi
please deactivate anthony millerâ€™s windows and email.
he is no longer with calmont.</t>
  </si>
  <si>
    <t>auditor access</t>
  </si>
  <si>
    <t>good morning,
wen from rsm was previously setup with a vpn in december, but the auditor will require remote access as well to our environment, with access to our accounting drive, finance drive and sage. please let me know if this is possible.</t>
  </si>
  <si>
    <t>clayton frost</t>
  </si>
  <si>
    <t>hi
please note that clayton frost has been terminated from calmont.
please disable his computer, supplying a new password until further notice.
also, please have his emails forwarded to matthew kennedy for 3 months.</t>
  </si>
  <si>
    <t>fw: access</t>
  </si>
  <si>
    <t>hi there,
please note that christine has been grantedfull access to the following folders:
n:\leaders\agency leaders
n:\general information\internal
let me know if you have any questions,</t>
  </si>
  <si>
    <t>automate control on ibsgazadmin</t>
  </si>
  <si>
    <t>mnp need automate control on ibsgazadmin?Â  if not, can you remove it
i</t>
  </si>
  <si>
    <t>adobe issue</t>
  </si>
  <si>
    <t>good afternoon
can someone please contact me.
barb
barbspencer e ext 165
9321 jasper avenue, edmonton ab t5h 3t7
e4calberta.org</t>
  </si>
  <si>
    <t>hi there. lots of spam making their way through the spam filter. please block.</t>
  </si>
  <si>
    <t>discontinue email account</t>
  </si>
  <si>
    <t>hello,
please discontinue the email account for: Â alrick forbes  as soon as possible.</t>
  </si>
  <si>
    <t>3 thinprint licenses for pilgrims hospice</t>
  </si>
  <si>
    <t>pilgrims hospice
1345818
 add licenses  
 other license  
thinprint
3
joscelyne rivard, nursing station and nursing station2</t>
  </si>
  <si>
    <t>pics email</t>
  </si>
  <si>
    <t>hi,
can we add kent hector (khector@nationalneon) to the  distribution list.</t>
  </si>
  <si>
    <t>please call me on my cell # 780 292-519
carstar st albert
carstar edmonton east
proud member of driven brandsâ„¢</t>
  </si>
  <si>
    <t>email address for two employees</t>
  </si>
  <si>
    <t>good morning,
if we can please get two emails set up as soon as possible. both will be basic licenses 
chantal dube - 
sara webber  - 
please set the passwords to winter2021
sent from my iphone</t>
  </si>
  <si>
    <t>- sage 300 - accessing 2014 and prior</t>
  </si>
  <si>
    <t>tried to log into our 2014 and prior database of sage and there is no data there
r
same with 2008 and prior
may need to talk to baass about this but how can we access all this data?\
jacqui sandhuÂ Â financial analyst
225 parsons road sw Â edmonton abÂ Â t6x 0w ext. 492 Â tfÂ )
www.youracsa.ca</t>
  </si>
  <si>
    <t>lance molnar
field services technician
ph.Â +
14505 114th avenue nw
edmonton, ab
t5m2y8
mnp.ca
hi lance,
i just received confirmation from neil at asktech, our printer service technician. he has been trying to replace the duplexing unit on the hewes business color printer m5 114th avenue nw
edmonton, ab
t5m2y8
mnp.ca</t>
  </si>
  <si>
    <t>good afternoon,
my word documents seem to all be opening without the headers / logos now.Â  not sure what has changed but if you could please look into this, that would be great.</t>
  </si>
  <si>
    <t>ncso email inbox</t>
  </si>
  <si>
    <t>hello,
can you please add christina chen as to have access to view and reply to the email inbox  canÂ  we please have it set up a separate email inbox within her email account instead of going directly to her inbox.</t>
  </si>
  <si>
    <t>reactivate - trent threadkell</t>
  </si>
  <si>
    <t>please reactivate
change title: corporate development manager
location: calgary
give same access as roger didychuk
business process manager
t:       +
c:       +
f:       +
e:       
w:       www.siterg.com
#170, 120 pembina rd., sherwood park, ab, t8h 0m2</t>
  </si>
  <si>
    <t>quotevalet: nd - orderform - field kit resupply calmont group</t>
  </si>
  <si>
    <t>14505 114th avenue nw, edmonton, ab, t5m 2y8
dear curt giacomoni,
this is an automated notification from the quotevalet system.
your customer calmont group placed orderform order # qvao
order details:
nd - orderform - field kit resupply - calmont group 
from 
to view or review the orderform order on quotevalet at any time click here.
this email was created using quotevalet - the online quote delivery and acceptance vehicle forquotewerks.</t>
  </si>
  <si>
    <t>quote request - just cabling - just cabling panasonic quote for cardinal tool</t>
  </si>
  <si>
    <t>just cabling
clayton
just cabling panasonic quote for cardinal tool
 the primary contact in connectwise  
edmonton
0
 next digital edmonton  
wed 13 jan, 2021  
 no  
 voice equipment  
panasonic telephone system</t>
  </si>
  <si>
    <t>to whom it may concern:
there is a new update on the quickbooks accountant edition 202 f 780 487 1 178 street, edmonton ab, t5s 1r5</t>
  </si>
  <si>
    <t>new employee - robert stark</t>
  </si>
  <si>
    <t>name: robert stark
title: compliance manager
location: sherwood park
same access as ken davies
business process manager
t:       +
c:       +
f:       +
e:       
w:       www.siterg.com
#170, 120 pembina rd., sherwood park, ab, t8h 0m2</t>
  </si>
  <si>
    <t>re:  q &amp; a / email</t>
  </si>
  <si>
    <t>good morning,
we have a current email called Â  we have just had shae set up two desktops in our nursing station yesterday but are wondering if both computers can be logged in simultaneously or if we will have to have a secondary email address to access the second computer.Â  if we can log in both then i will require a password to go with the email.
also, there was a laptop set up yesterday in the nursing station as well and this will require email and e3 license for joscelyne rivard (see attached form).Â  please forward all credentials to myself when complete and if there is a chance we could get this set up today that would be great, although i am not sure if we a spare e3 license at the current moment.</t>
  </si>
  <si>
    <t>fw: messages quarantined since dec 31, 2020 08:00 am for</t>
  </si>
  <si>
    <t>hi there,
please remove and disable complete vivianeâ€™s bridgman email account from barb spencer outlook.
also, is there a reason why she still receiving rob fragoso emails? i have requested few time to disable and remove his account from her outlook.
let me know when this issues has been resolved.</t>
  </si>
  <si>
    <t>google analytics - txt file</t>
  </si>
  <si>
    <t>i need to gain access to our google analytics account for black stone and need to follow these steps. can you please call me and assist with this?
steps to demonstrate ownership of google analytics web properties
please be sure to review the permissions you'd like to be granted:https://support.google.com/analytics/answer/1439-1 that youâ€™re requesting access to, follow these steps:
1. create a text file and save it as: analytics.txt
2. include the following string of text in this text file:Â  Â  â€œgooghywoiu9839t543j0s7543uw1. Â please Â to ga account ua-83221439-1 with â€œmanage users and editâ€ permissions - date 06-01-2021.
3. upload this text file to the root of each of the domains from which you're requesting access.
youâ€™ll append "analytics.txt" to the end of your url. for example, if your site url ishttp://www.example.com, the uploaded file will look like this:http://www.example.com/analytics.txt
important: your email address (gmail or non-gmail) needs to be associated with a google account in order to be added to google analytics
 if you are using a gmail address (@gmail.com), no further action is needed as all gmail addresses are associated with a google account.
 if you are using a non-gmail address, you can check if your email address is associated with a google account here:https://support.google.com/accounts/answer/40560?hl=en
 in case your email address is not associated with a google account, please take the following steps to create a google account :https://support.google.com/accounts/answer/27441?hl=en
please create a google account rather than changing the email address that youâ€™d like to be added to google analytics, as this would require us to re-initiate this process.
next steps
once you've uploaded the text file, "analytics.txt," reply to this email with the urls of the uploaded files. once i receive this information, iâ€™ll grant you â€œmanage users and editâ€ permissions to the google analytics account or property.
we ask people to follow these steps for security purposes. thanks for your help and understanding!</t>
  </si>
  <si>
    <t>workstation issues
system is running slow, high memory usage, not much running 
(75% memory laod with teams/shoretel open)
tried clearing up some disk space, doubling page file and running sfc/dism
also unable to use fst shared workstation space as docks/cabling are setup for newer laptops which is affecting my ability to work from the office effectively if needed
 no  
 one  
 work impacting</t>
  </si>
  <si>
    <t>fw: james added to lease return email</t>
  </si>
  <si>
    <t>hi
please add james nelson to the lease return email list and delete andrew dowdall and amanda trundle</t>
  </si>
  <si>
    <t>new employee
lyndsay yellowdirt - pa team
start date january 13 2021
un
pw
ea
 no  
 one  
 other</t>
  </si>
  <si>
    <t>terminate - denise dodds</t>
  </si>
  <si>
    <t>please terminate
business process manager
t:       +
c:       +
f:       +
e:       
w:       www.siterg.com
#170, 120 pembina rd., sherwood park, ab, t8h 0m2</t>
  </si>
  <si>
    <t>office 365 subscription</t>
  </si>
  <si>
    <t>i am adding another laptop and want to find out if there are any extra devices available under my current subscription?</t>
  </si>
  <si>
    <t>- issue with laptop frap-l-7275 -user estelle pekan -</t>
  </si>
  <si>
    <t>hi support,
we need your support to install the acrobat reader on the laptop frap-l-7275 -user estelle pekan â€“ we did not have the admin account to proceed. the local admin account frapadmin requested for all the frap pcs is not yet setup on the said laptop.</t>
  </si>
  <si>
    <t>error in sig.</t>
  </si>
  <si>
    <t>not sure what this error is?Â Â Â  i had to task manager out of sig.
senior account manager, personal lines
eÂ Â Â Â Â  
dÂ Â Â Â  Â 
12316-107 avenue, edmonton, ab  t5m 1zÂ 
12316-107 avenue, edmonton, ab t5m 1z1
www.mhkinsurance.com
we're here to help with your insurance needs. emails and phone calls are still encouraged. appointments are required for in-office broker meetings. please wear a mask when visiting.
mhk welcomes e-transfer payments to 
if you receive this email in error, please notify us by reply email and destroy this message. mhk complies with canada's anti-spam and alberta's pipa legislations. if you no longer wish to receive emails from mhk, please reply with 'unsubscribe' in the subject line.</t>
  </si>
  <si>
    <t>lab computer - historian server</t>
  </si>
  <si>
    <t>hi david,
xuan and i need you to take a look at the computer in the downstairs lab to make sure it can connect to the historian server (exshistorian â€“ ).
we are going to be running an excel document on that machine to write lab data to the historian server.
when you are on-site tomorrow please see xuan and he can show you which computer the lab technicians will be using for this.
feel free to give me a call on my cell if you have any questions tomorrow.</t>
  </si>
  <si>
    <t>o: drive saving access</t>
  </si>
  <si>
    <t>hi,
can we get andrea ruether the power to save in the o:/ marketing drive?</t>
  </si>
  <si>
    <t>fw: isl engineering and land services ltd</t>
  </si>
  <si>
    <t>fyi..i feel that the e-mail below could be a scam as i am not expecting a invoice from isl.
, principal
licensed interior designer aaa leed ap bd+c ncidq ida idc
group2
architecture interior design ltd.
200, 4706 Â 48th Â avenue red deer ab t4n 6j4
t +
c +
group2.ca
group2 is committed to being both responsive and responsible in navigating these extraordinary times with everyoneâ€™s safety in mind. since the outset of the covid-1Â Â Â  direct:Â Â Â Â 
covid-19 update:Â our commitment to delivering our projects is unwavering. we use cloud-based software and tools to maintain our collaborative environment and keep staff and partners safe.Â learn more on our website.</t>
  </si>
  <si>
    <t>internal -receycling of old harddrives and tape drives</t>
  </si>
  <si>
    <t>fyi,  
 internal project to dispose of old storage devices tomorrow. feel free to contact me if you have any concerns.</t>
  </si>
  <si>
    <t>offboard allison yaseniuk
please complete offboarding of allison yaseniuk (saskatchewan studio)
 no  
 one  
 other</t>
  </si>
  <si>
    <t>quote request -  - quote for cordless headset savi700 series</t>
  </si>
  <si>
    <t>kelly @ reception, wants a cordless headset
quote for cordless headset savi700 series
 someone else  
main
 next digital edmonton  
wed 13 jan, 2021  
 yes  
 accessories (mice, keyboards, ram/ssd upgrades etc)  
 other  
savi700 series cordless headset or equivalent
sav700 series or equivalent cordless headset</t>
  </si>
  <si>
    <t>a high-severity alert has been triggered
âš microsoft 365 compliance center
severity:â—high
time:1/11/2021 4:43:47 pm (utc)
activity:protection
details: 1 message hit on 6a3ed9c1-06b6-467a-23ec-08d8b63-1, sent by  to  at time 1/11/2021 4:43:47 pm.
              view alert details</t>
  </si>
  <si>
    <t>re: bulk scale irregularities</t>
  </si>
  <si>
    <t>hi codi,
iâ€™ll restart the service, and will review some sort of error recovery for this issu.e
iâ€™ve included our support email so that a ticket can be opened for this..</t>
  </si>
  <si>
    <t>fw: quote for a new eaton device</t>
  </si>
  <si>
    <t>hello
curt and cori
i am in need a bigger eaton device with more juice. can i get a quote these device and if they are in stock. iâ€™m only grabbing one of these and a couple more of the regular, but only once i figure out which iâ€™m going with.
eaton 5s 700
eaton 5s 1000lcd
eaton 5s 1500g
eaton 5s 150</t>
  </si>
  <si>
    <t>software renewal notice</t>
  </si>
  <si>
    <t>please quote a renewal for the attached software, config attached, which expires within 90 days.</t>
  </si>
  <si>
    <t>veeam o365 backups</t>
  </si>
  <si>
    <t>concord consulting
 the primary contact in connectwise  
main
 next digital edmonton  
fri 15 jan, 2021  
6 x veeam o365 mailboxes
130 gb spo/onedrive</t>
  </si>
  <si>
    <t>pickup loaner qnap at landrex
landrex was using a loaner qnap of ours, it needs to be shutdown and brought back to our office and given to thomas
 no  
 one  
 minor inconvenience</t>
  </si>
  <si>
    <t>quote for a replacement ups</t>
  </si>
  <si>
    <t>the primary contact in connectwise  
edmonton
1345129
 next digital edmonton  
mon 18 jan, 2021  
need to have a replacement ups quoted. the details of the old ups is:
ups is a tripp-lite, model:  
model: smart2200rm2u, series agsm8207
plug type; 5-20p
output; 120v~ 60hz, 2200va, 1920w, 16a
the replacement ups need 6 battery- backed power outlets</t>
  </si>
  <si>
    <t>mint drugs head office - wireless phone for head office</t>
  </si>
  <si>
    <t>good afternoon pat,
we have put together a quote for the request of 1 panasonic wireless phone model kxtca185 needed at your head office.
you can review and approve the quote by clicking the link below.
quote number: aaaq19920 
if you have any questions regarding this quote please do not hesitate to reach out.</t>
  </si>
  <si>
    <t>out of office message required for frank lonardelli - urgent</t>
  </si>
  <si>
    <t>good morning,
can you please put an out of office reply for frank as per below as soon as possible.</t>
  </si>
  <si>
    <t>hello,
we need to set up http redirects on our websites webserver.
the server ip is 
it is hosted through rackspace. we recently had a security certificate updated on it so i believe it is managed by you. if not, let me know.
we need all pages on the site www.youracsa.ca to redirect automatically to https.
we need to exclude the subdomains for the site as they are legacy pages and break if they try to run with a security certificate.
the specific subdomains to exclude are:
portal.youracsa.ca
eaudit.youracsa.ca
these cannot be included in the http redirect.</t>
  </si>
  <si>
    <t>trouble printing in colour</t>
  </si>
  <si>
    <t>good morning,
printing colour worked fine until i ticked the â€œprint in grayscale (black and white) for one document. now the option is greyed out and unable to be changed now that i need to back to printing in colour.
iâ€™d greatly appreciate it if you can please take a look:</t>
  </si>
  <si>
    <t>re: dan gunderson service email group</t>
  </si>
  <si>
    <t>hi,
can you please add dan gunderson to the bobcat of edmonton service group email?</t>
  </si>
  <si>
    <t>hi there. not sure why i received this. ??</t>
  </si>
  <si>
    <t>re: sandman hotel edm - service order 47570</t>
  </si>
  <si>
    <t>good morning,
hope all had a good weekend!
just wanted to follow up with the request i sent on friday last week. any ideas to when someone might be able to go to site?</t>
  </si>
  <si>
    <t>national neon - dns and domain hosting</t>
  </si>
  <si>
    <t>national neon
 the primary contact in connectwise  
main
1345178
 next digital edmonton  
mon 11 jan, 2021  
domain and dns hosting. their ex-developer dropped the domain immediately and nothing got transferred.</t>
  </si>
  <si>
    <t>a high-severity alert has been triggered
âš microsoft 365 compliance center
severity:â—high
time:1/12/2021 3:01:01 pm (utc)
activity:protection
details: 1 message hit on 38547acb-af2f-4302-a33c-08d8b70ade5-1, sent by  to  at time 1/12/2021 3:01:01 pm.
              view alert details</t>
  </si>
  <si>
    <t>re: ticket #1343923/re: ticket#1317235/calmontgroup/ - loss access to the shared drive -</t>
  </si>
  <si>
    <t>i still do not have access, is there anyone able to asist me, thank you
warranty administrator
volvo truck centre calgary
we`re customer driven
5475 â€“ 53rd street se calgary, alberta, canadaÂ  t2c 4pÂ  extension: 8910
toll free: 
email: 
visit our website at: www.calmont.ca</t>
  </si>
  <si>
    <t>a high-severity alert has been triggered
âš microsoft 365 compliance center
severity:â—high
time:1/11/2021 5:52:03 pm (utc)
activity:protection
details: 1 message hit on d5fb4215-2fd6-4092-ce41-08d8b0167-1, sent by  to  at time 1/11/2021 5:52:03 pm.
              view alert details</t>
  </si>
  <si>
    <t>[jira] (tiap-999) box drive update available</t>
  </si>
  <si>
    <t>jackie terry added 1 new comment. toronto innovation acceleration partners/tiap-999 box drive update available 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
jackie terry added 1 new comment.
toronto innovation acceleration partners
/Â Â    Â  tiap-999
 box drive update available 
  jackie terry  1:48Â pmÂ est
sorry chuck, running late, is 2:15 pm today ok?
view issue
get jira notifications on your phone! download the jira cloud app for android or ios.
manage notifications   Â â€¢Â    give feedback   Â â€¢Â    privacy policy</t>
  </si>
  <si>
    <t>re: refurbished telephone handset</t>
  </si>
  <si>
    <t>hello mark,
we donâ€™t have any refurbished sets on the shelve at the moment, having said that we have some used phones that are in really good shape.
the used phones would be $55.00 each, would you like us to provide you with a quote for these and if so how many would you like us to quote you?
shawn parks
business development
ph.Â + ext 321
14505 114th avenue nw
edmonton, ab
t5m2y8
mnp.ca
we would be looking for three (c 
www.keymay.com
hi mark,
iâ€™m pretty sure they are still available but i will cc our sales group for current pricing.</t>
  </si>
  <si>
    <t>fw: request for eaton 3s 550va/eaton 5s1500lcd</t>
  </si>
  <si>
    <t>hello again curt and cori
have another drop ship order.
2 -eaton 3s 550 va
1 - eaton 5s 1500lcd
to be dropped ship to the location below.
great canadian liquor
attn. real
11478 - 149 st.
edmonton, ab
t5m 1w</t>
  </si>
  <si>
    <t>thinprint renewal notice</t>
  </si>
  <si>
    <t>morgan - interent issue</t>
  </si>
  <si>
    <t>scribe transcribed your voicemail message. on sat jan 09 2021 01:1 thanks bye.
you have a new voicemail message.
new voice message
--- 
(
--- 
--- 
time:sat jan 09 2021 01:12 mst
--- 
duration:00:11
---
vm-id:29451
month to date usage: 8 messages / 00:05:00 (hh:mm:ss)</t>
  </si>
  <si>
    <t>can you get/order c 
www.keymay.com
53169 range road 225
sherwood park, ab t8h 4t and delete this message from your system. thank you.
************************************************************
hello mark,
we donâ€™t have any refurbished sets on the shelve at the moment, having said that we have some used phones that are in really good shape.
the used phones would be $55.00 each, would you like us to provide you with a quote for these and if so how many would you like us to quote you?
shawn parks
business development
ph.Â + ext 321
14505 114th avenue nw
edmonton, ab
t5m2y8
mnp.ca
we would be looking for three (c 
www.keymay.com
53169 range road 225
sherwood park, ab t8h 4t and delete this message from your system. thank you.
************************************************************
hello mark,
how many phones are you looking for?
shawn parks
business development
ph.Â + ext 321
14505 114th avenue nw
edmonton, ab
t5m2y8
mnp.ca</t>
  </si>
  <si>
    <t>dan gunderson service email group</t>
  </si>
  <si>
    <t>investigate notifications - gateway telus main went down -</t>
  </si>
  <si>
    <t>dear administrator,
you are receiving this auto-generated message from sophos notification system to inform change in gateway status.
gateway: telus main
gateway 
gateway interface: port3
status: down
time: 02:17:06
model numberfirmware versionappliance keyappliance ip (lan)appliance configured in ha?
--- --- --- --- --- 
xg105wsfos 17.5.13 mr-13c1403bd2kg3hm9eno
please do not reply to this message.
refer support  if you require more details.</t>
  </si>
  <si>
    <t>default pdf program keeps reverting to edge</t>
  </si>
  <si>
    <t>/ jennifer - default pdf program keeps reverting to edge
jennifer reopened an old ticket but reporting a different issue.
she is advising she keeps having to change her default pdf back to nuance, but had to leave when i called her.
 no  
 one  
 minor inconvenience</t>
  </si>
  <si>
    <t>moved user from azrdstest to ibsg-wvd-pd-0</t>
  </si>
  <si>
    <t>in the coming day, we are shutting down the azrdstest server and move all on ibsg-wvd-pd-0
currently, they login through a client windows desktop client (https://docs.microsoft.com/en-us/windows-server/remote/remote-desktop-services/clients/windowsdesktop)Â @fidelis uduehi will be updating the document.Â if anyone needs to understand, give me a call so i can discuss</t>
  </si>
  <si>
    <t>switch and aps for</t>
  </si>
  <si>
    <t>mfp resources
 someone else  
's home
1345189
 next digital edmonton  
mon 18 jan, 2021  
24-port gb switch - unmanaged - brand not important
3 wireless access points - brand not important
installation</t>
  </si>
  <si>
    <t>hello,Â 
i hope you had a wonderful holiday season!
i am reaching out to determine how everything is going with the cordless phones. we are hoping that everything is functioning correctly and the calls are no longer dropping? can you please confirm this for us.</t>
  </si>
  <si>
    <t>- school 2020-21 rep address book access change</t>
  </si>
  <si>
    <t>good afternoon,
could i please have the following changed on the 2020-21 school rep address book list.
take off â€“ mona timko â€“ 
add:Â  bobbi-jean robertson â€“</t>
  </si>
  <si>
    <t>adobe</t>
  </si>
  <si>
    <t>hi,
i am having this message pop up when trying to convert pdf to word.</t>
  </si>
  <si>
    <t>printing problem</t>
  </si>
  <si>
    <t>good afternoon,
could i have someone call me on my cell as i am working from home today.Â  .Â  daniel shaw fixed my printing problem on wednesday, i go in again today into my laptop to print and i cannot print.Â  it is checked off (brother printer), but does not respond to the print.Â  test page does not print either.Â  i have done a complete shut down of the laptop and printer.Â  i have tried printing in the cloud and outside the cloud, does not work.</t>
  </si>
  <si>
    <t>new distribution list</t>
  </si>
  <si>
    <t>happy friday mnp!
please re-establish our crisis management team (cmt) distribution list and include:
monique auffrey
rachel anand
carolyn frew
linda tickner
lisa stebbins
susan herman
kim savard
much thanks,
leanna
, ma, ccc, cphr
hr manager
t: 403.205.524
180, 839 5 ave sw  calgary, ab  t2p 3c8
carya (formerly calgary family services)
stay up to date with the latest carya news, programs, and events by signing up for ourmonthly newsletter.
in the spirit of our efforts to promote reconciliation, we acknowledge the traditional territories and oral practices of the blackfoot, the tsuut'ina, the stoney nakoda first nations, the mÃ©tis nation region 3, and all people who make their homes in the treaty 7 region of southern alberta. we also respectfully acknowledge that the province of alberta is comprised of treaty 6, treaty 7, and treaty  during business hours (monday-friday, 8:30am-4:3) and in case of an emergency dial 911.
this e-mail is intended solely for the person or entity to which it is addressed and may contain confidential and/or privileged information. any review, dissemination, copying, printing, forwarding or other use of this e-mail by persons or entities other than the addressee is prohibited. if you have received this e-mail in error, please contact the sender immediately and delete the material from your computer.</t>
  </si>
  <si>
    <t>.net error</t>
  </si>
  <si>
    <t>hope to have this resolved next week.
i am also getting this error message now too
warranty administrator
volvo truck centre calgary
we`re customer driven
5475 â€“ 53rd street se calgary, alberta, canadaÂ  t2c 4pÂ  extension: 8910
toll free: 
email: 
visit our website at: www.calmont.ca</t>
  </si>
  <si>
    <t>hi
please set up an email, user name and password for dan gunderson.Â he will be working out of calmont equipment, edmonton.Â  please set him up the same as danielle gidilewich
his start date is january 8, 2021.</t>
  </si>
  <si>
    <t>deactivate mike demonnin email account
mike demonnin's email account can be deactivated.
 yes  
 one  
 minor inconvenience</t>
  </si>
  <si>
    <t>rachelle - fagnan - unable to locate printer</t>
  </si>
  <si>
    <t>printer e77830 color has not been installed. i have no printer set up or it's under a different name.</t>
  </si>
  <si>
    <t>calmont</t>
  </si>
  <si>
    <t>good morning,Â  juliah has no internet service for her computer or phonesÂ  can you please call her cell phone at  to see if you can get her fixed up</t>
  </si>
  <si>
    <t>i am having issues with my surface connecting to a wifi network. when i open the wifi network selection tab there are no wifi options there to be found. the surface is working fine when on the dock hardwired into a router but no wifi connectivity. can you please help me with this?</t>
  </si>
  <si>
    <t>permission for import from mobile in hj
requesting permission to import timecards form hj
 no  
 one  
 work impacting</t>
  </si>
  <si>
    <t>new employee
catorina ryan - pa team
starting date  january 30.2021
un
pw
ea
 no  
 one  
 other</t>
  </si>
  <si>
    <t>fw: rush quote for surface pro for chris tanner</t>
  </si>
  <si>
    <t>hello sales,
can you please send me a quote for a new surface pro with pen and keyboard?Â Â Â  this one does not need a dock or a sim card slot.Â  (the same model as the ones we ordered on aaaq1)</t>
  </si>
  <si>
    <t>quote request - mnp - replacemnt laptop screen</t>
  </si>
  <si>
    <t>mnp
thomas, replacement screen
replacemnt laptop screen
 someone else  
jeremy townsend
main
 next digital edmonton  
fri 29 jan, 2021  
 yes  
 accessories (mice, keyboards, ram/ssd upgrades etc)  
 other  
15.6" laptop screen for a lenovo t590
https://www.screencountry.com/index.php?section=products&amp;model=fru%96
15.6" lcd laptop screen(matte)</t>
  </si>
  <si>
    <t>fw: feb 7 - sterling place - power shut-down</t>
  </si>
  <si>
    <t>fyi
please see the attached memo along with epcor notice regarding a power shut down for upgrade on sunday, february 7th.</t>
  </si>
  <si>
    <t>hello,
i would like to submit a ticket to remove a program and all associated files from our pvc-app0 to discuss when this can be performed.</t>
  </si>
  <si>
    <t>unable to access citrix</t>
  </si>
  <si>
    <t>good afternoon, 
citrix wouldnâ€™t connect and now i am unable to access it. could someone please look into this?</t>
  </si>
  <si>
    <t>how do i change or figure out my password for  on microsoft?</t>
  </si>
  <si>
    <t>dynamics/leathpath</t>
  </si>
  <si>
    <t>hi,
1.Â Â Â Â Â Â can we pull the microsoft dyanmics license from ryan dejong to chris mccabe?
2.Â Â Â Â Â Â can we set up chris mccabe with leasepath with the same user permissions as ryan?
, cpa, cma
chief financial officer
14610 yellowhead trail nw edmonton, ab, t5l 3cÂ Â Â Â  toll free: Â Â Â Â  direct: 780-409-335
email:
website:www.calmont.ca
this email, and any files transmitted with it, are confidential and are intended solely for the use of the individual or entity to which they are addressed. any unauthorized use or disclosure is prohibited. please notify the sender if you have received this email in error. thank you for your co-operation.</t>
  </si>
  <si>
    <t>good afternoon dave,
xtn is having issues with their parts fax line. . they are not able to send or receive faxes, and when i try calling that number, it gets a busy tone.  and no dial tone either. 
is there any setting on the phone system that can prevent the fax not to function?
helpdesk manager
it coordinator â€“ fca/ford platform</t>
  </si>
  <si>
    <t>hello helpdesk,Â  please allow remote access (through remote desktop) for judy fortini on d-780  e: f: 
180, 839 5 ave sw  calgary, ab  t2p 3c8
carya (formerly calgary family services)
stay up to date with the latest carya news, programs, and events by signing up for ourmonthly newsletter.
in the spirit of our efforts to promote reconciliation, we acknowledge the traditional territories and oral practices of the blackfoot, the tsuut'ina, the stoney nakoda first nations, the mÃ©tis nation region 3, and all people who make their homes in the treaty 7 region of southern alberta. we also respectfully acknowledge that the province of alberta is comprised of treaty 6, treaty 7, and treaty  during business hours (monday-friday, 8:30am-4:3) and in case of an emergency dial 911.
this e-mail is intended solely for the person or entity to which it is addressed and may contain confidential and/or privileged information. any review, dissemination, copying, printing, forwarding or other use of this e-mail by persons or entities other than the addressee is prohibited. if you have received this e-mail in error, please contact the sender immediately and delete the material from your computer.</t>
  </si>
  <si>
    <t>mnp,
in attempting to save some photos into the s:\all general corporate information folder, i noticed there are several folders missing, i would guess about 1Â 
cÂ Â Â Â  
12316-107 avenue, edmonton, ab  t5m 1z1
www.mhkinsurance.com
we're here to help with your insurance needs. emails       and phone calls are still encouraged. appointments are required for       in-office broker meetings. please wear a mask when       visiting.
mhk welcomes       e-transfer payments to banking@mhkinsurance.â€‰com.
if you       receive this email in error, please notify us by reply email and destroy       this message. mhk complies with canada's anti-spam and alberta's pipa       legislations. if you no longer wish to receive emails from mhk, please       reply with 'unsubscribe' in the subject   line.</t>
  </si>
  <si>
    <t>quotevalet: nd - orderform - field kit resupply poundmaker's lodge</t>
  </si>
  <si>
    <t>14505 114th avenue nw, edmonton, ab, t5m 2y8
dear curt giacomoni,
this is an automated notification from the quotevalet system.
your customer poundmaker's lodge placed orderform order # qvao
order details:
nd - orderform - field kit resupply - poundmaker's lodge 
from 
to view or review the orderform order on quotevalet at any time click here.
this email was created using quotevalet - the online quote delivery and acceptance vehicle forquotewerks.</t>
  </si>
  <si>
    <t>saving to a flash drive from a remote session
hi there, i am trying to save a file to my flash drive on a remote session. when i plug in the flash drive it only shows up on my laptop that i am using to remote in on. i tried copying the file and pasting it into the drive.  it said it was copying but an half hour later nothing had changed.  is there a way to do this?
 no  
 one  
 minor inconvenience</t>
  </si>
  <si>
    <t>a high-severity alert has been triggered
âš microsoft 365 compliance center
severity:â—high
time:1/8/2021 4:20:14 pm (utc)
activity:protection
details: 1 message hit on 40bd7e6c-a645-49d3-fab4-08d8b3f1-1, sent by  to  at time 1/8/2021 4:20:14 pm.
              view alert details</t>
  </si>
  <si>
    <t>terminate user</t>
  </si>
  <si>
    <t>please terminate raff langit from email and computer access.Â  please forward all his emails to robert watson.</t>
  </si>
  <si>
    <t>issue to open outllook
hi there, for whatever reason i can't open my outllok, it was working properly and no issue until few min ago. it says, "the set of folders cannot be open". if you could please take a look.
 no  
 one  
 work impacting</t>
  </si>
  <si>
    <t>re: new request computers</t>
  </si>
  <si>
    <t>emails setup on domain host, unsure of what setup next digital has at this point.
https://webmail.emailsrvr.com
-----original message-----
hello,
we have two new computer from next digital that we need set up.
they are plugged in an turn on and the next digital sticker numbers are:
-10201
-10202
they are for infinity metis corp. our business arm.
the emails are  
itâ€™s a google account and the login in is:
metis1935!
ms login:
metis1935!
the two new employees are:
heidi taves
user : 
pass: f5y7xdpwh7cqdyk
shannon earle
user: 
pass: f5y7xdpwh7cqdyk
please let me know if any questions,</t>
  </si>
  <si>
    <t>hello dave,
attached is the new work order for the cascades edmonton project that kevin emailed you about. once i hear more on the equipment status i or kelli, from warehouse, will reach out with shipping information.</t>
  </si>
  <si>
    <t>quote request - align ortho - upgrade computer lenovo m700 desktop tiny, serial # mj059tb7</t>
  </si>
  <si>
    <t>align ortho
 - aging computer
upgrade computer lenovo m700 desktop tiny, serial # mj059tb7
 the primary contact in connectwise  
head office
1343260
 next digital edmonton  
fri 15 jan, 2021  
 yes  
 accessories (mice, keyboards, ram/ssd upgrades etc)  
 ram upgrade  
 hdd/ssd  
4gb to 8gb
 250gb ssd  
 i don't know  
lenovo m700 desktop tiny, serial # mj059tb7
ssd and ram upgrade (to 8gb)</t>
  </si>
  <si>
    <t>chris esau's forwarded emails /// auto-reply</t>
  </si>
  <si>
    <t>hello,
can you please stop the forwarded emailing coming to me from chris esauâ€™s email address? 99% of it is junk/spam mail anyways. if anything have a autoreply message stating that this email is no longer valid please contact  . or something to that effect.
kind regards,
matthew nasby, crsp, csp, p. gscÂ Â cor manager
225 parsons road sw Â edmonton abÂ Â t6x 0w ext. 185 Â tfÂ )
www.youracsa.ca</t>
  </si>
  <si>
    <t>remove email accounts from my outlook</t>
  </si>
  <si>
    <t>hello,
can you remove the following from my outlook.
 chiko ngandu â€“ no longer working here and no more emails should be coming through to him.
 calgary office shared calendar â€“ and remove anything else that might be residual.
matthew nasby, crsp, csp, p. gscÂ Â cor manager
225 parsons road sw Â edmonton abÂ Â t6x 0w ext. 185 Â tfÂ )
www.youracsa.ca</t>
  </si>
  <si>
    <t>re:  client portal</t>
  </si>
  <si>
    <t>hi there,
please add the mnp it managed client portal to pierre plamondonâ€™s desk top as soon as possible.</t>
  </si>
  <si>
    <t>good morning,
please setup access for elizabeth frolek to the following email boxes, group and calendars.
email account access:
 accounting ()
 executive assistant ()
calendar access:
 accounting
 executive assistant
 dan maclennan
 staff calendar
please add her to the following email groups:
 all acsa staff</t>
  </si>
  <si>
    <t>hello!
can you please create a new ohs committee email group with the following users:
robert watson
kelli pratt
donovan tordoff
neil mcdonald
chris pituskin
ryan eagle</t>
  </si>
  <si>
    <t>a high-severity alert has been triggered
âš microsoft 365 compliance center
severity:â—high
time:1/11/2021 10:38:39 am (utc)
activity:protection
details: 1 message hit on 06439258-4ad6-4251-cfa3-08d8b61d45-1, sent by  to  at time 1/11/2021 10:38:39 am.
              view alert details</t>
  </si>
  <si>
    <t>we would be looking for three (c 
www.keymay.com
53169 range road 225
sherwood park, ab t8h 4t and delete this message from your system. thank you.
************************************************************
hello mark,
how many phones are you looking for?
shawn parks
business development
ph.Â + ext 321
14505 114th avenue nw
edmonton, ab
t5m2y8
mnp.ca
hi mark,
iâ€™m pretty sure they are still available but i will cc our sales group for current pricing.</t>
  </si>
  <si>
    <t>good morning,
on september 30, 202 ext. 23
www.cbhfamilylaw.ca
given the recent developments with covid-19 we are respectfully requesting that our clients and colleagues please consider meeting with us via telephone or video conference, whenever possible.Â  if you have recently travelled outside of the province or country, we would ask that you first self-isolate for a period of 14 days prior to any in-person meeting with us.Â  if you are experiencing cold or flu like symptoms, or are otherwise feeling unwell, please reschedule your meetings for 14 days from the date you last experienced symptoms.
we also encourage you to wear a mask when attending at the office (we have masks available, if necessary) and to provide us with your documents electronically or by fax whenever possible before meeting with us.</t>
  </si>
  <si>
    <t>request to connect home printer for work use</t>
  </si>
  <si>
    <t>hi there,
wondering if i could obtain assistance in adding my home printer as an option to my list of printers.Â  tomorrow morning is more flexible for assistance as i have several meetings this afternoon.</t>
  </si>
  <si>
    <t>a high-severity alert has been triggered
âš microsoft 365 compliance center
severity:â—high
time:1/7/2021 4:32:08 pm (utc)
activity:protection
details: 1 message hit on 03fc7f1e-1144-4f69-b998-08d8b3170-1, sent by  to  at time 1/7/2021 4:32:56 pm.
              view alert details</t>
  </si>
  <si>
    <t>spam email
i got the spam email. screenshot attached.
 no  
 one  
 minor inconvenience</t>
  </si>
  <si>
    <t>a high-severity alert has been triggered
âš microsoft 365 compliance center
severity:â—high
time:1/7/2021 4:36:35 pm (utc)
activity:protection
details: 1 message hit on 05f9767b-73f9-4b96-269c-08d8b37-1, sent by  to  at time 1/7/2021 4:36:53 pm.
              view alert details</t>
  </si>
  <si>
    <t>mailbox/outlook changes</t>
  </si>
  <si>
    <t>morning everyone.
am emailing you with a few requests.
1.Â Â Â Â Â Â can we remove kim williams from the cloud?Â  she resigned from full time work at the beginning of december but was still working part time from home. we will be phasing her out over next few weeks so she no longer needs cloud access.
2.Â Â Â Â Â Â can we have kim williams emails â€œtransferredâ€ to my inbox so i can check and make sure all the appropriate people know she is no longer working there.
 if any questions as i am working from home.
11202-7</t>
  </si>
  <si>
    <t>- fw: messages quarantined since jan 06, 2021 03:00 pm for</t>
  </si>
  <si>
    <t>hi there, can someone call me regarding the email below? i am trying to apply for police check and i am not sure what to do to allow this email and be able to confirm my application.</t>
  </si>
  <si>
    <t>fortinet renewal notice - support expires 06-feb-2021</t>
  </si>
  <si>
    <t>chemo office cabling</t>
  </si>
  <si>
    <t>pulse veterinary
 someone else  
dr  
main office
 next digital edmonton  
tue 19 jan, 2021  
materials
 - cat6 ft6 cable = 120m
- cat6 jacks x 8
- 2' cat6 patch cords white = 2
- 2' cat6 patch cords blue = 2
i will need to do a site survey to determine if we have ports available on the switches and in the patch panels</t>
  </si>
  <si>
    <t>a high-severity alert has been triggered
âš microsoft 365 compliance center
severity:â—high
time:1/7/2021 4:37:29 pm (utc)
activity:protection
details: 1 message hit on 620e5583-785c-418e-978c-08d8b32a3ef551766111-1, sent by  to  at time 1/7/2021 4:37:29 pm.
              view alert details</t>
  </si>
  <si>
    <t>your trial will expire on january 14, 2021Â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 ---
---
your trial is endingâ€”buy a subscription to keep using your product
you have 1 trial that will expire on january 14, 2021. to continue using your product, buy a paid subscription in the microsoft 365 admin center.
--- ---
--- 
buy now &gt;
--- ---
--- 
if you donâ€™t purchase a new subscription by january 14, 2021, your trial data will be available to all people in your organization for about 30 days. at that time, the subscription status changes to disabled, and only admins will have access to trial data for about another 90 days. after that, your trial is permanently deleted.
--- ---
--- 
more information
 how to extend a trial.
 how to cancel a trial.
--- ---
--- 
your trial that will expire:
producttotal licensesstart date
--- --- --- 
microsoft defender for office 365 (plan 2)25december 14, 2020
--- ---
---
account information
organization name: group2 architecture
domain: group2.ca
--- ---
---
this is a mandatory service communication. to set your contact preferences or to unsubscribe from other communications , visit the promotional communications manager. privacy statement. 
il sâ€™agit de communications obligatoires. pour configurer vos prÃ©fÃ©rences de contact pour dâ€™autres communications, accÃ©dez au gestionnaire de communications promotionnelles. dÃ©claration de confidentialitÃ©..
microsoft corporation,one microsoft way, redmond, wa 98052
--- ---
---</t>
  </si>
  <si>
    <t>suspect email - low priority</t>
  </si>
  <si>
    <t>hello,
please consider blocking this email sender.
this is not impacting my work.
if you have any questions, please contact me.
, p.eng., p.ag.
 environmental specialist
c</t>
  </si>
  <si>
    <t>fw: refurbished telephone handset</t>
  </si>
  <si>
    <t>hi mark,
iâ€™m pretty sure they are still available but i will cc our sales group for current pricing.</t>
  </si>
  <si>
    <t>fw: account receivable needed</t>
  </si>
  <si>
    <t>spam?
fiona n. vance
chief legal officer - operations, 
(
this communication, including any attachments, is intended for the use of the recipient to which it is addressed, and may contain confidential, personal and/or privileged information. please contact me immediately if you are not the intended recipient of this communication, and do not copy, distribute, or take action relying on it. any communication received in error, or subsequent reply, should be double-deleted.
-----original message-----
for further information email</t>
  </si>
  <si>
    <t>spam?</t>
  </si>
  <si>
    <t>approval officer
natural resources conservation board
#303, 4920 â€“ 51st street
red deer, ab t4n 6k
email:
website:www.nrcb.ca
this communication is intended for the use of the recipient to which it is addressed, and may contain confidential, personal and or privileged information. please contact us immediately if you are not the intended recipients of this communication, and do not copy, distribute, or take action relying on it. any communication received in error, or subsequent reply, should be deleted.</t>
  </si>
  <si>
    <t>support required</t>
  </si>
  <si>
    <t>i am currently on site here at kearl lake and iâ€™m trying to access the incident report form-equipment damage and it will not open for me.
please advise
safety advisor
e:       
w:       www.siterg.com
, , ,</t>
  </si>
  <si>
    <t>suspicious email</t>
  </si>
  <si>
    <t>hello:
i received this email that seems suspicious.</t>
  </si>
  <si>
    <t>quote request - calmont - windows 10 pro license key for windows 10 pro virtual machine</t>
  </si>
  <si>
    <t>calmont
mike farhat on behalf of laury schmidt
windows 10 pro license key for windows 10 pro virtual machine
 the primary contact in connectwise  
calgary-truck center
1334850
 next digital calgary  
thu 14 jan, 2021  
 yes  
 accessories (mice, keyboards, ram/ssd upgrades etc)  
 other  
-windows 10 pro license key 
-will transfer "door security system" from laury's machine to dedicate windows 10 pro virtual machine 
-laury is aware but courtney is not
windows 10 pro license key for windows 10 pro virtual machine</t>
  </si>
  <si>
    <t>attn: terry/dave - field law new hire - service ticket #inc0024706 - user onboarding - ese umoh - ja</t>
  </si>
  <si>
    <t>hello,
please see attached form:
1.Â Â Â Â Â Â Â Â Â full name of staff member, as well as the ad name:ese umoh // eumoh
2.Â Â Â Â Â Â Â Â Â location of staff member (edm/ cal/ ykn):cal
3.Â Â Â Â Â Â Â Â Â user group: (lawyer / manager / staff):staff
4.Â Â Â Â Â Â Â Â Â do they need to be part of any hunt group: (reception or central services etc):no
5.Â Â Â Â Â Â Â Â Â do they need mobility? what is the userâ€™s mobile number?no
6.Â Â Â Â Â Â Â Â Â do they need a did? (yes / no)yes (this will be yes 99/100 times)
7.Â Â Â Â Â Â Â Â Â if they are taking over an did, what is the did. n/a (usually a special request)
8.Â Â Â Â Â Â Â Â Â mac address of the phone that the user needs to be assigned to.n/a (not required)
9.Â Â Â Â Â Â Â Â Â is scribe feature required? (yes/no)no (yes only for management/lawyers)
10.Â Â Â Â Â date due by: jan 7th, 2021</t>
  </si>
  <si>
    <t>dunlop, shelagh - termination, december 31, 2020</t>
  </si>
  <si>
    <t>good afternoon,
please be advised that shelagh dunlopâ€™s official last day with carya was on december 31, 202 during business hours (monday-friday, 8:30am-4:3) and in case of an emergency dial 911.
this e-mail is intended solely for the person or entity to which it is addressed and may contain confidential and/or privileged information. any review, dissemination, copying, printing, forwarding or other use of this e-mail by persons or entities other than the addressee is prohibited. if you have received this e-mail in error, please contact the sender immediately and delete the material from your computer.</t>
  </si>
  <si>
    <t>good afternoon,
yesterday and today i have been having great frustration with the cloud.Â  it is very slow and is taking a long time to open documents, pdfâ€™s or other files.Â  the teams app on the cloud continues to crash also.Â  i have heard from a few others that they are experiencing this too so i donâ€™t think it is just my internet connection
if you could look into this for me that would be great!
warmly,
samara
, bhsc
pronouns: she/her
supervisor-youth engagement programs
d: 403-205-525 f: 
180, 839 5 ave sw  calgary, ab  t2p 3c8
carya (formerly calgary family services)
stay up to date with the latest carya news, programs, and events by signing up for ourmonthly newsletter.
in the spirit of our efforts to promote reconciliation, we acknowledge the traditional territories and oral practices of the blackfoot, the tsuut'ina, the stoney nakoda first nations, the mÃ©tis nation region 3, and all people who make their homes in the treaty 7 region of southern alberta. we also respectfully acknowledge that the province of alberta is comprised of treaty 6, treaty 7, and treaty  during business hours (monday-friday, 8:30am-4:3) and in case of an emergency dial 911.
this e-mail is intended solely for the person or entity to which it is addressed and may contain confidential and/or privileged information. any review, dissemination, copying, printing, forwarding or other use of this e-mail by persons or entities other than the addressee is prohibited. if you have received this e-mail in error, please contact the sender immediately and delete the material from your computer.</t>
  </si>
  <si>
    <t>bankert, tyson - termination, december 31, 2020</t>
  </si>
  <si>
    <t>good afternoon,
please be advised that tyson bankertâ€™s last official day withcarya was on december 31, 202 e:  f: 
180, 839 5 ave sw  calgary, ab  t2p 3c8
carya (formerly calgary family services)
we are working remotely to help calgarians through the covid-19 pandemic. please reach out to us if you need support.carya is here for you.
in the spirit of our efforts to promote reconciliation, we acknowledge the traditional territories and oral practices of the blackfoot, the tsuut'ina, the stoney nakoda first nations, the mÃ©tis nation region 3, and all people who make their homes in the treaty 7 region of southern alberta. we also respectfully acknowledge that the province of alberta is comprised of treaty 6, treaty 7, and treaty  during business hours (monday-friday, 8:30am-4:3) and in case of an emergency dial 911.
this e-mail is intended solely for the person or entity to which it is addressed and may contain confidential and/or privileged information. any review, dissemination, copying, printing, forwarding or other use of this e-mail by persons or entities other than the addressee is prohibited. if you have received this e-mail in error, please contact the sender immediately and delete the material from your computer.</t>
  </si>
  <si>
    <t>email access on my phone
good morning: for some reason, i do not have access to my work email on my phone anymore, can i request some help getting this access back on my phone.  thanks
 no  
 one  
 work impacting</t>
  </si>
  <si>
    <t>fw: price and eta on cables</t>
  </si>
  <si>
    <t>curt giacomoni
project estimator
ph.Â +
14505 114th avenue nw
edmonton, ab
t5m2y8
mnp.ca
hey.
do you happen to have on short notice 4 x 50 cat ext.686
important notice of address change
please note that our office has moved and we are now located at 2693 broadmoor boulevard, suite 132, sherwood park, alberta, ca, t8h 0g1</t>
  </si>
  <si>
    <t>one or more of your domains will auto-renew soon.</t>
  </si>
  <si>
    <t>wais, open this email to see which domains need to be renewed and when. Â â€ŒÂ â€ŒÂ â€ŒÂ â€ŒÂ â€ŒÂ â€Œ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 â€ŒÂ â€ŒÂ â€ŒÂ â€ŒÂ â€ŒÂ â€ŒÂ â€ŒÂ â€ŒÂ â€ŒÂ â€ŒÂ â€ŒÂ â€ŒÂ â€ŒÂ â€ŒÂ â€ŒÂ â€ŒÂ â€ŒÂ â€ŒÂ â€ŒÂ â€ŒÂ â€ŒÂ â€ŒÂ â€ŒÂ â€ŒÂ â€ŒÂ â€ŒÂ â€ŒÂ â€ŒÂ â€ŒÂ â€ŒÂ â€ŒÂ â€ŒÂ â€ŒÂ â€ŒÂ â€ŒÂ â€ŒÂ â€ŒÂ â€Œ
need help?contact us.
wais essar
one or more of your domains will auto-renew soon.
the good news is you don't need to take any action. we just wanted to let you know what's coming up for automatic renewal since you're the registrant contact for this account. take a look:
machine-o-matic.com 
renews:2/6/2021
if you do not renew your domain(s) during the 12-day renewal grace period, you will incur a fee of $80.00 in addition to the domain renewal fee. during this time, the domain name(s) will be moved to parked nameservers and any website or email services associated with the domain name(s) will stop working.be aware that most domains, including .com, .biz and .net, can only be recovered within a maximum of 30 days after your cancel date. for further information about domain renewals or canceled domains, review the domain registration agreement.
please do not reply to this email. emails sent to this address will not be answered. 
copyright Â© 2021 mnp technology solutions. all rights reserved.</t>
  </si>
  <si>
    <t>good morning!
we have 2 new employees starting.
1. quentin watkins
220Â summitÂ plazaÂ 190Â boudreauÂ roadÂ st.Â albertÂ abÂ t8nÂ 6b9Â //Â landrex.com
privateÂ andÂ confidentialÂ â€‘Â theÂ informationÂ transmittedÂ isÂ intendedÂ onlyÂ forÂ theÂ personÂ orÂ entityÂ toÂ whichÂ itÂ isÂ addressedÂ andÂ mayÂ containÂ proprietary,Â businessâ€‘confidentialÂ and/orÂ 
privilegedÂ material.Â ifÂ youÂ areÂ notÂ theÂ intendedÂ recipientÂ ofÂ thisÂ messageÂ youÂ areÂ herebyÂ notifiedÂ thatÂ anyÂ use,Â review,Â retransmission,Â dissemination,Â distribution,Â reproductionÂ orÂ anyÂ 
actionÂ takenÂ inÂ relianceÂ uponÂ thisÂ messageÂ isÂ prohibited.Â ifÂ youÂ receivedÂ thisÂ inÂ error,Â pleaseÂ contactÂ theÂ senderÂ andÂ deleteÂ theÂ messageÂ andÂ anyÂ relatedÂ attachmentsÂ orÂ copies.</t>
  </si>
  <si>
    <t>pulse veterinary - 4 additional workstations</t>
  </si>
  <si>
    <t>hello,
i would like to order 4 additional workstations similar to those already installed throughout our hospital.Â  we do not require power bars for these workstations, we have plenty of spares that can be used.
i would also like to schedule the install of these workstations for the week of feb. 
a: 450 ordze road, unit #320.Â  sherwood park, ab t8b 0c5
www.pulseveterinary.ca</t>
  </si>
  <si>
    <t>hello. not sure how the attached made its way through the spam filter. please block.</t>
  </si>
  <si>
    <t>hello,
i bought new computer for my home office and was hoping you can assist me with remote access.
one more question, i donâ€™t have antivirus software installed on it and was wondering if i can be covered by the firmâ€™s firewall.
please reach me on my cell at (.</t>
  </si>
  <si>
    <t>a high-severity alert has been triggered
âš microsoft 365 compliance center
severity:â—high
time:1/6/2021 5:57:55 pm (utc)
activity:protection
details: 1 message hit on 3250000f-e64e-4a2e-a721-08d8b26c5-1, sent by  to  at time 1/6/2021 5:57:55 pm.
              view alert details</t>
  </si>
  <si>
    <t>friday site visit jan 8 hewes ohi - dolphin imaging and aquarium install</t>
  </si>
  <si>
    <t>hello mnp it,
on friday january 
edmonton main: 780.463.514
www.alignortho.com</t>
  </si>
  <si>
    <t>hi,
can you Â please add this phone number to bruceâ€™s outlook profile. (</t>
  </si>
  <si>
    <t>unable to access onenote
unable to access onenote through edge/firefox/chrome, or sync to the one note app. have tried logging out of onenote app, clearing cache on all browsers. tried on the rds as well.
 no  
 one  
 work impacting</t>
  </si>
  <si>
    <t>fw: onboarding pending items</t>
  </si>
  <si>
    <t>shawn kubiski
partner
ph. +
14505 114th avenue nw
edmonton, ab
t5m2y8
mnp.ca
see below.Â  let me know when you have time to discuss.
john mclaughlin
partner
direct. +
ph. + ext 30
14505 114th avenue nw
edmonton, ab
t5m2y8
mnp.ca
hey richard, i also wanted to bring up the conversation of hardware procurement for group homes.
we are rolling out a new property currently.
we need the following:
1. wifi router/ wap.
the goal moving forward is to have your team facilitate the waps/ setup of wifi of these homes and remotely manage the units.
what are the next steps to get that moving / is there a unit we should be purchasing to make the transition easy for this new home?
as well, we need to decide on standard hardware for our group homes
weâ€™re thinking as we move more to apple doing a mac mini &amp; external display would be a good fit for the programs. then probably a 2
office:(
carepros.ca
date: wednesday, january 6, 2021 at 9:3
here are the 4 homes with desktops:
2043 48 street:
8112 24 avenue:
6333 1
office:(
carepros.ca
date: wednesday, january 6, 2021 at 8:31 am
hello alex,
i was able to get ...</t>
  </si>
  <si>
    <t>a high-severity alert has been triggered
âš microsoft 365 compliance center
severity:â—high
time:1/6/2021 5:45:44 pm (utc)
activity:protection
details: 1 message hit on a83cbfa2-d03e-497e-d891-08d8b242-1, sent by  to  at time 1/6/2021 5:45:44 pm.
              view alert details</t>
  </si>
  <si>
    <t>fw: quote ftq-638432 - tallcree first nation - approved</t>
  </si>
  <si>
    <t>good morning curt,
this po has been processed on so#434</t>
  </si>
  <si>
    <t>stevens, stephanie - termination, december 31, 2020</t>
  </si>
  <si>
    <t>good morning,
please be advised that stephanie stevens has completed her practicum on december 31, 202 during business hours (monday-friday, 8:30am-4:3) and in case of an emergency dial 911.
this e-mail is intended solely for the person or entity to which it is addressed and may contain confidential and/or privileged information. any review, dissemination, copying, printing, forwarding or other use of this e-mail by persons or entities other than the addressee is prohibited. if you have received this e-mail in error, please contact the sender immediately and delete the material from your computer.</t>
  </si>
  <si>
    <t>printing issues</t>
  </si>
  <si>
    <t>hi,
i was wondering now that i have some time to make my computer free if we could re-open this ticket and get my printing working from my computer.</t>
  </si>
  <si>
    <t>payne, zoe - student, january 13, 2021</t>
  </si>
  <si>
    <t>good afternoon,
please be advised that we have a student, zoe payne who will be starting her practicum with us on wednesday, january 13, 2021.
please review the attached form to set-up her access rights. once her credentials for penelope live and sandbox, and carya email/cloud are ready, please let me know (please usec@rya202  e:  f: 
180, 839 5 ave sw  calgary, ab  t2p 3c8
carya (formerly calgary family services)
we are working remotely to help calgarians through the covid-19 pandemic. please reach out to us if you need support.carya is here for you.
in the spirit of our efforts to promote reconciliation, we acknowledge the traditional territories and oral practices of the blackfoot, the tsuut'ina, the stoney nakoda first nations, the mÃ©tis nation region 3, and all people who make their homes in the treaty 7 region of southern alberta. we also respectfully acknowledge that the province of alberta is comprised of treaty 6, treaty 7, and treaty  during business hours (monday-friday, 8:30am-4:3) and in case of an emergency dial 911.
this e-mail is intended solely for the person or entity to which it is addressed and may contain confidential and/or privileged information. any review, dissemination, copying, printing, forwarding or other use of this e-mail by persons or entities other than the addressee is prohibited. if you have received this e-mail in error, please contact the sender immediately and delete the material from your computer.</t>
  </si>
  <si>
    <t>re: change to datamaster folder on the sdrive</t>
  </si>
  <si>
    <t>i approve this request thanks
good morning,
can you please change who can access the datamaster folder on the sdrive?
we would like to remove everyone who currently has access, excluding cloud users: ciara williams, melissa welcher, lily tomanek and .
i have included , provincial executive director to provide her approval on this request.</t>
  </si>
  <si>
    <t>a high-severity alert has been triggered
âš microsoft 365 compliance center
severity:â—high
time:1/6/2021 2:19:13 pm (utc)
activity:protection
details: 1 message hit on 15d6d946-4943-47fc-a4bb-08d8b24e5-1, sent by  to  at time 1/6/2021 2:19:13 pm.
              view alert details</t>
  </si>
  <si>
    <t>good morning,
please disable priscilla dahdonaâ€™s windows log in and password information.
please disable emails and no forwarding is necessary
she has left calmont.</t>
  </si>
  <si>
    <t>good morning,
please cancel the e mail  eliminate all access. this e mail can be backed up into our p:drive and then deleted.
operations coordinator
**effective december 13, 202
cellÂ Â Â Â Â Â  
14505-114 avenue nw
edmonton, abÂ Â  t5m 2y8</t>
  </si>
  <si>
    <t>problems with printer at sage</t>
  </si>
  <si>
    <t>office administrator
durocher simpson koehli &amp; erler llp
old strathcona law offices
7904 gateway boulevard
edmonton, ab t6e 6c (ph)
 (fax)</t>
  </si>
  <si>
    <t>a high-severity alert has been triggered
âš microsoft 365 compliance center
severity:â—high
time:1/6/2021 6:46:35 am (utc)
activity:protection
details: 1 message hit on 365661a6-0499-4cf4-b9cb-08d8b20ecd-1, sent by  to  at time 1/6/2021 6:46:35 am.
              view alert details</t>
  </si>
  <si>
    <t>a high-severity alert has been triggered
âš microsoft 365 compliance center
severity:â—high
time:1/6/2021 7:33:10 am (utc)
activity:protection
details: 1 message hit on 43dfcfd5-e6a0-42e3-06fb-08d8b29545-1, sent by  to  at time 1/6/2021 7:33:10 am.
              view alert details</t>
  </si>
  <si>
    <t>fw: action required: verify your contact info.</t>
  </si>
  <si>
    <t>i have no idea what our username/customer# and password for this is. Â can someone please help. Â canâ€™t imagine that anything has changed for updating our detailsâ€¦
belinda
linkedin  facebook
if your domain contact information is up to date, you're good to go. but if it isn't, then you must correct it. open this email to get started. Â â€ŒÂ â€ŒÂ â€ŒÂ â€ŒÂ â€ŒÂ â€Œ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 â€ŒÂ â€ŒÂ â€ŒÂ â€ŒÂ â€ŒÂ â€ŒÂ â€ŒÂ â€ŒÂ â€ŒÂ â€ŒÂ â€ŒÂ â€ŒÂ â€ŒÂ â€ŒÂ â€ŒÂ â€ŒÂ â€ŒÂ â€ŒÂ â€ŒÂ â€ŒÂ â€ŒÂ â€ŒÂ â€ŒÂ â€ŒÂ â€ŒÂ â€ŒÂ â€ŒÂ â€ŒÂ â€ŒÂ â€ŒÂ â€ŒÂ â€ŒÂ â€ŒÂ â€ŒÂ â€ŒÂ â€ŒÂ â€ŒÂ â€Œ
need help?  contact us.
double-check your domain contact info.
icann, the internet corporation for assigned names and numbers, requires us to ask you to review and  update your details for the following domain(s):
machine-o-matic.com
verify your info now
you must sign in to view and update the domain details. here's your domain key in case you're prompted to enter it after signing in: f0168165-1db8-4c9e-839c-d02a1d106791.
here's why it matters:
inaccurate contact details can result in website downtime or domain cancellation. if your domain contact info is up to date, you're good to go. if not, then you need to correct it.
you can review the icann policy  here. questions? call 24/7 support at +.
note: if you are the domain administrator of more than one mnp technology solutions domain account, you may receive this notice multiple times.
please do not reply to this email. emails sent to this address will not be answered.
copyright Â© 061</t>
  </si>
  <si>
    <t>attn: terry/dave - field law new hire - service ticket #inc0024930 - user onboarding - kimberly wrig</t>
  </si>
  <si>
    <t>hello,
please see attached form:
1.Â Â Â Â Â Â Â Â Â full name of staff member, as well as the ad name:kimberly wright // kwright
2.Â Â Â Â Â Â Â Â Â location of staff member (edm/ cal/ ykn):cal
3.Â Â Â Â Â Â Â Â Â user group: (lawyer / manager / staff):staff
4.Â Â Â Â Â Â Â Â Â do they need to be part of any hunt group: (reception or central services etc):no
5.Â Â Â Â Â Â Â Â Â do they need mobility? what is the userâ€™s mobile number?no
6.Â Â Â Â Â Â Â Â Â do they need a did? (yes / no)yes (this will be yes 99/100 times)
7.Â Â Â Â Â Â Â Â Â if they are taking over an did, what is the did. n/a (usually a special request)
8.Â Â Â Â Â Â Â Â Â mac address of the phone that the user needs to be assigned to.n/a (not required)
9.Â Â Â Â Â Â Â Â Â is scribe feature required? (yes/no)no (yes only for management/lawyers)
10.Â Â Â Â Â date due by: jan 7th, 2021</t>
  </si>
  <si>
    <t>a high-severity alert has been triggered
âš microsoft 365 compliance center
severity:â—high
time:1/6/2021 2:57:55 pm (utc)
activity:protection
details: 1 message hit on 68f5f81f-688d-4301-6284-08d8b27129-1, sent by  to  at time 1/6/2021 2:57:55 pm.
              view alert details</t>
  </si>
  <si>
    <t>mnp ticket submissions app - hewes manager workstation</t>
  </si>
  <si>
    <t>hello mnp it,
the mnp ticket submission icon is no longer in my tray on my manager workstation.
could you please review with me.</t>
  </si>
  <si>
    <t>fw: steve homynyk now full time with mhk, bcom in hand!</t>
  </si>
  <si>
    <t>good afternoon mnp.
can you please add bcom after steve (stephen) homynykâ€™s email signature and also add his cell phone number (780.999.190Â 
cÂ Â Â Â  
12316-107 avenue, edmonton, ab  t5m 1zÂ 
cÂ Â Â Â  
12316-107 avenue, edmonton, ab t5m 1z1
www.mhkinsurance.com
we're here to help with your insurance needs. emails and phone calls are still encouraged. appointments are required for in-office broker meetings. please wear a mask when visiting.
mhk welcomes e-transfer payments to 
if you receive this email in error, please notify us by reply email and destroy this message. mhk complies with canada's anti-spam and alberta's pipa legislations. if you no longer wish to receive emails from mhk, please reply with 'unsubscribe' in the subject line.</t>
  </si>
  <si>
    <t>finance drive (x) missing</t>
  </si>
  <si>
    <t>on my laptop, 7221, i found that i cannot access the x drive (finance) this morning. how do i fix this?
jacqui sandhuÂ Â financial analyst
225 parsons road sw Â edmonton abÂ Â t6x 0w ext. 492 Â tfÂ )
www.youracsa.ca</t>
  </si>
  <si>
    <t>re: files</t>
  </si>
  <si>
    <t>hi amin,
please provide access as directed below to both monique and rachel anand to the finance and hr drives. i would usually  make this request directly to the mnp support desk, but amin, seeing as you are cc'd, please confirm you are able to do this.
leanna
-----original message-----
dear leanna,
as per my earlier request that rachel have access to any and all files and drives that i am entitled to as ceo- pls ensure that permissions are granted.
amin from mnp is copied in order to facilitate this request if that is who needs to make the technical change happen.</t>
  </si>
  <si>
    <t>permission to modify activities of others
as part of topleft testing and clean-up, i'll be needing to clean up some outdated activities for the sas for it to show up properly on our kanban board.
unfortunately there are many activities to clean up and i'm unable to make changes unless i take ownership of each activity, individually.
if possible, i'd like to request permissions to modify/delete cw activities for sas in order to clean and prepare our topleft board.</t>
  </si>
  <si>
    <t>bi-weekly report of on-site</t>
  </si>
  <si>
    <t>i need every bi-weekly report/status of hour spend onsite/remote</t>
  </si>
  <si>
    <t>fw: update quote please</t>
  </si>
  <si>
    <t>curt giacomoni
project estimator
ph.Â +
14505 114th avenue nw
edmonton, ab
t5m2y8
mnp.ca
hi curt
can you please give me an updated quote for aaaq18254-01 â€“ with current required specs.
1 machine please</t>
  </si>
  <si>
    <t>amin esmaeili - cada - decomission accounting-pc (win7)</t>
  </si>
  <si>
    <t>cada - decomission accounting-pc (win7)
the client team has virtualized the windows 7 accounting-pc and there have been no issues with it. the vm is cada-acct.
please decomission and store the accounting-pc at cada and ensure it's removed from nv, cw &amp; itglue.
 no  
 one  
 minor inconvenience</t>
  </si>
  <si>
    <t>mint drugs head office
pat
wireless phone for head office
 someone else  
peter poon
head office
0
 next digital edmonton  
wed 6 jan, 2021  
 yes  
 voice equipment  
1 panasonic wireless phone modle kxtca185</t>
  </si>
  <si>
    <t>good samaritan - revisit kelowna configuration/ settings</t>
  </si>
  <si>
    <t>good afternoon dave,
weâ€™ll need to book some more of your time to go through the next phase of the kelowna configuration.
how is you time looking for the next little while?
kindest regards, 
desktop support analyst
----------------------------------
good samaritan head office
8861 75 street nw, edmonton, ab  t6c 4g     
email:</t>
  </si>
  <si>
    <t>terminate - michelle slevinsky</t>
  </si>
  <si>
    <t>extend mac warranty</t>
  </si>
  <si>
    <t>the primary contact in connectwise  
calgary
 next digital calgary  
fri 22 jan, 2021  
cada has 5 macbook air's and 1 lenovo with expired warranty.
they would like to know the cost of extending warranty rather than procuring new units.
serials are as follows:
mj060vpm (lenovo)
fvhxqhauj1wk
fvhxqhdaj1wk
fvhxqq3mj1wk
fvhxqq1bj1wk
fvfzv0pblywp</t>
  </si>
  <si>
    <t>issue with one drive syncing</t>
  </si>
  <si>
    <t>hello,
my onedrive has had issues uploading/sync files to our companyâ€™s sharepoint drive. can someone come take a look at what the problem may be? yesterday was the first time i noticed the problem.
kevin
kevin gordon  director, leasing, asset management &amp; acquisitions
  1005, 10104 103 avenue, edmonton, ab t5j 0h  cell: 
email:</t>
  </si>
  <si>
    <t>fw: microsoft letter request</t>
  </si>
  <si>
    <t>hello team,
can you please route this ticket over to me?</t>
  </si>
  <si>
    <t>demo - wireless hardware</t>
  </si>
  <si>
    <t>please quote on the below
3 x ubiquiti access points
3 x power injectors
3 hours of labor
shawn kubiski
partner
ph. +
14505 114th avenue nw
edmonton, ab
t5m2y8
mnp.ca</t>
  </si>
  <si>
    <t>notice of new hire - marc mikawoz</t>
  </si>
  <si>
    <t>hello,
this email is to notify you of an upcoming employee hire:
employee name:marc mikawoz Â 
department: transitional housing program
job title: program manager Â 
supervisor: marisa redmond
effective date: january 11, 2021
distribution list &amp; action required
it
rds: request for rds/network access
e-mail: request for outlook account.
e-mail signature set-up:
-Â Â Â Â Â Â Â name: marc mikawoz
-Â Â Â Â Â Â Â position: program manager
-Â Â Â Â Â Â Â program: transitional housing program
mirror:please mirror disabled user sarah perrett.
folder access:
-Â Â Â Â Â Â Â please mirror disabled user sarah perrett.
e-mail distribution list:agency leaders, all staff
apple id creation: request for apple id.
shore-tel phone access:request for access.
please send account details to: marisa redmond ()
payroll/finance
requires a debit/credit card with a limit of $5000.00
payroll details will be provided once processed.
reception
please update existing employee list.
communications
for information only.
program manager
for information only.
facilities manager
request for alex taylor school building keys (3rd floor inner ways â€“ transitional housing offices) and site keys for inner ways sites.
if you have any questions or concerns please let me know.</t>
  </si>
  <si>
    <t>can you please provide kaylee hynes with access to l: 1. we talk folder.
, cpa, ca
controller
2808 58th ave se
calgary, ab t2c 0b
d:Â  403.984.084
www.total-r.com</t>
  </si>
  <si>
    <t>dealership phone numbers:</t>
  </si>
  <si>
    <t>to whom it may concern:
i'm looking to get a list of all our phone numbers (more specifically in the service department) that are active.Â  this will include direct lines and 1-800/1-88
e:Â 
to unsubscribe from receiving electronic communications from myself please clickÂ unsubscribe
 kindly consider the environment before printing this email.
 this message and any attachments are solely for the intended recipient and may contain confidential or privileged information. if you are not the intended recipient, any disclosure, copying, use, or distribution of the information included in this message and any attachments is prohibited. if you have received this communication in error, please notify us by reply e-mail and immediately and permanently delete this message and any attachments. thank you.
 ce courrier et toute piÃ¨ce jointe qu'il contient sont rÃ©servÃ©s au seul destinataire indiquÃ© et peuvent renfermer des renseignements confidentiels et privilÃ©giÃ©s. si vous n'Ãªtes pas le destinataire prÃ©vu, toute divulgation, duplication, utilisation ou distribution du courrier ou de toute piÃ¨ce jointe est interdite. si vous avez reÃ§u cette communication par erreur, veuillez nous en aviser par courrier et dÃ©truire immÃ©diatement le courrier et les piÃ¨ces jointes. merci.</t>
  </si>
  <si>
    <t>fw: agency leaders - abdul add</t>
  </si>
  <si>
    <t>hi there,
please add abdul bari into the agency leaders email distribution list.</t>
  </si>
  <si>
    <t>wk trucking - replacement  desktop system  quote</t>
  </si>
  <si>
    <t>wk trucking
thomas, replacement system quote
replacement system quote
 the primary contact in connectwise  
mundare
1337530
 next digital edmonton  
wed 6 jan, 2021  
 yes  
 desktop computer  
 recommended tier - i5, 8gb ram, 256 gb ssd, 3 year warranty  
1
current system is 8 years old with bad usb ports
 yes  
 dvi  
 dvi  
1
current system is 8 years old with bad/failing usb ports
replacemnt desktop system</t>
  </si>
  <si>
    <t>follow up #1334335</t>
  </si>
  <si>
    <t>good morning,
please provide an update on elizabethâ€™s setup for her computer and laptop. we would like to have the computer and laptop setup completed for thursday so we can confirm she has everything she needs for her pickup on friday. the laptop assigned to her l-10172. is there also a computer available in the office we can assign to her?
please let me know if she has a network log in and phone extension.
please let me know.</t>
  </si>
  <si>
    <t>automate updating cornerstone</t>
  </si>
  <si>
    <t>good morning kim,
attached below is the quote to assist your team in deploying the cornerstone updates to your workstations.Â  this quote also includes the option for the admin license to enable your staff to deploy the software updates internally. we included it as an optionbut also to note the cost should you decide as a business, to goÂ  this route. 
as always, once we receive your confirmation we will move forward with the scheduling and coordination of resources to assist your team.</t>
  </si>
  <si>
    <t>demo - hardware quote</t>
  </si>
  <si>
    <t>please quote on the below
3 x lenovo tiny desktops
6 x 24 inch displays
6 x 6â€™ display port cables
3 hours of labor
shawn kubiski
partner
ph. +
14505 114th avenue nw
edmonton, ab
t5m2y8
mnp.ca</t>
  </si>
  <si>
    <t>spam email</t>
  </si>
  <si>
    <t>encrypted message notification
 () has sent you an encrypted message.
view message Â»
at                                app.protectedtrust.com
thisÂ messageÂ isÂ securedÂ by
you are receiving this email because someone has sent you a secure message using the protected trust secure messaging network.    
if you are having trouble clicking the view message button above, copy the following url into your web browser: https://app.protectedtrust.com/pickup/8kkigqe3f1sc
for more information about protected trust, please visit https://envoy.protectedtrust.com</t>
  </si>
  <si>
    <t>calgary arts development - missing machines
in the hardware asset list that was generated (warrantymaster/scalepad) for the cada it assessment has 3 machines/users missing.
the asset list is generated from automate, cw and itglue. it may be that their machines do not have nv agents.
missing users are: stephanie, sable and greg
please ensure these users and their systems are tracked in nv, cw and itglue.
 no  
 one  
 minor inconvenience</t>
  </si>
  <si>
    <t>fortinet renewal notice - support expires 04-feb-2021</t>
  </si>
  <si>
    <t>amin esmaeili - cada - dell server firmware upgrade</t>
  </si>
  <si>
    <t>cada - dell server firmware upgrade
 - as identified by opal on the 2021 it assessment, the dell server requires a firmware upgrade.
 no  
 one  
 minor inconvenience</t>
  </si>
  <si>
    <t>clinic expansion quote</t>
  </si>
  <si>
    <t>good afternoon kim,
attached is the quote for your planned clinic expansion that you requested. please take a moment to review and confirm the items included in this estimate. 
this quote includes all new infrastructure, software, auxiliary power backups and  telephone equipment for your new location. in addition, it covers cabling, installing the necessary server racks and mounting of server equipment and wiring. configuringand deploying all workstations as well as your wireless access points is also included. testing and post implementation support of the infrastructure is also part of this quote.
there is a lot of information included in this attachment so if you would like to meet to discuss in more detail, please let me know. please keep in mind that this quote is an estimate only and that the final invoice amount may vary.</t>
  </si>
  <si>
    <t>joanne chaloner - angela blakely-elliot teams access change</t>
  </si>
  <si>
    <t>angela blakely-elliot teams access change
angela blakely-elliot requires the ability to create her own teams in ms teams.  please revise her permissions to allow this.  please advise angela via email when this has been done.</t>
  </si>
  <si>
    <t>sage 50 update</t>
  </si>
  <si>
    <t>please install the sage update for both edmonton public and edmonton catholic.</t>
  </si>
  <si>
    <t>quickbooks needs updating
quickbooks needs updating
 no  
 one  
 minor inconvenience</t>
  </si>
  <si>
    <t>a high-severity alert has been triggered
âš microsoft 365 compliance center
severity:â—high
time:1/5/2021 12:09:20 am (utc)
activity:protection
details: 1 message hit on feb186ce-95c4-404a-7274-08d8b161-1, sent by  to  at time 1/5/2021 12:09:20 am.
              view alert details</t>
  </si>
  <si>
    <t>protected document</t>
  </si>
  <si>
    <t>hi there,
i have a document that i purchased from the csa (canadian standards association) â€“ attached - that i purchased a few months back.
i bought it as a single user license and when one of my colleagues could not get into the file, she went to next digital for help, but now i cannot get into the document either.
can you advise how this can be resolved?</t>
  </si>
  <si>
    <t>fw: andersons liquor order</t>
  </si>
  <si>
    <t>hello again curt and cori
happy new year !!
have another drop ship order.
#1) Â 1 - eaton 3s 550 va to be dropped ship to the location below.
great canadian liquor company beaumont
5001 â€“ 30 avenue
beaumont, ab
t4x 1t</t>
  </si>
  <si>
    <t>fw: laptops</t>
  </si>
  <si>
    <t>please assign to me.
jeff meadows
field services technician
ph.Â 
4922 - 53 st.
red deer,       ab
t4n2e9
mnp.ca 
hi jeff,
i hope you had a restful christmas holiday.
we have a couple of laptops here that we are needing to have some things done with. the 1st one- pastor donâ€™s old laptop, needs to be turned in to the new sanctuary/treasurers laptop with shepherds staff and anti-virus software, as well as office . and the old sanctuary laptop needs to be disposed of.
please let me know when you can come and pick those up, so i can let the treasurer know that the laptop is unavailable at that time.</t>
  </si>
  <si>
    <t>rds-yk
as i log onto rds-yk, my u:\ drive is not being set up.  please review how i log onto the server and correct the error.
 no  
 one  
 work impacting</t>
  </si>
  <si>
    <t>fw: safety computer</t>
  </si>
  <si>
    <t>please assign to me.
jeff meadows
field services technician
ph.Â 
4922 - 53 st.
red deer,       ab
t4n2e</t>
  </si>
  <si>
    <t>[jira] (og-1066) on-boarding student - kaitlyn lemay</t>
  </si>
  <si>
    <t>koula ferreira added 1 new comment. ontario genomics/og-1066 on-boarding student - kaitlyn lemay 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â€ŒÂ â€Œ
koula ferreira added 1 new comment.
ontario genomics
/Â Â    Â  og-1066
 on-boarding student - kaitlyn lemay 
  koula ferreira  1:53Â pmÂ est
hello again,
kaitlyn needs to have zoom installed on her laptop, a firewall pops up when she tries to access it. could you please follow up with her to arrange a time to install zoom â€“ kindly confirm.</t>
  </si>
  <si>
    <t>stats group - kurien thomas laptop screen</t>
  </si>
  <si>
    <t>extended summary
kurien thomas needs the screen for his laptop replaced, it has a crack in it making trhe screen pink and distorted
description
 the primary contact in connectwise  
edmonton
1341106
 next digital edmonton  
fri 8 jan, 2021  
screen replacement for lenovo t490s (serial number pc1eyj8p)</t>
  </si>
  <si>
    <t>a high-severity alert has been triggered
âš microsoft 365 compliance center
severity:â—high
time:1/4/2021 6:01:09 pm (utc)
activity:protection
details: 1 message hit on 602d88a8-54a9-479d-9c98-08d8b-1, sent by  to  at time 1/4/2021 6:01:09 pm.
              view alert details</t>
  </si>
  <si>
    <t>good afternoon,
i was given my username and password to access the server but i have not been able to login. can you please provide me with assistance?</t>
  </si>
  <si>
    <t>a high-severity alert has been triggered
âš microsoft 365 compliance center
severity:â—high
time:1/4/2021 6:00:06 pm (utc)
activity:protection
details: 1 message hit on 5bc17092-82e4-4671-158e-08d8b0da8-1, sent by  to  at time 1/4/2021 6:00:06 pm.
              view alert details</t>
  </si>
  <si>
    <t>server</t>
  </si>
  <si>
    <t>hi,
can you tell me what server the bobcat edmonton sales drive sits on?
, cpa, cma
chief financial officer
14610 yellowhead trail nw edmonton, ab, t5l 3cÂ Â Â Â  toll free: Â Â Â Â  direct: 780-409-335
email:
website:www.calmont.ca
this email, and any files transmitted with it, are confidential and are intended solely for the use of the individual or entity to which they are addressed. any unauthorized use or disclosure is prohibited. please notify the sender if you have received this email in error. thank you for your co-operation.</t>
  </si>
  <si>
    <t>quotevalet: nd - orderform - field kit resupply n/a</t>
  </si>
  <si>
    <t>14505 114th avenue nw, edmonton, ab, t5m 2y8
dear curt giacomoni,
this is an automated notification from the quotevalet system.
your customer n/a placed orderform order # qvao
order details:
nd - orderform - field kit resupply - n/a 
from 
to view or review the orderform order on quotevalet at any time click here.
this email was created using quotevalet - the online quote delivery and acceptance vehicle forquotewerks.</t>
  </si>
  <si>
    <t>hi!
iâ€™m just back from holidays, and on december 1 e: 
follow us on social media@cdlicalgary
in the spirit of our efforts to promote reconciliation, we acknowledge the traditional territories and oral practices of the blackfoot, the tsuut'ina, the stoney nakoda first nations, the mÃ©tis nation region 3, and all people who make their homes in the treaty  during business hours (monday-friday, 8:30am-4:3) and in case of an emergency dial 911.
this e-mail is intended solely for the person or entity to which it is addressed and may contain confidential and/or privileged information. any review, dissemination, copying, printing, forwarding or other use of this e-mail by persons or entities other than the addressee is prohibited. if you have received this e-mail in error, please contact the sender immediately and delete the material from your computer.</t>
  </si>
  <si>
    <t>new employee
we have a new service writer, julie rach can we get her computer set up?
 no  
 one  
 work impacting</t>
  </si>
  <si>
    <t>outlook distribution group</t>
  </si>
  <si>
    <t>morning,
can we please have sean hooker removed from the lease return distribution group in calmontâ€™s addressbook.</t>
  </si>
  <si>
    <t>attn: terry/dave - field law new hire - service ticket #24801 - user onboarding - hindisaar abdullah</t>
  </si>
  <si>
    <t>hello,
a new extension request was recently submitted with this userâ€™s first and last names accidently switched. the corrected info is below.
1.Â Â Â Â Â Â Â Â Â full name of staff member, as well as the ad name:hindisaar abdullahi Â // habdullahi
2.Â Â Â Â Â Â Â Â Â location of staff member (edm/ cal/ ykn):edm
3.Â Â Â Â Â Â Â Â Â user group: (lawyer / manager / staff):staff
4.Â Â Â Â Â Â Â Â Â do they need to be part of any hunt group: (reception or central services etc):na
5.Â Â Â Â Â Â Â Â Â do they need mobility? what is the userâ€™s mobile number?no
6.Â Â Â Â Â Â Â Â Â do they need a did? (yes / no)yes
 (ext 7620)
8.Â Â Â Â Â Â Â Â Â mac address of the phone that the user needs to be assigned to.n/a (not required)
9.Â Â Â Â Â Â Â Â Â is scribe feature required? (yes/no)no (yes only for management/lawyers)
10.Â Â Â Â Â date due by: 2021-01-04</t>
  </si>
  <si>
    <t>adobe vip # e1a30c9d82abe5afdf2a - alberta association recreation facility personnel - order process</t>
  </si>
  <si>
    <t>hi team,
can you please process the attached po: l01062021aarfp.
also attached is valid ingram quote for this purchase.
vip # e1a30c9d82abe5afdf2a
unit b, 312 - 3rd street w
cochrane, t4c 1a4
alberta, canada</t>
  </si>
  <si>
    <t>user cannot log in - cannot work</t>
  </si>
  <si>
    <t>dear gents,
please review and contact the user.</t>
  </si>
  <si>
    <t>please uninstall skype in my desktop</t>
  </si>
  <si>
    <t>please uninstall skype in my desktop,</t>
  </si>
  <si>
    <t>printing</t>
  </si>
  <si>
    <t>good afternoon,
my laptop cannot connect to my printer at home.Â  it did before the christmas break.
if someone could call me iâ€™d appreciate it.Â  please call my cell .</t>
  </si>
  <si>
    <t>fw: ticket #1284822/ - arts goa site access closed no response</t>
  </si>
  <si>
    <t>please do not close this ticket, i was away from dec 20 till today.
please provide contact information to contact goa. thanks.
nora</t>
  </si>
  <si>
    <t>bobcat sales t drive access</t>
  </si>
  <si>
    <t>can we please have alysia set up for access to the following in the bobcat sales t drive.
bobcat of edmonton
bobcat of fort mcmurray
bobcat of nisku
bobcat of red deer
please provide the same access that christie desousa had.</t>
  </si>
  <si>
    <t>computer issues</t>
  </si>
  <si>
    <t>i have a new surface and i am missing the paper cut application and newforma.Â  i also do not have the mnp help app.</t>
  </si>
  <si>
    <t>cloud log in issues</t>
  </si>
  <si>
    <t>good morning,
i am unable to log into the cloud this morning. it says the logon attempt has failed. i've tried to change my password on my desktop and it won't allow me to do that either.</t>
  </si>
  <si>
    <t>foxit</t>
  </si>
  <si>
    <t>good morning,
do we still have a spare foxit licence? can you please give it to ryan dejong?</t>
  </si>
  <si>
    <t>standard lenovo tiny with 16gb ram, dp to hdmi adapter
i am bugging you because i need a personal quote on a high-end lenovo tiny
 curt giacomoni
sure, what specifically are you looking for?
it is for multimedia presentation
but could be used for editing as well
core i5 should be good
256 ssd
 curt giacomoni
ok. our standard desktop is an i5, 256 ssd, 8gb ram model. 3x dp out. i will get a price to you today
16gb ram
i would prefer hdmi ports, if possible
actually it doesn't have to be a lenovo but it has to be a tiny
 curt giacomoni
lenovo is going to be the cheapest one in that form factor. a dp to hdmi adapter is going to be a lot cheaper than finding one with a built in hdmi port
ok
curt giacomoni
project estimator
ph.Â +
14505 114th avenue nw
edmonton, ab
t5m2y8
mnp.ca</t>
  </si>
  <si>
    <t>a high-severity alert has been triggered
âš microsoft 365 compliance center
severity:â—high
time:1/4/2021 5:58:33 pm (utc)
activity:protection
details: 1 message hit on f842bb2f-84df-4ab1-abc0-08d8b0da6-1, sent by  to  at time 1/4/2021 5:58:33 pm.
              view alert details</t>
  </si>
  <si>
    <t>softphone will not register
this has been going on for a while, through the break
 no  
 some  
 work impacting</t>
  </si>
  <si>
    <t>vpn not working</t>
  </si>
  <si>
    <t>hi next digital,
i need my vpn access fixed asap. it was working last week, but is not working this week.
i can be reached at .
donor grants associate
9910 103 st nw
edmontonÂ  ab Â t5k 2v, ext. 119
www.ecfoundation.org</t>
  </si>
  <si>
    <t>fortinet renewal notice - support expires 31-jan-2021</t>
  </si>
  <si>
    <t>outlook contact error</t>
  </si>
  <si>
    <t>hello:
iâ€™m trying to send emails to groups within my contact list and i keep getting the error below.
if someone can help me to fix this error, it would be appreciated.</t>
  </si>
  <si>
    <t>fortinet renewal notice - support expires 03-feb-2021</t>
  </si>
  <si>
    <t>remove emails from my outlook
i would like to have the following removed from my outlook as it has been some time since they have worked here. please set a audit reply that states "this email is no longer monitored, please use  for your inquiry.
- eghele akpodovhan
- fungai ndovi
- kevin clulow
- michael korba
- omoruyi odigie
 no  
 one  
 minor inconvenience</t>
  </si>
  <si>
    <t>good morning,
1.Â Â Â Â Â i am travelling to africa and brining my work laptop so i can still work remotely from there. is there anything i need to do to ensure i will be able to connect remotely from there as i am doing right now working from home in edmonton.
2.Â Â Â Â Â my laptop seems slow at times and once in a while it freezes, can i get this fixed before wednesday this week?
3.Â Â Â Â Â i need to have my sophos log in details reset; it doesnâ€™t allow me to log in.
please advise,</t>
  </si>
  <si>
    <t>uninstall flash
cannot uninstall flash on my own, i get messages to have it uninstalled.
 no  
 some  
 minor inconvenience</t>
  </si>
  <si>
    <t>connectups status report</t>
  </si>
  <si>
    <t>connectups status report
01/03/2021 10:00:34
sn&lt;gj 3000&gt;</t>
  </si>
  <si>
    <t>extended summary
before christmas i disconnected my laptop from my docking station.  now it is reconnected, but my computer is not communicating with my printer/scanner or my monitor.  also, i would like to set up my cell phone to receive  email.
description
see summary above please.  i am not available weds jan 6 until after 10:30 am or thurs jan 7 until after 1:00 pm.</t>
  </si>
  <si>
    <t>hi
please set up an email, user name and password for julie rach.Â she will be working out of calmont truck centre, lethbridge.Â  please set her up the same as karen hooper
her start date is january 4, 2021.</t>
  </si>
  <si>
    <t>a high-severity alert has been triggered
âš microsoft 365 compliance center
severity:â—high
time:12/31/2020 6:56:53 pm (utc)
activity:protection
details: 1 message hit on 5ac367af-a845-4c25-7f41-08d8adbdd-1, sent by  to  at time 12/31/2020 6:56:53 pm.
              view alert details</t>
  </si>
  <si>
    <t>re: calmont equipment ltd - juliah bilinske</t>
  </si>
  <si>
    <t>good morning,
can you please have the accounts payable â€œjâ€ drive added to juliah bilinske profile</t>
  </si>
  <si>
    <t>terminate - evelyn riedlinger</t>
  </si>
  <si>
    <t>please terminate evelyn riedlinger from rds access; but, still allow access to e-mail
business process manager
t:       +
c:       +
f:       +
e:       
w:       www.siterg.com
#170, 120 pembina rd., sherwood park, ab, t8h 0m2</t>
  </si>
  <si>
    <t>a high-severity alert has been triggered
âš microsoft 365 compliance center
severity:â—high
time:12/31/2020 10:19:33 am (utc)
activity:protection
details: 1 message hit on 328b9266-dd42-4431-fde2-08d45-1, sent by  to  at time 12/31/2020 10:19:33 am.
              view alert details</t>
  </si>
  <si>
    <t>christie desousa</t>
  </si>
  <si>
    <t>hi
christie will be leaving calmont tomorrow.
could you please have her emails forwarded to alysia porter effective immediately.
please do not disable windows or the account for christie for 2 more weeks (january 15, 2021)</t>
  </si>
  <si>
    <t>employee off boarding - corrie tetreau</t>
  </si>
  <si>
    <t>hello mnp it,
please schedule to off-board employee corrie tetreau after 4:30pm, today december 30, 202
edmonton main: 780.463.514
www.alignortho.com</t>
  </si>
  <si>
    <t>a high-severity alert has been triggered
âš microsoft 365 compliance center
severity:â—high
time:12/30/2020 8:27:45 pm (utc)
activity:protection
details: 1 message hit on 11f5aa25-fb9e-4491-03cd-08d8ad68-1, sent by  to  at time 12/30/2020 8:27:45 pm.
              view alert details</t>
  </si>
  <si>
    <t>ssl certificate renewal notice - support expires 28-jan-2021</t>
  </si>
  <si>
    <t>loss access to the shared drive - again</t>
  </si>
  <si>
    <t>armand
happy new year to you.
i am just back in the office today and i can advise that i have no access to shared drive again.
would greatly appreciate your assistance, once more.
warranty administrator
volvo truck centre calgary
we`re customer driven
5475 â€“ 53rd street se calgary, alberta, canadaÂ  t2c 4pÂ  extension: 8910
toll free: 
email: 
visit our website at: www.calmont.ca</t>
  </si>
  <si>
    <t>mnp client portal is missing on workstations at pilgrims hospice</t>
  </si>
  <si>
    <t>other  
mnp client portal
the "submit a bug" feature is in the debugger. click the orange x in the title of the "your next ticket" module to load the debugger.  "submit a bug" is in the top row.  this is helpful as it automatically includes a massive snapshot of data that makes it easier to debug data issues.  
1345818
the mnp client portal is missing on local workstations at pgh.  it is there in the rds but they would like it on their workstations as well.</t>
  </si>
  <si>
    <t>deactivate employee profile - brooke bailey</t>
  </si>
  <si>
    <t>hi there,
could you please effective immediately deactivate brooke baileyâ€™s employee profile? she is no longer employed with mhk. it is important to note that she has been on maternity leave for the past 1Â 
cÂ Â Â Â  
12316-107 avenue, edmonton, ab  t5m 1z1
www.mhkinsurance.com
we're here to help with your insurance needs. emails       and phone calls are still encouraged. appointments are required for       in-office broker meetings. please wear a mask when       visiting.
mhk welcomes       e-transfer payments to banking@mhkinsurance.â€‰com.
if you       receive this email in error, please notify us by reply email and destroy       this message. mhk complies with canada's anti-spam and alberta's pipa       legislations. if you no longer wish to receive emails from mhk, please       reply with 'unsubscribe' in the subject   line.</t>
  </si>
  <si>
    <t>moving my remote desktop from my old laptop to a new laptop</t>
  </si>
  <si>
    <t>i had to purchase a new laptop and need the remote desktop moved to my new one please:)  
i can be reached at</t>
  </si>
  <si>
    <t>add new mitel user, murray jennifer</t>
  </si>
  <si>
    <t>hello team,
we have a new hire starting 4thÂ january 2021.
please see below form:
1.Â Â Â Â Â Â Â Â Â full name of staff member, as well as the ad name: murray jennifer / mjennifer
2.Â Â Â Â Â Â Â Â Â location of staff member (edm/ cal/ ykn): edm
3.Â Â Â Â Â Â Â Â Â user group: (lawyer / manager / staff): staff
4.Â Â Â Â Â Â Â Â Â do they need to be part of any hunt group: (reception or central services etc):
5.Â Â Â Â Â Â Â Â Â do they need mobility? what is the userâ€™s mobile number? no
6.Â Â Â Â Â Â Â Â Â do they need a did? (yes / no) yes (this will be yes 99/100 times)
7.Â Â Â Â Â Â Â Â Â if they are taking over an did, what is the did. n/a (usually a special request)
8.Â Â Â Â Â Â Â Â Â mac address of the phone that the user needs to be assigned to. n/a (not required)
9.Â Â Â Â Â Â Â Â Â is scribe feature required? (yes/no) no (yes only for management/lawyers)
10.Â Â Â Â Â date due by (not the user start date:) asap
kind regards,
lvs-deskside (edmonton)Â Â 
vcard
t
f 
fieldlaw.com
this message (including any attachments) is for the addressee(s) only and may contain information that is privileged, confidential or exempt from disclosure. if you have received this message in error please immediately notify the sender and delete this email message and any attachments.
"field law," the logo andÂ â€œbecause clarity mattersâ€ are registered trademarks of field llp.Â  "field law" is a registered trade name of field llp</t>
  </si>
  <si>
    <t>azure billing review</t>
  </si>
  <si>
    <t>please assign to me.
jeff meadows
field services technician
ph.Â 
4922 - 53 st.
red deer,       ab
t4n2e9
mnp.ca 
can someone from the site team look into their azure billing and get a cost breakdown for riccardo.
lyndon will
senior project specialist
ph.Â + ext 331
14505 114th avenue nw
edmonton, ab
t5m2y8
mnp.ca
riccardo,
nothing has changed that i am aware of. i will reach out to the team and see if they can get a cost breakdown for you or figure out why it was more.
--lyndon
lyndon will
senior project specialist
ph.Â + ext 331
14505 114th avenue nw
edmonton, ab
t5m2y8
mnp.ca
hey lyndon,
this came out way more expensive than before?
riccardo francese
business process manager
t: +
c: +
f: +
e:
w:www.siterg.com.
account information
billing account:
subscription id: f80588ef-bb64-4ff6-8bb6-6cb1cae029b4
subscription name: pay-as-you-go
billing period: november 27, 2020â€“december 26, 2020
this is a mandatory service communication. to set your contact preferences or to unsubscribe from other communications , visit thepromotional communications manager. 
il sâ€™agit de communications obligatoires. pour configurer vos prÃ©fÃ©rences de contact pour dâ€™autres communications, accÃ©dez augestionnaire de communications promotionnelles.
microsoft corporation,one microsoft way, redmond, wa 98052</t>
  </si>
  <si>
    <t>request to change michelle black email signature</t>
  </si>
  <si>
    <t>hi there,
can we please correct michelle blackâ€™s e-mail signature to the following:
-Â Â Â Â Â Â Â  michelle black 
peer navigator 
wellness network</t>
  </si>
  <si>
    <t>hi curtis,
i need to order 4 cameras with mic, can you send me a quote please and tahnks
m.e ext 132Â  
9321 jasper avenue, edmonton ab t5h 3t7 
e4calberta.org
--------------------------------------------------------------------------------------------</t>
  </si>
  <si>
    <t>hi
can you please assist ?</t>
  </si>
  <si>
    <t>fw: e-mail accounts</t>
  </si>
  <si>
    <t>hi there,
please create an email account for :
 christine paquette scott
no title or address for now.
she should have access to the following folder:
n:\new projects\inner ways
also add her into the following email distribution list:
-Â Â Â Â Â Â Â Â Â  all staff
-Â Â Â Â Â Â Â Â Â  inner ways leadership
please send me the credentials. let me know if you have any questions,</t>
  </si>
  <si>
    <t>problem - i do, @ mnp/next digital - mitel connect "softphone registration timed out" error ...</t>
  </si>
  <si>
    <t>extended summary
problem - i do, @ mnp/next digital - mitel connect "softphone registration timed out" error for about about a week now, when trying to click the softphone option in mitel
description
i do, @ mnp/next digital
mitel connect "softphone registration timed out" error for about about a week now, when trying to click the softphone option in mitel
please see attachment. 
in mitel, when i click on my name on the tope left, the primary assignment  field appears where i can select where icoming calls will ring. when i select the softphone option, it always throws an error "softphone registration timed out", then auto selects the last working option that is not softphone.</t>
  </si>
  <si>
    <t>add new mitel user, abdullahi hindisaar</t>
  </si>
  <si>
    <t>hello team,
we have a new hire starting 4thÂ january 2021.
please see below form:
1.Â Â Â Â Â Â Â Â Â full name of staff member, as well as the ad name: abdullahi hindisaarÂ / ahindisaar
2.Â Â Â Â Â Â Â Â Â location of staff member (edm/ cal/ ykn): edm
3.Â Â Â Â Â Â Â Â Â user group: (lawyer / manager / staff): staff
4.Â Â Â Â Â Â Â Â Â do they need to be part of any hunt group: (reception or central services etc):
5.Â Â Â Â Â Â Â Â Â do they need mobility? what is the userâ€™s mobile number? no
6.Â Â Â Â Â Â Â Â Â do they need a did? (yes / no) yes (this will be yes 99/100 times)
7.Â Â Â Â Â Â Â Â Â if they are taking over an did, what is the did. n/a (usually a special request)
8.Â Â Â Â Â Â Â Â Â mac address of the phone that the user needs to be assigned to. n/a (not required)
9.Â Â Â Â Â Â Â Â Â is scribe feature required? (yes/no) no (yes only for management/lawyers)
10.Â Â Â Â Â date due by (not the user start date:) asap
kind regards,
lvs-deskside (edmonton)Â Â 
vcard
t
f 
fieldlaw.com
this message (including any attachments) is for the addressee(s) only and may contain information that is privileged, confidential or exempt from disclosure. if you have received this message in error please immediately notify the sender and delete this email message and any attachments.
"field law," the logo andÂ â€œbecause clarity mattersâ€ are registered trademarks of field llp.Â  "field law" is a registered trade name of field llp</t>
  </si>
  <si>
    <t>add new mitel user, rochelle zomar</t>
  </si>
  <si>
    <t>hello team,
we have a new hire starting 4th januaryÂ 2021.
please see below form:
1.Â Â Â Â Â Â Â Â Â full name of staff member, as well as the ad name: rochelle zomar / rzomar
2.Â Â Â Â Â Â Â Â Â location of staff member (edm/ cal/ ykn): edm
3.Â Â Â Â Â Â Â Â Â user group: (lawyer / manager / staff): staff
4.Â Â Â Â Â Â Â Â Â do they need to be part of any hunt group: (reception or central services etc):
5.Â Â Â Â Â Â Â Â Â do they need mobility? what is the userâ€™s mobile number? no
6.Â Â Â Â Â Â Â Â Â do they need a did? (yes / no) yes (this will be yes 99/100 times)
7.Â Â Â Â Â Â Â Â Â if they are taking over an did, what is the did. n/a (usually a special request)
8.Â Â Â Â Â Â Â Â Â mac address of the phone that the user needs to be assigned to. n/a (not required)
9.Â Â Â Â Â Â Â Â Â is scribe feature required? (yes/no) no (yes only for management/lawyers)
10.Â Â Â Â Â date due by (not the user start date:) asap
kind regards,
lvs-deskside (edmonton)Â Â 
vcard
t
f 
fieldlaw.com
this message (including any attachments) is for the addressee(s) only and may contain information that is privileged, confidential or exempt from disclosure. if you have received this message in error please immediately notify the sender and delete this email message and any attachments.
"field law," the logo andÂ â€œbecause clarity mattersâ€ are registered trademarks of field llp.Â  "field law" is a registered trade name of field llp</t>
  </si>
  <si>
    <t>user access</t>
  </si>
  <si>
    <t>hi,
can we give access to the â€œproductionâ€ drive p: for kevin fee.
please and thanks.</t>
  </si>
  <si>
    <t>re: landing page + banner</t>
  </si>
  <si>
    <t>until this issue is resolved, megan, can you please take off the lead form so that people arenâ€™t submitting them? please just leave the call now button instead.</t>
  </si>
  <si>
    <t>can you please add me to the email group 
service writer
we're customer driven
14610 yellowhead trail nw edmonton, ab, t5l 3cÂ Â Â Â  toll free: Â fax: 
email:
website:www.calmont.ca
this email, and any files transmitted with it, are confidential and are intended solely for the use of the individual or entity to which they are addressed. any unauthorized use or disclosure is prohibited. please notify the sender if you have received this email in error. thank you for your co-operation.
^^^^^^^^^^^^^^^^^^^^_
Â cÂ a l m o n tÂ Â Â Â  Â "\,___Â Â Â Â Â Â Â Â Â Â Â Â 
_..._...__________===___..;]
"(@)'(@)"""""""""(@)(@)*****(@)</t>
  </si>
  <si>
    <t>install microsoft office on my laptop
when you have a moment, could you install microsoft office onto my laptop.  if you need to call me my cell is (780) 233-007</t>
  </si>
  <si>
    <t>[medium] alert for sophos central [mfp resources corp]: ad sync failed to import an active directory</t>
  </si>
  <si>
    <t>this email alert was generated by sophos central. do not reply to this email.
sophos central event details for mfp resources corp
what happened:ad sync has synchronized the sophos central users and groups with active directory users and groups. however, it failed to import certain users. this can happen if there are multiple sophos central users with the same email address, or the sophos central user email and login details do not match.
where it happened: nc-mfp-be0.
sophos central frequently asked questions (faq) - https://community.sophos.com/kb/en-us/119598.
sign in to https://central.sophos.com/ for more information
note: depending on the alert email frequency setting you choose, we will either send one email for one alert of each type (for example, an alert for a protection-failed event) in any 24-hour period, or send one email for each alert. you might have more alerts of the same type in the dashboard of the sophos central console.</t>
  </si>
  <si>
    <t>multipoint renewal notice</t>
  </si>
  <si>
    <t>fortinet renewal notice - support expires 29-jan-2021</t>
  </si>
  <si>
    <t>fortinet renewal notice - support expires 30-jan-2021</t>
  </si>
  <si>
    <t>a high-severity alert has been triggered
âš microsoft 365 compliance center
severity:â—high
time:12/29/2020 10:26:55 am (utc)
activity:protection
details: 1 message hit on 7fcfd06d-592c-4c2b-850a-08d8abe3ee-1, sent by  to  at time 12/29/2020 10:26:55 am.
              view alert details</t>
  </si>
  <si>
    <t>remove employee</t>
  </si>
  <si>
    <t>please de activate employee cindy patton for now
let me know ehen this is compelted
general manager
p: 780-489-811
e:</t>
  </si>
  <si>
    <t>re:  addition to email group</t>
  </si>
  <si>
    <t>please have pierre plamondon added to the  email as soon as possible.</t>
  </si>
  <si>
    <t>a high-severity alert has been triggered
âš microsoft 365 compliance center
severity:â—high
time:12/29/2020 9:04:17 am (utc)
activity:protection
details: 1 message hit on a19a0325-32e3-46d7-ca49-08d8abd81-1, sent by  to  at time 12/29/2020 9:04:17 am.
              view alert details</t>
  </si>
  <si>
    <t>hi,
merry christmas and happy new year!
i am not sure whether i should check directly with matt patrick or one of the computer technologists on this.
i need to check what services i will need going forward as my law practice is currently inactive.Â  in particular, i have received a notice from sophos and i need to consider whether to continue that service. Â i also likely need to renew my microsoft license, backify and other services provided by mnp next digital if i need them for 202
suite 2000, 125 â€“ 9th avenue s.e., calgary, alberta t2g 0p6
the information and any attachment contained in this communication is subject to solicitor/client privilege, it is confidential and intended only for the use of the person(s) to whom it is addressed. if you have received this communication in error, please notify us and delete or destroy all copies immediately.</t>
  </si>
  <si>
    <t>ash - password prompt</t>
  </si>
  <si>
    <t>scribe transcribed your voicemail message. on mon dec 28 2020 15:5
--- 
--- 
time:mon dec 28 2020 15:58 mst
--- 
duration:00:26
---
vm-id:20731
month to date usage: 26 messages / 00:15:48 (hh:mm:ss)</t>
  </si>
  <si>
    <t>a high-severity alert has been triggered
âš microsoft 365 compliance center
severity:â—high
time:12/28/2020 8:35:17 pm (utc)
activity:protection
details: 1 message hit on c3a568e3-0f37-48a0-2c55-08d05004-1, sent by  to  at time 12/28/2020 8:35:17 pm.
              view alert details</t>
  </si>
  <si>
    <t>are you able to adjust my email signature and signature within a pdf.
i would like my email signature to have my name as "dan boire" instead of ""
i would like my pdf signature to only have my computer generated signature instead of the one i have hand written.
 no  
 one  
 minor inconvenience</t>
  </si>
  <si>
    <t>a high-severity alert has been triggered
âš microsoft 365 compliance center
severity:â—high
time:12/28/2020 8:31:39 pm (utc)
activity:protection
details: 1 message hit on 38de5097-e443-4d28-f1f6-08d8ab6f-1, sent by  to  at time 12/28/2020 8:31:43 pm.
              view alert details</t>
  </si>
  <si>
    <t>i would like to have a new mac computer set up</t>
  </si>
  <si>
    <t>can we get someone to help set up this mac computer
general manager
p: 780-489-811
e:</t>
  </si>
  <si>
    <t>hello,
my home external monitor is no longer being detected by the system at start-up.
in the morning, my primary system and the external monitor started as expected. lenovo requested an update and restarted the system later in the morning, after which the external monitor could not be detected.
i have tried to â€œforceâ€ detect monitor through display settings, but this was unsuccessful. i have also, restarted the system, re-plugged the hdmi cable, checked power to the monitor and replaced the hdmi cable â€“ all attempts have been unsuccessful.
i later plugged the monitor into my secondary system â€“ which detected the monitor at start-up and worked as expected.
 the external monitor is an acer; snid 
 primary system: lenovo think pad x-6292 (nextdigital inc #)
 secondary system: dell x-6551 (nextdigital inc #)
my preference is to use the primary system.
please help when you have a moment.</t>
  </si>
  <si>
    <t>a high-severity alert has been triggered
âš microsoft 365 compliance center
severity:â—high
time:12/29/2020 7:01:28 pm (utc)
activity:protection
details: 1 message hit on 021d1748-74e3-4ee5-c350-08d8ac2c24c-1, sent by  to  at time 12/29/2020 7:01:28 pm.
              view alert details</t>
  </si>
  <si>
    <t>voicemail from (780) 395-2999 - align orthodont received mon dec 28 2020 12:22 mst</t>
  </si>
  <si>
    <t>scribe transcribed your voicemail message. on mon dec 28 2020 12:29 said: 
hi it's melody calling from  463-514
--- 
--- 
time:mon dec 28 2020 12:22 mst
--- 
duration:00:34
---
vm-id:26266
month to date usage: 23 messages / 00:14:06 (hh:mm:ss)</t>
  </si>
  <si>
    <t>and mike farhat - unable to use softphone on mitel connect</t>
  </si>
  <si>
    <t>unable to use softphone on mitel connect
getting an error "softphone registration timed out" in mitel?
i have signed out and back in to no avail, calls do not ring on my softphone
noticed it was still on the deskphone
tried to switch to soft phone and got the error in attachment
 no  
 one  
 work impacting</t>
  </si>
  <si>
    <t>runtime error</t>
  </si>
  <si>
    <t>scribe transcribed your voicemail message. on mon dec 28 2020 15:3. thank you. talk to you soon.
you have a new voicemail message.
new voice message
--- 
(
--- 
--- 
time:mon dec 28 2020 15:35 mst
--- 
duration:00:26
---
vm-id:20497
month to date usage: 25 messages / 00:15:18 (hh:mm:ss)</t>
  </si>
  <si>
    <t>fortinet renewal notice - support expires 24-jan-2021</t>
  </si>
  <si>
    <t>when i click on the desktop carya cloud - 2016 icon and enter my new password, a message pops up saying access is denied.</t>
  </si>
  <si>
    <t>igloo - high-severity alert: microsoft 365 compliance center</t>
  </si>
  <si>
    <t>a high-severity alert has been triggered
âš microsoft 365 compliance center
severity:â—high
time:12/24/2020 6:16:48 am (utc)
activity:protection
details: 1 message hit on 5670c284-bd53-4c6d-326c-08d8a7d37da200537774-1, sent by  to  at time 12/24/2020 6:16:48 am.
              view alert details</t>
  </si>
  <si>
    <t>a high-severity alert has been triggered
âš microsoft 365 compliance center
severity:â—high
time:12/28/2020 5:42:09 pm (utc)
activity:protection
details: 1 message hit on 82116a0e-e9a8-4863-e939-08d8ab57e4a-1, sent by  to  at time 12/28/2020 5:42:09 pm.
              view alert details</t>
  </si>
  <si>
    <t>quote request - pilgram's hospice - wireless mouse and mouse pad</t>
  </si>
  <si>
    <t>pilgram's hospice
thomas, at clients request
wireless mouse and mouse pad
 the primary contact in connectwise  
main
1331411
 next digital edmonton  
mon 4 jan, 2021  
 no  
 accessories (mice, keyboards, ram/ssd upgrades etc)  
 other  
wireless mouse and mouse pad
1 wireless mouse and mouse pad</t>
  </si>
  <si>
    <t>voicemail from (587) 920-3231 - robert perras received mon dec 28 2020 07:24 mst</t>
  </si>
  <si>
    <t>scribe transcribed your voicemail message. on mon dec 28 2020 07:21 said: 
hi it's robert harris at-sure(?) with your tmc address is number 10 auto mall road in sherwood park postal oak in-tea(?) 88 thank you.
you have a new voicemail message.
new voice message
--- 
(
--- 
--- 
time:mon dec 28 2020 07:24 mst
--- 
duration:00:19
---
vm-id:28785
month to date usage: 20 messages / 00:12:12 (hh:mm:ss)</t>
  </si>
  <si>
    <t>a high-severity alert has been triggered
âš microsoft 365 compliance center
severity:â—high
time:12/24/2020 9:35:24 am (utc)
activity:protection
details: 1 message hit on fbe57afe-e9e6-496e-d0cd-08d8a7ef3c-1, sent by  to  at time 12/24/2020 9:35:24 am.
              view alert details</t>
  </si>
  <si>
    <t>a high-severity alert has been triggered
âš microsoft 365 compliance center
severity:â—high
time:12/24/2020 6:18:22 am (utc)
activity:protection
details: 1 message hit on 68681541-0ed4-482d-9b2c-08d8a7d3b4d345802454-1, sent by  to  at time 12/24/2020 6:18:22 am.
              view alert details</t>
  </si>
  <si>
    <t>it support
just a heads up after using the outlook email app on my i phone for the last month i have seen very little good things Â and mostly Â bad things.
good things:
easy to see different calendars
bad things:
some emails come in scrambled text. cannot read. have to resort to apple email app to read them
some emails you cannot delete on phone. if you delete it comes back. you can delete on desktop outlook but still will not go off of phone.
no synchronization of drafts
have trouble sometimes to get emails to down load. can be up to half a day sometimes
over all i do not feel we should move forward with this app on the i phones as it has too many bugs
.
rr#4 eckville, alberta
t0m 0x
cellular 
email:
web:www.skocdopole.com</t>
  </si>
  <si>
    <t>a high-severity alert has been triggered
âš microsoft 365 compliance center
severity:â—high
time:12/24/2020 9:34:18 am (utc)
activity:protection
details: 1 message hit on 9dc94d19-be55-44e6-ba05-08d8a3-1, sent by  to  at time 12/24/2020 9:34:18 am.
              view alert details</t>
  </si>
  <si>
    <t>a high-severity alert has been triggered
âš microsoft 365 compliance center
severity:â—high
time:12/24/2020 9:33:22 am (utc)
activity:protection
details: 1 message hit on ed1c5d58-b659-42fa-6809-08d8a7eef2f12330641-1, sent by  to  at time 12/24/2020 9:33:22 am.
              view alert details</t>
  </si>
  <si>
    <t>denny's address</t>
  </si>
  <si>
    <t>hi jafaru
denny puszkarâ€™s email address is as follows. thanks
242 miners chase west
lethbridge, abÂ  t1j 5s8
canada
, cpa, cga
manager, corporate services
natural resources conservation board
4th floor, sterling place
9940 - 106 street
edmonton, ab t5k 2n
email:
this communication is intended for the use of the recipient to which it is addressed, and may contain confidential, personal and or privileged information. please contact us immediately if you are not the intended recipients of this communication, and do not copy, distribute, or take action relying on it. any communication received in error, or subsequent reply, should be deleted or destroyed.</t>
  </si>
  <si>
    <t>codetwo renewal notice</t>
  </si>
  <si>
    <t>new employee onboarding - brittany mcphee</t>
  </si>
  <si>
    <t>hello mnp team,
please create a new profile for employee brittany mcphee, who will be joining our scheduling coordinator team.
please complete by noon on monday december 28, 2020.
name: brittany mcphee
user: brittanym
password: kilo
edmonton main: 780.463.514
www.alignortho.com</t>
  </si>
  <si>
    <t>new user - alysia porter</t>
  </si>
  <si>
    <t>hi
please set up an email, user name and password for alysia porter.Â she will be working out of calmont equipment, edmonton.Â  please set her up the same as christie desousa
her start date is december 24, 2020.</t>
  </si>
  <si>
    <t>notice of employee change - abdul bari</t>
  </si>
  <si>
    <t>hello,
this email is to update an existing employee:
employee name:abdul bari Â Â Â 
department: finance
new job title:senior accountant
supervisor: mwayi kanjadza
effective date: immediately
distribution list &amp; action required
it
e-mail signature change:
-Â Â Â Â Â Â Â name: abdul bari
-Â Â Â Â Â Â Â position: senior accountant
-Â Â Â Â Â Â Â program: finance
payroll/finance
details were processed last week.
reception
please update existing employee list.
if you have any questions or concerns please let me know.</t>
  </si>
  <si>
    <t>a high-severity alert has been triggered
âš microsoft 365 compliance center
severity:â—high
time:12/24/2020 7:05:09 am (utc)
activity:protection
details: 1 message hit on 2094ba84-7ba3-4af4-1afb-08d8a7da3e-1, sent by  to  at time 12/24/2020 7:05:09 am.
              view alert details</t>
  </si>
  <si>
    <t>hello. please add to spam blocker list.</t>
  </si>
  <si>
    <t>notice of employee departure - sonya j.</t>
  </si>
  <si>
    <t>good afternoon,
this email is to notify you of an employee departure:
employee name: sonya jolicoeur
job title: family support worker Â 
department: early learning
effective date: immediately
distribution list &amp; action required
it
please disable accounts effective immediately.
payroll
information to be processed.
reception
please remove from agency contact list.
communications
for information only.
program manager
for information only.
facilities manager
for information only.
if you have any questions or concerns please let me know.</t>
  </si>
  <si>
    <t>a high-severity alert has been triggered
âš microsoft 365 compliance center
severity:â—high
time:12/23/2020 3:05:53 pm (utc)
activity:protection
details: 1 message hit on b346b7f3-18bd-4642-ce3a-08d8a-1, sent by  to  at time 12/23/2020 3:05:53 pm.
              view alert details</t>
  </si>
  <si>
    <t>a high-severity alert has been triggered
âš microsoft 365 compliance center
severity:â—high
time:12/23/2020 2:52:58 pm (utc)
activity:protection
details: 1 message hit on fac952ee-7779-4e3e-bff8-08d8a76101-1, sent by  to  at time 12/23/2020 2:52:58 pm.
              view alert details</t>
  </si>
  <si>
    <t>disable account
emily oneil no longer at pml
 no  
 one  
 other</t>
  </si>
  <si>
    <t>monitors</t>
  </si>
  <si>
    <t>merry christmas guys.
you do great things for us here at arlington street. so now i think i need you to help with my home computer. (that i will pay for)
firstly, one of my monitors at home crapped out on me so i am in need of two matching monitors for home. do you guys have any extra monitors that you need to get rid of that still work?
also, what would be your rates if i were to hire you to trouble shoot my and my wifeâ€™s home computers?
grant kelba
```
p r o p e r t y  m a n a g e r
```
t.Â ( ext. 20
suite 400, 1550 5 st swÂ  
calgary, alberta t2r 1k3
```
arlingtonstreet.cafacebookÂ Â Â Â twitterÂ  Â Â linkedinÂ  Â Â youtube
```
important covid-19 notice: please note that we remain open for business but, as a result of covid-19, our office is closed to the general public and open to clients by appointment only until further notice. with most of our staff now working remotely, please continue to contact us by email (preferably), or by phone, but note that there may be delays in checking voice messages remotely. we appreciate your continued business and patience during this unprecedented time.
the information in this email and any attachments is sent by arlington street investments and is intended to be confidential and for the use of only the individual or entity named above. the information may be protected by solicitor-client privilege, work product immunity or other legal principles. if the reader of this message is not the intended recipient, you are notified that unauthorized review, retention, dissemination, distribution, copying or other use of or taking any action in reliance upon this information is strictly prohibited. if you received this email in error, please notify us immediately by email reply and delete or destroy this message and any copies</t>
  </si>
  <si>
    <t>hi pierre,
this is in fact spam.Â  i have included the it email that these can be sent to if you suspect.
it â€“ see below and block</t>
  </si>
  <si>
    <t>office license</t>
  </si>
  <si>
    <t>1334380
 add licenses  
 microsoft 365 apps for business  
1
1334380</t>
  </si>
  <si>
    <t>elizabeth frolek e3 license</t>
  </si>
  <si>
    <t>1334335
 add licenses  
 office 365 e3  
1
elizabeth frolek</t>
  </si>
  <si>
    <t>a high-severity alert has been triggered
âš microsoft 365 compliance center
severity:â—high
time:12/23/2020 8:56:47 am (utc)
activity:protection
details: 1 message hit on 93178f71-e666-491a-652e-08d8a55-1, sent by  to  at time 12/23/2020 8:56:47 am.
              view alert details</t>
  </si>
  <si>
    <t>a high-severity alert has been triggered
âš microsoft 365 compliance center
severity:â—high
time:12/22/2020 5:37:55 pm (utc)
activity:protection
details: 1 message hit on 63c01040-5923-4695-d5ce-08d8a6a04f345802454-1, sent by  to  at time 12/22/2020 5:37:55 pm.
              view alert details</t>
  </si>
  <si>
    <t>disable account
talia no longer employeed at pml
 no  
 one  
 other</t>
  </si>
  <si>
    <t>notice of upcoming employee hire - ashley nutter</t>
  </si>
  <si>
    <t>hello,
this email is to notify you of an upcoming employee hire:
employee name:ashley nutter Â Â Â 
department: early learning
job title: speech language pathologist Â 
supervisor: blair sushynski
effective date: january 4, 2021.
*note: she was a previous employee of e4c, so may have a disabled user account. if so, please ensure settings mirror pauline lauâ€™s account.
distribution list &amp; action required
it
rds: request for rds/network access
e-mail: request for outlook account.
e-mail signature set-up:
-Â Â Â Â Â Â Â name: ashley nutter
-Â Â Â Â Â Â Â position: speech language pathologist
-Â Â Â Â Â Â Â program: early learning
mirror:please mirror user pauline lau.
e-mail distribution list:all staff
please send account details to: blair sushynski () and zoe beaulieu ().
payroll/finance
details will be sent once processed.
reception
please update existing employee list.
communications
for information only.
program manager
for information only.
facilities manager
for information only.
if you have any questions or concerns please let me know.</t>
  </si>
  <si>
    <t>new hire - elizabeth frolek</t>
  </si>
  <si>
    <t>good morning,
i have a new employee elizabeth frolek starting on january 11th and i would like to make sure that she has access to all the following the week before she starts if possible:
 sage
 outlook
 shortel
 crm
 moneris
 cybersource
 cart builder
 teams
 drives
 accounting
 finance
 public</t>
  </si>
  <si>
    <t>disable account
angelika no longer employeed at pml
 no  
 one  
 other</t>
  </si>
  <si>
    <t>adobe vip# c40493f72ae6f87fc12a</t>
  </si>
  <si>
    <t>good morning team,
can you please process attached po: l3f72ae6f87fc12a.
end user:
nexsource power inc
#7-20a sylvaire close
sylvan lake, t4s 2h
guylaine genoe
let me know if you require any further information.</t>
  </si>
  <si>
    <t>fw: business cards and email signature</t>
  </si>
  <si>
    <t>hi there,
can you please update the email signature as per request below..</t>
  </si>
  <si>
    <t>a high-severity alert has been triggered
âš microsoft 365 compliance center
severity:â—high
time:12/22/2020 4:35:37 pm (utc)
activity:protection
details: 1 message hit on 3d238b53-2538-45eb-25f1-08d8a6-1, sent by  to , at time 12/22/2020 4:35:37 pm.
              view alert details</t>
  </si>
  <si>
    <t>urgent: carter harrison</t>
  </si>
  <si>
    <t>please reactivate user and equip 360
business process manager
t:       +
c:       +
f:       +
e:       
w:       www.siterg.com
#170, 120 pembina rd., sherwood park, ab, t8h 0m2</t>
  </si>
  <si>
    <t>oarrie oliver - opal approval to update dynamic 365 leasepath document</t>
  </si>
  <si>
    <t>opal approval to update dynamic 36 - matt kennedy
 no  
 one  
 minor inconvenience</t>
  </si>
  <si>
    <t>it glue font</t>
  </si>
  <si>
    <t>improve an existing solution  
 other  
the default font in it glue makes it difficult to differntiate between similar characters such as 0/o and 1/l/i.  this is particularely irksome when having to type in a password manually and it takes several tries to get to right.
 more than once per month  
a few minutes, more if you lock out an account
tip: if this is for a new dashboard or report, you could sketch up a concept on a napkin, in paint, or excel, and attach it to this request.</t>
  </si>
  <si>
    <t>pulse vet - exchange online plan 1 add</t>
  </si>
  <si>
    <t>pulse vet
1346929
 add licenses  
 office 365 e3  
1</t>
  </si>
  <si>
    <t>bever, joan - termination, december 18, 2020</t>
  </si>
  <si>
    <t>good morning,
please see attached joan beverâ€™s termination form effective december 18, 202 during business hours (monday-friday, 8:30am-4:3) and in case of an emergency dial 911.
this e-mail is intended solely for the person or entity to which it is addressed and may contain confidential and/or privileged information. any review, dissemination, copying, printing, forwarding or other use of this e-mail by persons or entities other than the addressee is prohibited. if you have received this e-mail in error, please contact the sender immediately and delete the material from your computer.</t>
  </si>
  <si>
    <t>fw: new andersons orders</t>
  </si>
  <si>
    <t>curt giacomoni
project estimator
ph.Â +
14505 114th avenue nw
edmonton, ab
t5m2y8
mnp.ca
hello again curt and shawn
have a trio of drop ship orders.
#1) Â 1 - eaton 3s 550 va to be dropped ship to the location below.
ye olde gibbons
4620 50th avenue
gibbons, ab
t0a 1n0
#2)1 - eaton 3s 550 va to be dropped ship to the location below.
athabasca whiskey store
4808 50 st
athabasca, ab
t9s 1c9
#3)1 - eaton 3s 550 va to be dropped ship to the location below.
mg's liquor mart
5556-50 ave
st. paul, ab
t0a 3a1</t>
  </si>
  <si>
    <t>re: new email</t>
  </si>
  <si>
    <t>ok, thanks kim. working on it now.
will advise when done.</t>
  </si>
  <si>
    <t>can you confirm if this is legit?</t>
  </si>
  <si>
    <t>they have emailed twice, but i donâ€™t ever recall getting invoiced from them before, please confirm this is legit?
Â Â  accounting
www.edgeequipment.com</t>
  </si>
  <si>
    <t>phoenix industrial - contractor's equipment schedule</t>
  </si>
  <si>
    <t>good morning,
i have a security warning on the above excel spreadsheet that states automatic update of links has been disabled
when i enable content to make changes, the following popup shows
okay, itâ€™s monday, what the heck?</t>
  </si>
  <si>
    <t>drive access</t>
  </si>
  <si>
    <t>good morning,
please give ashley access to the accounts payable (j) drive. we need this asap if possible.</t>
  </si>
  <si>
    <t>fw: laptop power cord and new laptop</t>
  </si>
  <si>
    <t>you have received a voice mail message from + for mailbox 151.
message length is 00:00:29. message size is 232 kb.</t>
  </si>
  <si>
    <t>quotevalet: nd - orderform - field kit resupply edge equipment</t>
  </si>
  <si>
    <t>14505 114th avenue nw, edmonton, ab, t5m 2y8
dear curt giacomoni,
this is an automated notification from the quotevalet system.
your customer edge equipment placed orderform order # qvao
order details:
nd - orderform - field kit resupply - edge equipment 
from 
to view or review the orderform order on quotevalet at any time click here.
this email was created using quotevalet - the online quote delivery and acceptance vehicle forquotewerks.</t>
  </si>
  <si>
    <t>re: important: an azure backup failure alert has been activated for ibsgazps01</t>
  </si>
  <si>
    <t>did you guys get the alert last night? and who responded it?
review your alert for ibsgazps01.
important
a backup failure alert has been activated
youâ€™re receiving this email because a backup failure alert has been activated for ibsgazps01.
severity
critical
alert
backup failure
backup item(s)
ibsgazps01
description
could not communicate with the vm agent for snapshot status.
recommended action(s)
please retry the backup operation. if the issue repeats, follow the instructions athttp://go.microsoft.com/fwlink/?linkid=800034.
time
december 21, 2020 1:53 utc
vault
ibsg-az-rsg-vm01
view more details in theazure portal.
account information
subscription id: 0ff3bd68-49c3-41e0-b571-fed4c5d934a6
privacy statement
microsoft corporation,one microsoft way, redmond, wa 98052</t>
  </si>
  <si>
    <t>internet issues</t>
  </si>
  <si>
    <t>good afternoon,
is there something going on with our internet connection?
i am having a lot of weird things going on today.</t>
  </si>
  <si>
    <t>hi riccardo
here is the phone info in my office.
for future it issues do i go through it  ?
also i couldnâ€™t find a webcam here is the calgary office
joe
sent from my iphone</t>
  </si>
  <si>
    <t>quote request -  - video cable and adapter for joscelyn's laptop</t>
  </si>
  <si>
    <t>- for joscelyn's laptop
video cable and adapter for joscelyn's laptop
 the primary contact in connectwise  
main
 148 street northwest, edmonton, ab  t5n 3e8
wed 20 jan, 2021  
 no  
 video adapter  
 yes  
 hdmi  
 dvi  
1
external monitor connection requires hdmi &gt; dvi connection, either in a single cable or cable+adapter
cable/adaptor to connect dvi monitor to hdmi port on a laptop</t>
  </si>
  <si>
    <t>mhk servers are up but nothing works</t>
  </si>
  <si>
    <t>mhkâ€™s servers are up, i can log in, but nothing is connecting. could you please assist? i believe this is a whole user issue</t>
  </si>
  <si>
    <t>internet down - canada ici edmonton manulife office</t>
  </si>
  <si>
    <t>received report that internet is down in our edmonton manulife office.
can you investigate.
bob</t>
  </si>
  <si>
    <t>bobcat calgary - no internet</t>
  </si>
  <si>
    <t>has there been an update on this case? weâ€™re still without internet connection. Â thank you.
dan wilson
branch manager
bobcat of calgary - calmont equipment
on jul 28, 2020, at 11:03 am, board service &lt;&gt; wrote:
ï»¿</t>
  </si>
  <si>
    <t>urgent - service call for apex telecom for alexander first nations education</t>
  </si>
  <si>
    <t>apex telecom (a company that does work for us and we do work for them) requires us to send a tech out to alexander first nations education as their nortel system is dead. they are close to morniville alberta and the onsite contact is jody and her telephone number is . we will need to contact her to get directions to them and we will need to let her know (as well as dave when we can get out there).
the existing system is a nortel 8 x 24 with 1
fax: 
www.apextelecom.ca
shawn parks
business development
ph.Â +       ext 321
14505 114th avenue nw
edmonton,       ab
t5m2y8
mnp.ca</t>
  </si>
  <si>
    <t>urgent: phone &amp; wifi connections support needed</t>
  </si>
  <si>
    <t>hi there,
we seem to be having some issues with our internet connectivity today.Â  both bill and i have received feedback from outside contacts that theyâ€™ve had trouble getting in touch with us via our phones.
speaking from my personal experience â€“ a colleague was calling me this morning and kept trying â€“ she said she would dial the number â€“ it would ring, then beep three times and then disconnect.Â  she eventually emailed me and asked i call her.Â  i have been able to make calls out with no problem.
bill has also had someone try calling him â€“ and later emailed asking him to call him because he canâ€™t get through with his land line number.
when i arrived this morning â€“ i had to reboot twice to get my computer to connect to the wifi.Â  it just would not connect.
bill also mentioned that during a meeting where he was connecting via teams in his office to our team in the boardroom â€“ he was having trouble staying connected on the wifiâ€¦it appeared that the connection kept dropping.
can someone have a look at both our wifi settings/connections and phone connections.
much thanks!
 Â  executive assistant to president &amp; ceo
suite 1005  10104 103 avenueÂ Â edmonton, ab  t5j 0h  cell: 
  www.maclabdevelopment.com
we have moved. please note our new address.</t>
  </si>
  <si>
    <t>update required for bank deposits</t>
  </si>
  <si>
    <t>hello
we are having issues with logging into the program so we can do our bank deposits, there was something sent to the system administrator that requires next to do this so we are able to do deposits, they are stating that an update must have been done as it will not allow us to have access to this anymore
please make this apriority so we can do a deposit today, i have included david as he is aware of what computer we do this on and could assist if need be
your immediate help is a greatly appreciated</t>
  </si>
  <si>
    <t>casl network down</t>
  </si>
  <si>
    <t>good morning team,
is someone able to troubleshoot our network connection issues asap?
weâ€™re running an aims trial on the floor this morning and need to be able to access rds.</t>
  </si>
  <si>
    <t>urgent ssl cert for rdgateway not working?</t>
  </si>
  <si>
    <t>the ssl cert for rdgateway is not working can we please get this updated asap. i canâ€™t logon. 
sent from my iphone
business process manager
t:       +
c:       +
f:       +
e:       
w:       www.siterg.com
#170, 120 pembina rd., sherwood park, ab, t8h 0m2</t>
  </si>
  <si>
    <t>my colleague  is getting this error when trying to use nexcenter. we reset her credentials and ensured they were entered correctly when prompted, however, she is still getting this error. please confirm nexcenter is configured on the rds servers and add both myself and samantha to this ticket.</t>
  </si>
  <si>
    <t>site resources - unable to call out on shortel</t>
  </si>
  <si>
    <t>hey dave,
i submitted a ticket can you see whats wrong?
business process manager
t:       +
c:       +
f:       +
e:       
w:       www.siterg.com
#170, 120 pembina rd., sherwood park, ab, t8h 0m2</t>
  </si>
  <si>
    <t>internal partner scan-to-email</t>
  </si>
  <si>
    <t>for internal
new printer for partners - scan to email isn't working as the ip needs to be added to our internal relay. also not sure if a static ip needs to be set for this printer. current ip is http:///
 no  
 some  
 work impacting</t>
  </si>
  <si>
    <t>- dzemua, evert - termination, august 31, 2020</t>
  </si>
  <si>
    <t>good afternoon,
please be advised that every dzemua has completed her practicum with us â€“ please see attached for details and let me know if you have any questions.</t>
  </si>
  <si>
    <t>security issue with control and rdss
control allows an operator to hop onto various rds sessions, this is by design and is very useful, however our implementation allows anyone who has access to control or automate to get into sessions that may be sensitive, such as carly's.  we need a solution that allows the normal session shadowing to continue for hd, especially for assistance, but protects anyone who may have sensitive information from voyeurism.
 no  
 everyone  
 work impacting</t>
  </si>
  <si>
    <t>unable to listen to voicemail through phone &amp; mitel communication system down</t>
  </si>
  <si>
    <t>hello,
christina sholter reached out to me this morning for support with listening to voicemail over the phone. i assisted her with enabling her pc speakers and Â listening through her laptop as an alternative and i think most of our staff are listening through their â€˜pc speakersâ€™ if they have them, however, there does seem to be an issue with our mitel communication system (587.525.608) is an alternate way for our staff to manage their mitel extension options and listen to voicemail, however, when dialed the auto attendant prompts you to enter your extension and then it says â€œplease hold while i route you to the correct systemâ€ and then disconnects the call.
can someone please look into these 2 items that may be related or individual issues:
1. unable to listen to voicemail through phone
cÂ Â Â Â  
12316-107 avenue, edmonton, ab  t5m 1z1
www.mhkinsurance.com
we're here to help with your insurance needs. emails       and phone calls are still encouraged. appointments are required for       in-office broker meetings. please wear a mask when       visiting.
mhk welcomes       e-transfer payments to banking@mhkinsurance.â€‰com.
if you       receive this email in error, please notify us by reply email and destroy       this message. mhk complies with canada's anti-spam and alberta's pipa       legislations. if you no longer wish to receive emails from mhk, please       reply with 'unsubscribe' in the subject   line.</t>
  </si>
  <si>
    <t>outlook certificate errors</t>
  </si>
  <si>
    <t>hello,
i received these errors when opening outlook this morning. do we need to do anything to avoid receiving these errors/comply? thanks!
corporate digital solutions
eÂ Â Â Â Â 
dÂ Â Â Â 587.6-107 avenue, edmonton, ab t5m 1z1
www.mhkinsurance.com
weâ€™re all here for you! email or phone us (no visits please).
mhk welcomes e-transfer payments 
if you receive this email in error, please notify us by reply email and destroy this message. mhk complies with canada's anti-spam and alberta's pipa legislations. if you no longer wish to receive emails from mhk, please reply with 'unsubscribe' in the subject line.</t>
  </si>
  <si>
    <t>ticket 73662521  www.carrysteel.com
business, the carry way
hi dave,
i do not have the up to date info for mnp to open a ticket for this.Â  are you able to forward the info for mnp?Â  i tried clicking on my old next digital support and it asks me to join with a code?</t>
  </si>
  <si>
    <t>a bunch of the sales people can not print from their tablets. i as well cannot print from the desktop in pre-owned.</t>
  </si>
  <si>
    <t>good morning!
there seems to be the usual issue happening with copitrak. we did not receive sunday, monday and todays statements. and the file numbers are not being displayed.
natalie sterz
receptionist
durocher simpson koehli &amp; erler llp
old strathcona law offices
7904 gateway boulevard
edmonton, ab t6e 6c (ph)
 (fax)</t>
  </si>
  <si>
    <t>nextdigital.ca main page not working.</t>
  </si>
  <si>
    <t>other  
404 when browsing to nextdigital.ca
the "submit a bug" feature is in the debugger. click the orange x in the title of the "your next ticket" module to load the debugger.  "submit a bug" is in the top row.  this is helpful as it automatically includes a massive snapshot of data that makes it easier to debug data issues.  
404 when browsing to nextdigital.ca</t>
  </si>
  <si>
    <t>re: td bank</t>
  </si>
  <si>
    <t>hello
it appears that we do need the assistance of next digital, i believe an update was done on our server and we are now having issues with logging in to use our remote deposit program with the td bank
please see attached from what kim received from the bank to assist you with getting this done
i have included david with this as he is fully aware as to what computer this is on and could possible assist as i believe he was the one who initially did this
please do make this a priority so we can do our banking
your immediate help is appreciated</t>
  </si>
  <si>
    <t>rds</t>
  </si>
  <si>
    <t>good morning,
when trying to open up e-mail on rds â€“ we are getting security alert message.
office administrator
 solutions ltd.
1604 â€“ 10 street, nisku, abÂ  t9e 0a
f: 
email: 
www.casltd.ca
disclaimer: this message contains information that may be privileged or confidential and is the property of  solutions ltd. or its subsidiaries. it is intended only for the person to whom it is addressed. if you are not the intended recipient, you are not authorised to read, print, retain, copy disseminate, distribute or use this message or any part thereof. if you receive this message in error, please notify the sender immediately and delete all copies of this message.</t>
  </si>
  <si>
    <t>dorota dziekan access - cancel asap - urgent</t>
  </si>
  <si>
    <t>good morning,
please cancel dorota dziekan access to all casl files and email effective immediately.
she is no longer employed with the company.
please grant me access to her email and Â all her folders/files saved in her documents/desktop.
we will appreciate your prompt response and action.</t>
  </si>
  <si>
    <t>internet connection</t>
  </si>
  <si>
    <t>good afternoon,
we have had painters in to do some work and it seems when they painted our boardroom the internet connection has been lost.Â  when trying to log in to the wifi it is saying no internet connection.</t>
  </si>
  <si>
    <t>hey team,
can someone please assist with the issue don and jack describe below?
don is a vip user.</t>
  </si>
  <si>
    <t>copitrak is down! help please if you are open over the weekend</t>
  </si>
  <si>
    <t>good morning,
our copitrak is down and print jobs, photocopies are not being recorded for costs.Â  we canâ€™t scan either with copitrak down.Â  is there anyway someone may be able to reset copitrak this weekend?Â  iâ€™m not sure if there are it working on the weekends.</t>
  </si>
  <si>
    <t>shoretel showing system unavailable</t>
  </si>
  <si>
    <t>hi dave,
we are having issues with our users being able to login to shoretel. they are receiving a system unavailable message. we rebooted the switches and calls are coming through however the agents are receiving login errors.
are you able to see any errors on the server side?</t>
  </si>
  <si>
    <t>copitrak down</t>
  </si>
  <si>
    <t>anastasiya horan
office administrator
durocher simpson koehli &amp; erler llp
old strathcona law offices
7904 gateway boulevard
edmonton, ab t6e 6c (ph)
 (fax)</t>
  </si>
  <si>
    <t>printer offline</t>
  </si>
  <si>
    <t>good morning,
my printer is offline and restarting the unit hasnâ€™t helped.</t>
  </si>
  <si>
    <t>calmont edmonton leasing - port forwarding</t>
  </si>
  <si>
    <t>hi,
at total comm, we support calmont leasingâ€™s pbx. iâ€™m writing to ask if the port forwarding for our rdp connection for calmont edmonton leasing is still in place.
calmont used to have the public ip  external tcp port 3394 forwarded to internal ip  on port tcp 3389 (regular rdp).
it was source ip locked to total comm public ip .
can you check to see if this is till in place? i was trying it and it doesnâ€™t seem to work anymore.</t>
  </si>
  <si>
    <t>urgent: netwrix subscription renewed</t>
  </si>
  <si>
    <t>hi mnp,
our netwrix subscription was supposed to renew october 3, which we signed off for. it looks like we are missing data in our reports from october Â 
cÂ Â Â Â  
12316-107 avenue, edmonton, ab  t5m 1z1
www.mhkinsurance.com
we're here to help with your insurance needs. emails       and phone calls are still encouraged. appointments are required for       in-office broker meetings. please wear a mask when       visiting.
mhk welcomes       e-transfer payments to banking@mhkinsurance.â€‰com.
if you       receive this email in error, please notify us by reply email and destroy       this message. mhk complies with canada's anti-spam and alberta's pipa       legislations. if you no longer wish to receive emails from mhk, please       reply with 'unsubscribe' in the subject   line.</t>
  </si>
  <si>
    <t>- add 20 gb to rds server</t>
  </si>
  <si>
    <t>add 20 gb to rds server
in reference to ticket 1292866 can you please add 20 gb of space to blue circle's rds03
 no  
 some  
 other  
303</t>
  </si>
  <si>
    <t>hello,
we are experiencing a failure to connect to ftp for our server web3, ip , hosted by rackspace.
the messaging i see in the filezilla client is:
status:Â Â Â Â Â Â Â Â Â Â Â Â  connecting to :14147...
status:Â Â Â Â Â Â Â Â Â Â Â Â  connection established, waiting for welcome message...
status:Â Â Â Â Â Â Â Â Â Â Â Â  initializing tls...
status:Â Â Â Â Â Â Â Â Â Â Â Â  verifying certificate...
status:Â Â Â Â Â Â Â Â Â Â Â Â  tls connection established.
status:Â Â Â Â Â Â Â Â Â Â Â Â  logged in
status:Â Â Â Â Â Â Â Â Â Â Â Â  retrieving directory listing...
command:Â Â Â Â  pwd
response:Â Â Â Â Â Â  257 "/" is current directory.
command:Â Â Â Â  type i
response:Â Â Â Â Â Â  200 type set to i
command:Â Â Â Â  pasv
response:Â Â Â Â Â Â  227 entering passive mode (50,57,5,75,194,172)
command:Â Â Â Â  mlsd
response:Â Â Â Â Â Â  150 opening data channel for directory listing of "/"
error:Â Â Â Â Â Â Â Â Â Â Â Â Â Â  gnutls error -18: an error was encountered at the tls finished packet calculation.
error:Â Â Â Â Â Â Â Â Â Â Â Â Â Â  the data connection could not be established: econnaborted - connection aborted
response:Â Â Â Â Â Â  426 connection closed; aborted transfer of "/"
error:Â Â Â Â Â Â Â Â Â Â Â Â Â Â  failed to retrieve directory listing
status:Â Â Â Â Â Â Â Â Â Â Â Â  connection closed by server
i am working from home, using a vpn to connect to our internal network. it is possible this is causing the issue. i am unable to test without the vpn, as i cannot get to the office at this time.
justin suttisÂ Â application analyst, information systems</t>
  </si>
  <si>
    <t>carya - expand drive
need to expand the c: drive on nc-carya-rds04.
 no  
 everyone  
 minor inconvenience</t>
  </si>
  <si>
    <t>upgrade our vmware usage meter</t>
  </si>
  <si>
    <t>i believe jerry may have done this last time. regardless we need to upgrade again.
partner
ph. +
14505 114th avenue nw
edmonton,       ab
t5m2y8
mnp.ca 
usage meter 4.3 is now available!
hey there!
we are reaching out to partners to let them know that a new usage meter version is available. usage meter 4.3 is a big update, because it brings product collector parity with usage meter 3.6.1! with 3.6.1 going end-of-life on march 31, 2021, vmware recommends that partners upgrade now.
if you'd like to know more about the um 4.3, take a look at theÂ blog post:
https://blogs.vmware.com/cloudprovider/2020/11/usage-meter-4-3-is-now-available.html
for partners that are running usage meter 4.x already, its even easier! download the upgrade file and perform an in-place upgrade. no need to replace the entire appliance!
partners on usage meter 3.6.x will need to deploy a new appliance but you can use the migration script built into the um 4.3 to automatically transfer your configuration!
please note:Â usage meter 4.xÂ requires partners to use the automatic reporting service called usage insight, as well asÂ signing up for the flex pricing model. check out the following videos to help you get started with both of those:
 automatic reporting video
 sign up for flex pricing model
if you have any questions about this, please email us at:</t>
  </si>
  <si>
    <t>- carya expand c:</t>
  </si>
  <si>
    <t>carya expand c:
the c: drive on nc-carya-rds05 needs to be expanded. unable to recover any space.
ticket 1313261
 no  
 everyone  
 work impacting</t>
  </si>
  <si>
    <t>earl - b drive access</t>
  </si>
  <si>
    <t>good morning,
can someone assist earl with getting back on the b drive????
please give him a call when you canâ€¦â€¦his number is:  (cell).</t>
  </si>
  <si>
    <t>emergency</t>
  </si>
  <si>
    <t>please blockÂ 
Â from our servers and all emails except matt miller.
sent from iphone.</t>
  </si>
  <si>
    <t>virtual machine has disk snapshots for a long time
ndedm-tel01 
ndedm-tel02
 no  
 some  
 work impacting</t>
  </si>
  <si>
    <t>need hosting info for drreidfriesen.com
need hosting info for drreidfriesen.com
see screen shot
 no  
 everyone  
 unable to work</t>
  </si>
  <si>
    <t>hi
please remove access to gabriela lockwood for the finance drive and all accounting drives.
if she is in a credit email group, please remove her from that as well.</t>
  </si>
  <si>
    <t>fw: computers showing black desktop, missing icons, garbled display, etc.</t>
  </si>
  <si>
    <t>for ticket creation, please see if helpdesk can assist with this. (see email chain below)
darryl burkhardt
field services technician
ph.Â +
14505 114th avenue nw
edmonton,       ab
t5m2y8
mnp.ca 
okay thanks for the information jeff.
this is going to require some deeper investigation and time, so i am going to forward this to our helpdesk to have a closer look. i have included a link below, including a few things that you can try, that may help to determine where the problem lies. feel free to try them out. i will send this to our helpdesk to investigate further.
https://www.windowscentral.com/how-fix-black-screen-problems-windows-10</t>
  </si>
  <si>
    <t>mike farhat - total-r  - rds02 c: drive expansion</t>
  </si>
  <si>
    <t>total-r  - rds02 c: drive expansion
-nc-totr-rds02 c: drive expansion by 30 gb
 no  
 everyone  
 work impacting</t>
  </si>
  <si>
    <t>attention dave, cas issues.</t>
  </si>
  <si>
    <t>hi dave,
our phones are displaying this message in the calgary office. can you please look into this.
helpdesk support
address vcardÂ Â 
t 
f 
400 â€“ 444 7 ave sw
calgary alberta t2p 0x8 Â Â Â Â  
fieldlaw.com
location, location, location: pursuant to the reopening plans in alberta and nwt, field law has implemented a phased return to our offices. our lawyers and staff are able to assist at our offices (with appropriate measures now in place), or by phone, video or email. as trusted business advisors, we care about the health and safety as well as the business needs of our clients and guests.
this message (including any attachments) is for the addressee(s) only and may contain information that is privileged, confidential or exempt from disclosure. if you have received this message in error please immediately notify the sender and delete this email message and any attachments.
"field law," the logo andÂ â€œbecause clarity mattersâ€ are registered trademarks of field llp.Â  "field law" is a registered trade name of field llp</t>
  </si>
  <si>
    <t>edge reminders messages go to junk mail</t>
  </si>
  <si>
    <t>hello mnp it,
could you please look into reasons why manyâ€¦majorityâ€¦ of our align edge reminders appointment reminder email messages are going to contacts â€œjunk mailâ€ folder.
are there any settings that we can change on our network, or is this exclusively with the ios and android users set up on their personal device?
many are saying that they tell their email to allow emails from , but every time they have an update, our emails go to their junk folders again. this is becoming an issue as patients are not receiving the reminders for attendance of their appointments and then no showing. this is wasting their time and our doctors time.</t>
  </si>
  <si>
    <t>telus - voip phone</t>
  </si>
  <si>
    <t>a ticket was going to be started with telus as to why our phones are still displaying the temporary numbers and have not been switched over to our vanity numbers. can you please provide me with an update on this?
*******************************
office coordinator
401-11010 142 st nw
edmonton, abÂ  t5n 2r</t>
  </si>
  <si>
    <t>cheque machine - connies computers</t>
  </si>
  <si>
    <t>i need to install the cheque scanning machine on connieâ€™s new computer..
we canâ€™t put money in the bank without it.
here are the instructions that the bank gave me.
i canâ€™t for the life of me figure it out.
i will email the credentials to get in to who ever gets assigned the ticket.
manager, finance
ph.Â +       ext 307
14505 114th avenue nw
edmonton,       ab
t5m2y8
mnp.ca</t>
  </si>
  <si>
    <t>callback on previous ticket 1286243</t>
  </si>
  <si>
    <t>paul kane hign school
david from st.albert public school facilities department called saying that the school is having issues with their after hours mailbox and that room 205 needs their extentioned moved to the library. there was a previous ticket that terry did for this (ticket</t>
  </si>
  <si>
    <t>difficulty installing software ms sql server maagement studio with azure data studio</t>
  </si>
  <si>
    <t>our software developer is trying to install the software on server name iris
i am adding @in a loop; you can talk to him directly for the install, whichever is needed
contact detail:
( ext:3190
amin hirji</t>
  </si>
  <si>
    <t>- expand/add 20 gb on server nc-scl-mail01 hard drive. opal approved</t>
  </si>
  <si>
    <t>expand/add 20 gb on server nc-scl-mail01 hard drive. opal approved
reference ticket: service ticket #1282362 - drv - free space remaining server &lt; 10 gb:3277937 - nc-scl-mail01 12048 d
approved by opal to expand the hard drive by 20 gb on the d drive on server: nc-scl-mail01 for skocdopole construction ltd
 no  
 one  
 other</t>
  </si>
  <si>
    <t>nc-dske-be01 - expand c: drive
the c: drive on nc-dske-be01 often gets alerts of low disk space. suggest expanding the drive by 20gb.
 no  
 everyone  
 work impacting</t>
  </si>
  <si>
    <t>nddc-fs02 - expand p: drive
the p: drive on nddc-fs02 has 46.0.
 no  
 everyone  
 work impacting</t>
  </si>
  <si>
    <t>blue circle ins. - nc-bci-db02\e: drive expansion
bci - nc-bci-db02\e: drive expansion by 35 gb
 no  
 everyone  
 work impacting</t>
  </si>
  <si>
    <t>online file sharing</t>
  </si>
  <si>
    <t>hi mnp team,
we are looking for a solution for being able to upload patient imaging files in an .stml file to other practices.
in the dental community, we have received files via hightail and dropbox.
what is your recommendations?
melody
*vacation alert: i will be away from 12:00pm on thursday september 24 â€“ monday september 28, 202
edmonton main: 780.463.514
www.alignortho.com</t>
  </si>
  <si>
    <t>printer issue - urgent</t>
  </si>
  <si>
    <t>hello!
our printer is reprinting the same document over and over. it has happened more than twenty times already this morning.</t>
  </si>
  <si>
    <t>nexsource email compromised</t>
  </si>
  <si>
    <t>good morning,
so far we know that the  email and the  emails are sending scam emails with an attachment to numerous people inside and outside of the organization. it is asking people to open the attachment and is providing them with a password to open it.
the emails from the jobs email even as â€˜thanks, sandyâ€™ on them, and i donâ€™t have such a signature set up.
we are very concerned and need this looked at asap.</t>
  </si>
  <si>
    <t>laptop status
inquiring on the status of my laptop delivery. need it for a hearing test session on nov. 17
 no  
 some  
 work impacting</t>
  </si>
  <si>
    <t>cea, expand p: drive
the p: drive on nc-cea-be02 needs to be expanded, they are a nc client.
 no  
 everyone  
 work impacting</t>
  </si>
  <si>
    <t>remote connection not working - breach attempts</t>
  </si>
  <si>
    <t>hello
i tried connecting remotely to our cloud this morning and got a message saying my account has been locked because of many login attempts or password change attempts. neither of those things has occurred unless somebody was trying to hack into the system.
please advise as to what can be done.</t>
  </si>
  <si>
    <t>fw: undelivered mail - untrusted ip</t>
  </si>
  <si>
    <t>justin wiebe
project specialist
ph.Â +
14505 114th avenue nw
edmonton,       ab
t5m2y8
mnp.ca 
hi there,
how do i get emails from kevin? it seems to be blocking them.
get outlook for android
this is an automated message from mail system at host 
message not delivered
your message could not be delivered to one or more recipients. the details are attached below. 
for further assistance, please contact your it administrator.
message details
failure reason:
&lt;&gt;: host mx1.emailsrvr.com said: 451 4.7.1 received too many messages from a new or untrusted ip:  (z27/4a256e9) (g28) (in reply to rcpt to command)
re: sage back up
2020-11-04t18:32:38.000z</t>
  </si>
  <si>
    <t>calgary office server fan going crazy
the calgary office server fan is increasing in intensity throughout the day.  it comes in waves but it is fairly consistently being "noticed" because of it's loud noise.  no amber lights or any warning indicators but the fans are going crazy.
not impacting anyone's performance, but could be an indicator of an issue.
 no  
 one  
 other</t>
  </si>
  <si>
    <t>baymag missing from screenconnect access
hello,
as of today, baymag is missing from screenconnect access.. this is our only way into this client environment and i have server updates to do tonight.. 
i'll be re-scheduling the updates, but need them restored as a company asap please.. as we cannot access any servers/pcs without this..
 no  
 everyone  
 unable to work</t>
  </si>
  <si>
    <t>fw: monitor request</t>
  </si>
  <si>
    <t>hi curtis,
can you provide me a quote for a monitor? thanks
m.luizacoelho e ext 132
9321 jasper avenue, edmonton ab t5h 3t7
e4calberta.org</t>
  </si>
  <si>
    <t>hello,
i need help with the installation of argus developer. it is not letting me complete the installation. can you please assist with this?</t>
  </si>
  <si>
    <t>rds connection on work computer
i asm in the alex taylor office and need to login to my desktop rds  (am i able to be logged in on my laptop and my desktop at the same time?  please call me on my cell at 780-913-566</t>
  </si>
  <si>
    <t>hi randy,
i have sent this request to our support team. in the future, please email 
they have been ccâ€™d on this email for your reference.</t>
  </si>
  <si>
    <t>- bobcat manuals (m:) from account</t>
  </si>
  <si>
    <t>hi
could you please remove the below drive from my computer.
i donâ€™t even know why i have this.</t>
  </si>
  <si>
    <t>somethings wrong with pulse vet server updates
hey, so it glue reports no new scheduled server updates  since november and we somehow got automatic notifications this past weekend at about 3 am that they were happening which was after they reported multiple outage events afterhours.  somethings goody here and we need to get this onto/back onto a proper schedule or fix the automation, whichever the problem actually lies with please.
 no  
 some  
 work impacting</t>
  </si>
  <si>
    <t>urgent: ckerrigan sage</t>
  </si>
  <si>
    <t>can you please reset the password for: ckerrigan
the password should be: zybertech$
please reset this password for sage immediately
business process manager
t:       +
c:       +
f:       +
e:       
w:       www.siterg.com
#170, 120 pembina rd., sherwood park, ab, t8h 0m2</t>
  </si>
  <si>
    <t>old webstore error</t>
  </si>
  <si>
    <t>james armitage
senior support specialist
ph.Â +
14505 114th avenue nw
edmonton,       ab
t5m2y8
mnp.ca 
this isnâ€™t working again. please see attachment for error. can we get this back up and running today? need to access something from there please.
jacqui
hi jacqui,
sorry for the delay, i missed this message over the break. a fix was put in place on the 30th of november.</t>
  </si>
  <si>
    <t>new desktop image for all mhk servers</t>
  </si>
  <si>
    <t>mnp,
as we do each january, please make the attached image the new desktop image for all servers.</t>
  </si>
  <si>
    <t>baymag - replacement qnap hdd for exsnas2</t>
  </si>
  <si>
    <t>baymag
 the primary contact in connectwise  
exshaw plant
1346423
 next digital calgary  
wed 10 feb, 2021  
1 x wd red 4 tb nas hdd (replacing defective qnap hdd, same model, s/n# wcc4e4jp3xu1</t>
  </si>
  <si>
    <t>please add 1 license for office 365 e3 for a new user larry hansen</t>
  </si>
  <si>
    <t>1347040
 add licenses  
 office 365 e3  
1</t>
  </si>
  <si>
    <t>new 365 license for</t>
  </si>
  <si>
    <t>1321560
 add licenses  
 microsoft 365 apps for business  
1</t>
  </si>
  <si>
    <t>3 office 365 e3 licenses for</t>
  </si>
  <si>
    <t>1345818
 add licenses  
 office 365 e3  
3
joscelyne rivard, nursing station and nursing station2</t>
  </si>
  <si>
    <t>price, kate - new hire, january 18, 2021</t>
  </si>
  <si>
    <t>good afternoon,
please be advised that we have kate price, director of philanthropy and community relations, who will be starting on monday, january 18, 2021.
please review the attached form to set-up her access rightsas soon as possible. you will notice that the format of our new hire form is slightly different than what we used to send out. we are trying this format for efficiency and consistency on our end; however it contains that same information needed to set-up a new hire in the system. Â if there are any discrepancies, please let us know and we will adjust our form to ensure we provide the necessary details for you.
lastly, once her credentials to carya email/cloud are ready, please let me know (please usec@rya202  e:  f: 
180, 839 5 ave sw  calgary, ab  t2p 3c8
carya (formerly calgary family services)
we are working remotely to help calgarians through the covid-19 pandemic. please reach out to us if you need support.carya is here for you.
in the spirit of our efforts to promote reconciliation, we acknowledge the traditional territories and oral practices of the blackfoot, the tsuut'ina, the stoney nakoda first nations, the mÃ©tis nation region 3, and all people who make their homes in the treaty 7 region of southern alberta. we also respectfully acknowledge that the province of alberta is comprised of treaty 6, treaty 7, and treaty  during business hours (monday-friday, 8:30am-4:3) and in case of an emergency dial 911.
this e-mail is intended solely for the person or entity to which it is addressed and may contain confidential and/or privileged information. any review, dissemination, copying, printing, forwarding or other use of this e-mail by persons or entities other than the addressee is prohibited. if you have received this e-mail in error, please contact the sender immediately and delete the material from your computer.</t>
  </si>
  <si>
    <t>email lists</t>
  </si>
  <si>
    <t>hello,
i would like to review all of the current email lists in use for the @pulseveterinary.ca email.Â  can someone please provide a summary of the individuals included in each list?</t>
  </si>
  <si>
    <t>3 x ec license</t>
  </si>
  <si>
    <t>pilgrims hospice
1345818
 add licenses  
 office 365 e3  
2</t>
  </si>
  <si>
    <t>hi. i am no longer able to print from my computer. print jobs just queue, but donâ€™t print.</t>
  </si>
  <si>
    <t>hi,
can you add michael rose (mrose@nationalneon) to the  distribution list?</t>
  </si>
  <si>
    <t>password change issue
my password expires today, but the vpn won't let me connect to change my password
 no  
 one  
 work impacting  
 or on teams</t>
  </si>
  <si>
    <t>tickets stuck in unset
still having issues with this every now and again, we try to check 2-3 times per day to keep them from being forgotten about but i was wondering if there was a way we could permanently fix this? seems to be very sporadic, happens pretty randomly. i just started writing these down so i'll send more ticket numbers as it occurs more.
tickets stuck yesterday:
#1345208
 yes  
 everyone  
 work impacting</t>
  </si>
  <si>
    <t>vpn</t>
  </si>
  <si>
    <t>good morning,
i cant sign into our vpn i keep getting a message saying â€œunable to establish the vpn connection. the vpn server may be unreachable (-14)â€ everyone else in my department is able to sign in.
sally sheldrake, crsp, ncso, mso cor audit analyst
225 parsons road sw Â edmonton abÂ Â t6x 0w ext. 182 Â tfÂ )
www.youracsa.ca</t>
  </si>
  <si>
    <t>hey guys
iâ€™m at metis crossing and this is where, my wi-fi, or something is not connecting
, disaster recovery strategist
mcmurray mÃ©tis (mna local 1935)
441 sakitawaw trail
fort mcmurray, ab t9h 4p
office:
email:
facebook:www.facebook.com/mcmurraymetis
twitter:www.twitter.com/mcmurraymetis
website:www.mcmurraymetis.org
pplease consider the environment before printing this email.
this message contains confidential information and is intended only for the named addressees.
if you believe that you received this email in error please notify the original sender and delete all copies.</t>
  </si>
  <si>
    <t>sterling place - two electrical panels replacement</t>
  </si>
  <si>
    <t>ben,
iâ€™m not sure how this will affect our servicesâ€¦..i have copied the helpdesk.
nora
good morning,
please see attached important memo and kindly ensure to inform all staff.</t>
  </si>
  <si>
    <t>fw: hewes business color printer m452 - replacement quote</t>
  </si>
  <si>
    <t>replacement sku w1y44a#bgj
lance molnar
field services technician
ph.Â +
14505 114th avenue nw
edmonton, ab
t5m2y8
mnp.ca
hi lance,
i just received confirmation from neil at asktech, our printer service technician. he has been trying to replace the duplexing unit on the hewes business color printer m5 114th avenue nw
edmonton, ab
t5m2y8
mnp.ca</t>
  </si>
  <si>
    <t>- reset password for extension 350</t>
  </si>
  <si>
    <t>can you please reset the password for kyle perea, extension 35  Â  www.lexusofedmonton.ca
 family member since 2014</t>
  </si>
  <si>
    <t>adobe keeps asking me to sign in
i'm having issues using adobe. it won't stay open and it keeps asking me to sign in
 no  
 one  
 work impacting</t>
  </si>
  <si>
    <t>fw: migrating vidistar to main server</t>
  </si>
  <si>
    <t>hi faizel,
here is the last email i had between jordan and lyndon.</t>
  </si>
  <si>
    <t>hi curt,
iâ€™ve just sent you a request for a quote.Â  i wansâ€™t sure who to ask about this but thought i should forward this ominous sophos email to you as well.
i am not sure if i need sophos going forward.Â  could you let me know if i do need to renew it and why the updates arenâ€™t coming through as the e-mail indicates?
also, i am not clear whether i need to renew my annual microsoft licence or whether that is done through mnp next digital.Â  could you let me know?</t>
  </si>
  <si>
    <t>out of office for coo and cfo</t>
  </si>
  <si>
    <t>hello it,
both linda tickner and carolyn frew are off on extended leaves.Â  we would like to update what they have put on their out of office reply.Â  is that possible?
please change the out of office reply for each staff noted below to:
for linda tickner</t>
  </si>
  <si>
    <t>i recently purchased a new cell phone (samsung) and moved 99% of my items over.Â  but i need to put in my password for my office e-mail account and it is not accepting what i am offering.Â  i tried the â€œforgot passwordâ€ function but it tells me that i am not allowed to do this.
can you please help?</t>
  </si>
  <si>
    <t>SR_Impact_RecID</t>
  </si>
  <si>
    <t>SR_Severity_RecID</t>
  </si>
  <si>
    <t>SR_Board_RecID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</si>
</sst>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applyAlignment="1">
      <alignment wrapText="1"/>
    </xf>
    <xf numFmtId="22" fontId="0" fillId="0" borderId="0" xfId="0" applyNumberFormat="1"/>
    <xf numFmtId="0" fontId="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2.xml"/><Relationship Id="rId4" Type="http://schemas.openxmlformats.org/officeDocument/2006/relationships/externalLink" Target="externalLinks/externalLink1.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required"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urgent"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quired"/>
    </sheetNames>
    <definedNames>
      <definedName name="nursing"/>
    </defined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rgent"/>
    </sheetNames>
    <definedNames>
      <definedName name="please"/>
    </defined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3D7170-F77C-42DE-8B2A-768ACC51F634}">
  <dimension ref="A1:J1998"/>
  <sheetViews>
    <sheetView tabSelected="1" workbookViewId="0">
      <selection activeCell="G4" sqref="G4"/>
    </sheetView>
  </sheetViews>
  <sheetFormatPr defaultRowHeight="12.75" customHeight="1" x14ac:dyDescent="0.3"/>
  <cols>
    <col min="1" max="1" width="9.33203125" bestFit="1" customWidth="1"/>
    <col min="2" max="2" width="16.88671875" customWidth="1"/>
    <col min="3" max="3" width="12.6640625" customWidth="1"/>
    <col min="4" max="4" width="26.5546875" customWidth="1"/>
    <col min="5" max="5" width="37.109375" customWidth="1"/>
    <col min="6" max="8" width="15.5546875" customWidth="1"/>
    <col min="9" max="9" width="15.5546875" bestFit="1" customWidth="1"/>
    <col min="10" max="10" width="15.88671875" bestFit="1" customWidth="1"/>
  </cols>
  <sheetData>
    <row r="1" spans="1:10" s="3" customFormat="1" ht="12.75" customHeight="1" x14ac:dyDescent="0.3">
      <c r="A1" s="3" t="s">
        <v>0</v>
      </c>
      <c r="B1" s="3" t="s">
        <v>1</v>
      </c>
      <c r="C1" s="3" t="s">
        <v>2</v>
      </c>
      <c r="D1" s="3" t="s">
        <v>3</v>
      </c>
      <c r="E1" s="3" t="s">
        <v>4</v>
      </c>
      <c r="F1" s="3" t="s">
        <v>7150</v>
      </c>
      <c r="G1" s="3" t="s">
        <v>7151</v>
      </c>
      <c r="H1" s="3" t="s">
        <v>7152</v>
      </c>
      <c r="I1" s="3" t="s">
        <v>5</v>
      </c>
      <c r="J1" s="3" t="s">
        <v>6</v>
      </c>
    </row>
    <row r="2" spans="1:10" ht="12.75" customHeight="1" x14ac:dyDescent="0.3">
      <c r="A2">
        <v>1367437</v>
      </c>
      <c r="B2" t="s">
        <v>7</v>
      </c>
      <c r="C2" t="s">
        <v>8</v>
      </c>
      <c r="D2" t="s">
        <v>9</v>
      </c>
      <c r="E2" s="1" t="s">
        <v>10</v>
      </c>
      <c r="F2">
        <f>VLOOKUP(A2,Classifications!$A:$E,5,FALSE)</f>
        <v>1</v>
      </c>
      <c r="G2">
        <f>VLOOKUP(A2,Classifications!$A:$F,6,FALSE)</f>
        <v>3</v>
      </c>
      <c r="H2">
        <f>VLOOKUP(A2,Classifications!$A:$G,7,FALSE)</f>
        <v>41</v>
      </c>
      <c r="I2" t="s">
        <v>11</v>
      </c>
      <c r="J2" s="2">
        <v>44249.338310185187</v>
      </c>
    </row>
    <row r="3" spans="1:10" ht="12.75" customHeight="1" x14ac:dyDescent="0.3">
      <c r="A3">
        <v>1367056</v>
      </c>
      <c r="B3" t="s">
        <v>12</v>
      </c>
      <c r="C3" t="s">
        <v>13</v>
      </c>
      <c r="D3" t="s">
        <v>14</v>
      </c>
      <c r="E3" s="1" t="s">
        <v>15</v>
      </c>
      <c r="F3">
        <f>VLOOKUP(A3,Classifications!$A:$E,5,FALSE)</f>
        <v>1</v>
      </c>
      <c r="G3">
        <f>VLOOKUP(A3,Classifications!$A:$F,6,FALSE)</f>
        <v>2</v>
      </c>
      <c r="H3">
        <f>VLOOKUP(A3,Classifications!$A:$G,7,FALSE)</f>
        <v>41</v>
      </c>
      <c r="I3" t="s">
        <v>11</v>
      </c>
      <c r="J3" s="2">
        <v>44248.442199074074</v>
      </c>
    </row>
    <row r="4" spans="1:10" ht="12.75" customHeight="1" x14ac:dyDescent="0.3">
      <c r="A4">
        <v>1366390</v>
      </c>
      <c r="B4" t="s">
        <v>16</v>
      </c>
      <c r="C4" t="s">
        <v>17</v>
      </c>
      <c r="D4" t="s">
        <v>18</v>
      </c>
      <c r="E4" s="1" t="s">
        <v>19</v>
      </c>
      <c r="F4">
        <f>VLOOKUP(A4,Classifications!$A:$E,5,FALSE)</f>
        <v>1</v>
      </c>
      <c r="G4">
        <f>VLOOKUP(A4,Classifications!$A:$F,6,FALSE)</f>
        <v>3</v>
      </c>
      <c r="H4">
        <f>VLOOKUP(A4,Classifications!$A:$G,7,FALSE)</f>
        <v>41</v>
      </c>
      <c r="I4" t="s">
        <v>11</v>
      </c>
      <c r="J4" s="2">
        <v>44246.899259259262</v>
      </c>
    </row>
    <row r="5" spans="1:10" ht="12.75" customHeight="1" x14ac:dyDescent="0.3">
      <c r="A5">
        <v>1366274</v>
      </c>
      <c r="B5" t="s">
        <v>20</v>
      </c>
      <c r="C5" t="s">
        <v>21</v>
      </c>
      <c r="D5" t="s">
        <v>22</v>
      </c>
      <c r="E5" s="1" t="s">
        <v>23</v>
      </c>
      <c r="F5">
        <f>VLOOKUP(A5,Classifications!$A:$E,5,FALSE)</f>
        <v>1</v>
      </c>
      <c r="G5">
        <f>VLOOKUP(A5,Classifications!$A:$F,6,FALSE)</f>
        <v>2</v>
      </c>
      <c r="H5">
        <f>VLOOKUP(A5,Classifications!$A:$G,7,FALSE)</f>
        <v>41</v>
      </c>
      <c r="I5" t="s">
        <v>24</v>
      </c>
      <c r="J5" s="2">
        <v>44246.7340625</v>
      </c>
    </row>
    <row r="6" spans="1:10" ht="12.75" customHeight="1" x14ac:dyDescent="0.3">
      <c r="A6">
        <v>1366248</v>
      </c>
      <c r="B6" t="s">
        <v>25</v>
      </c>
      <c r="C6" t="s">
        <v>26</v>
      </c>
      <c r="D6" t="s">
        <v>27</v>
      </c>
      <c r="E6" s="1" t="s">
        <v>28</v>
      </c>
      <c r="F6">
        <f>VLOOKUP(A6,Classifications!$A:$E,5,FALSE)</f>
        <v>1</v>
      </c>
      <c r="G6">
        <f>VLOOKUP(A6,Classifications!$A:$F,6,FALSE)</f>
        <v>3</v>
      </c>
      <c r="H6">
        <f>VLOOKUP(A6,Classifications!$A:$G,7,FALSE)</f>
        <v>41</v>
      </c>
      <c r="I6" t="s">
        <v>11</v>
      </c>
      <c r="J6" s="2">
        <v>44246.691631944443</v>
      </c>
    </row>
    <row r="7" spans="1:10" ht="12.75" customHeight="1" x14ac:dyDescent="0.3">
      <c r="A7">
        <v>1366241</v>
      </c>
      <c r="B7" t="s">
        <v>16</v>
      </c>
      <c r="C7" t="s">
        <v>29</v>
      </c>
      <c r="D7" t="s">
        <v>30</v>
      </c>
      <c r="E7" s="1" t="s">
        <v>31</v>
      </c>
      <c r="F7">
        <f>VLOOKUP(A7,Classifications!$A:$E,5,FALSE)</f>
        <v>1</v>
      </c>
      <c r="G7">
        <f>VLOOKUP(A7,Classifications!$A:$F,6,FALSE)</f>
        <v>2</v>
      </c>
      <c r="H7">
        <f>VLOOKUP(A7,Classifications!$A:$G,7,FALSE)</f>
        <v>43</v>
      </c>
      <c r="I7" t="s">
        <v>11</v>
      </c>
      <c r="J7" s="2">
        <v>44246.666527777779</v>
      </c>
    </row>
    <row r="8" spans="1:10" ht="12.75" customHeight="1" x14ac:dyDescent="0.3">
      <c r="A8">
        <v>1366222</v>
      </c>
      <c r="B8" t="s">
        <v>32</v>
      </c>
      <c r="C8" t="s">
        <v>33</v>
      </c>
      <c r="D8" t="s">
        <v>34</v>
      </c>
      <c r="E8" s="1" t="s">
        <v>35</v>
      </c>
      <c r="F8">
        <f>VLOOKUP(A8,Classifications!$A:$E,5,FALSE)</f>
        <v>1</v>
      </c>
      <c r="G8">
        <f>VLOOKUP(A8,Classifications!$A:$F,6,FALSE)</f>
        <v>1</v>
      </c>
      <c r="H8">
        <f>VLOOKUP(A8,Classifications!$A:$G,7,FALSE)</f>
        <v>43</v>
      </c>
      <c r="I8" t="s">
        <v>11</v>
      </c>
      <c r="J8" s="2">
        <v>44246.60528935185</v>
      </c>
    </row>
    <row r="9" spans="1:10" ht="12.75" customHeight="1" x14ac:dyDescent="0.3">
      <c r="A9">
        <v>1366198</v>
      </c>
      <c r="B9" t="s">
        <v>36</v>
      </c>
      <c r="C9" t="s">
        <v>37</v>
      </c>
      <c r="D9" t="s">
        <v>38</v>
      </c>
      <c r="E9" s="1" t="s">
        <v>39</v>
      </c>
      <c r="F9">
        <f>VLOOKUP(A9,Classifications!$A:$E,5,FALSE)</f>
        <v>1</v>
      </c>
      <c r="G9">
        <f>VLOOKUP(A9,Classifications!$A:$F,6,FALSE)</f>
        <v>2</v>
      </c>
      <c r="H9">
        <f>VLOOKUP(A9,Classifications!$A:$G,7,FALSE)</f>
        <v>41</v>
      </c>
      <c r="I9" t="s">
        <v>11</v>
      </c>
      <c r="J9" s="2">
        <v>44246.533715277779</v>
      </c>
    </row>
    <row r="10" spans="1:10" ht="12.75" customHeight="1" x14ac:dyDescent="0.3">
      <c r="A10">
        <v>1366182</v>
      </c>
      <c r="B10" t="s">
        <v>7</v>
      </c>
      <c r="C10" t="s">
        <v>40</v>
      </c>
      <c r="D10" t="s">
        <v>41</v>
      </c>
      <c r="E10" s="1" t="s">
        <v>42</v>
      </c>
      <c r="F10">
        <f>VLOOKUP(A10,Classifications!$A:$E,5,FALSE)</f>
        <v>1</v>
      </c>
      <c r="G10">
        <f>VLOOKUP(A10,Classifications!$A:$F,6,FALSE)</f>
        <v>2</v>
      </c>
      <c r="H10">
        <f>VLOOKUP(A10,Classifications!$A:$G,7,FALSE)</f>
        <v>43</v>
      </c>
      <c r="I10" t="s">
        <v>24</v>
      </c>
      <c r="J10" s="2">
        <v>44246.486701388887</v>
      </c>
    </row>
    <row r="11" spans="1:10" ht="12.75" customHeight="1" x14ac:dyDescent="0.3">
      <c r="A11">
        <v>1366178</v>
      </c>
      <c r="B11" t="s">
        <v>7</v>
      </c>
      <c r="C11" t="s">
        <v>40</v>
      </c>
      <c r="D11" t="s">
        <v>43</v>
      </c>
      <c r="E11" s="1" t="s">
        <v>44</v>
      </c>
      <c r="F11">
        <f>VLOOKUP(A11,Classifications!$A:$E,5,FALSE)</f>
        <v>1</v>
      </c>
      <c r="G11">
        <f>VLOOKUP(A11,Classifications!$A:$F,6,FALSE)</f>
        <v>2</v>
      </c>
      <c r="H11">
        <f>VLOOKUP(A11,Classifications!$A:$G,7,FALSE)</f>
        <v>43</v>
      </c>
      <c r="I11" t="s">
        <v>24</v>
      </c>
      <c r="J11" s="2">
        <v>44246.477488425924</v>
      </c>
    </row>
    <row r="12" spans="1:10" ht="12.75" customHeight="1" x14ac:dyDescent="0.3">
      <c r="A12">
        <v>1366172</v>
      </c>
      <c r="B12" t="s">
        <v>45</v>
      </c>
      <c r="C12" t="s">
        <v>46</v>
      </c>
      <c r="D12" t="s">
        <v>47</v>
      </c>
      <c r="E12" s="1" t="s">
        <v>48</v>
      </c>
      <c r="F12">
        <f>VLOOKUP(A12,Classifications!$A:$E,5,FALSE)</f>
        <v>1</v>
      </c>
      <c r="G12">
        <f>VLOOKUP(A12,Classifications!$A:$F,6,FALSE)</f>
        <v>1</v>
      </c>
      <c r="H12">
        <f>VLOOKUP(A12,Classifications!$A:$G,7,FALSE)</f>
        <v>43</v>
      </c>
      <c r="I12" t="s">
        <v>11</v>
      </c>
      <c r="J12" s="2">
        <v>44246.46398148148</v>
      </c>
    </row>
    <row r="13" spans="1:10" ht="12.75" customHeight="1" x14ac:dyDescent="0.3">
      <c r="A13">
        <v>1366166</v>
      </c>
      <c r="B13" t="s">
        <v>49</v>
      </c>
      <c r="C13" t="s">
        <v>50</v>
      </c>
      <c r="D13" t="s">
        <v>51</v>
      </c>
      <c r="E13" s="1" t="s">
        <v>52</v>
      </c>
      <c r="F13">
        <f>VLOOKUP(A13,Classifications!$A:$E,5,FALSE)</f>
        <v>1</v>
      </c>
      <c r="G13">
        <f>VLOOKUP(A13,Classifications!$A:$F,6,FALSE)</f>
        <v>3</v>
      </c>
      <c r="H13">
        <f>VLOOKUP(A13,Classifications!$A:$G,7,FALSE)</f>
        <v>36</v>
      </c>
      <c r="I13" t="s">
        <v>11</v>
      </c>
      <c r="J13" s="2">
        <v>44246.450879629629</v>
      </c>
    </row>
    <row r="14" spans="1:10" ht="12.75" customHeight="1" x14ac:dyDescent="0.3">
      <c r="A14">
        <v>1366148</v>
      </c>
      <c r="B14" t="s">
        <v>53</v>
      </c>
      <c r="C14" t="s">
        <v>54</v>
      </c>
      <c r="D14" t="s">
        <v>55</v>
      </c>
      <c r="E14" s="1" t="s">
        <v>56</v>
      </c>
      <c r="F14">
        <f>VLOOKUP(A14,Classifications!$A:$E,5,FALSE)</f>
        <v>1</v>
      </c>
      <c r="G14">
        <f>VLOOKUP(A14,Classifications!$A:$F,6,FALSE)</f>
        <v>1</v>
      </c>
      <c r="H14">
        <f>VLOOKUP(A14,Classifications!$A:$G,7,FALSE)</f>
        <v>43</v>
      </c>
      <c r="I14" t="s">
        <v>11</v>
      </c>
      <c r="J14" s="2">
        <v>44246.425081018519</v>
      </c>
    </row>
    <row r="15" spans="1:10" ht="12.75" customHeight="1" x14ac:dyDescent="0.3">
      <c r="A15">
        <v>1366144</v>
      </c>
      <c r="B15" t="s">
        <v>20</v>
      </c>
      <c r="C15" t="s">
        <v>57</v>
      </c>
      <c r="D15" t="s">
        <v>58</v>
      </c>
      <c r="E15" s="1" t="s">
        <v>59</v>
      </c>
      <c r="F15">
        <f>VLOOKUP(A15,Classifications!$A:$E,5,FALSE)</f>
        <v>1</v>
      </c>
      <c r="G15">
        <f>VLOOKUP(A15,Classifications!$A:$F,6,FALSE)</f>
        <v>1</v>
      </c>
      <c r="H15">
        <f>VLOOKUP(A15,Classifications!$A:$G,7,FALSE)</f>
        <v>43</v>
      </c>
      <c r="I15" t="s">
        <v>11</v>
      </c>
      <c r="J15" s="2">
        <v>44246.420613425929</v>
      </c>
    </row>
    <row r="16" spans="1:10" ht="12.75" customHeight="1" x14ac:dyDescent="0.3">
      <c r="A16">
        <v>1366141</v>
      </c>
      <c r="B16" t="s">
        <v>53</v>
      </c>
      <c r="C16" t="s">
        <v>60</v>
      </c>
      <c r="D16" t="s">
        <v>61</v>
      </c>
      <c r="E16" s="1" t="s">
        <v>62</v>
      </c>
      <c r="F16">
        <f>VLOOKUP(A16,Classifications!$A:$E,5,FALSE)</f>
        <v>2</v>
      </c>
      <c r="G16">
        <f>VLOOKUP(A16,Classifications!$A:$F,6,FALSE)</f>
        <v>2</v>
      </c>
      <c r="H16">
        <f>VLOOKUP(A16,Classifications!$A:$G,7,FALSE)</f>
        <v>43</v>
      </c>
      <c r="I16" t="s">
        <v>11</v>
      </c>
      <c r="J16" s="2">
        <v>44246.419756944444</v>
      </c>
    </row>
    <row r="17" spans="1:10" ht="12.75" customHeight="1" x14ac:dyDescent="0.3">
      <c r="A17">
        <v>1366114</v>
      </c>
      <c r="B17" t="s">
        <v>63</v>
      </c>
      <c r="C17" t="s">
        <v>64</v>
      </c>
      <c r="D17" t="s">
        <v>65</v>
      </c>
      <c r="E17" s="1" t="s">
        <v>66</v>
      </c>
      <c r="F17">
        <f>VLOOKUP(A17,Classifications!$A:$E,5,FALSE)</f>
        <v>1</v>
      </c>
      <c r="G17">
        <f>VLOOKUP(A17,Classifications!$A:$F,6,FALSE)</f>
        <v>3</v>
      </c>
      <c r="H17">
        <f>VLOOKUP(A17,Classifications!$A:$G,7,FALSE)</f>
        <v>41</v>
      </c>
      <c r="I17" t="s">
        <v>11</v>
      </c>
      <c r="J17" s="2">
        <v>44246.413946759261</v>
      </c>
    </row>
    <row r="18" spans="1:10" ht="12.75" customHeight="1" x14ac:dyDescent="0.3">
      <c r="A18">
        <v>1366110</v>
      </c>
      <c r="B18" t="s">
        <v>36</v>
      </c>
      <c r="C18" t="s">
        <v>67</v>
      </c>
      <c r="D18" t="s">
        <v>68</v>
      </c>
      <c r="E18" s="1" t="s">
        <v>69</v>
      </c>
      <c r="F18">
        <f>VLOOKUP(A18,Classifications!$A:$E,5,FALSE)</f>
        <v>2</v>
      </c>
      <c r="G18">
        <f>VLOOKUP(A18,Classifications!$A:$F,6,FALSE)</f>
        <v>2</v>
      </c>
      <c r="H18">
        <f>VLOOKUP(A18,Classifications!$A:$G,7,FALSE)</f>
        <v>43</v>
      </c>
      <c r="I18" t="s">
        <v>24</v>
      </c>
      <c r="J18" s="2">
        <v>44246.409270833334</v>
      </c>
    </row>
    <row r="19" spans="1:10" ht="12.75" customHeight="1" x14ac:dyDescent="0.3">
      <c r="A19">
        <v>1366086</v>
      </c>
      <c r="B19" t="s">
        <v>70</v>
      </c>
      <c r="C19" t="s">
        <v>71</v>
      </c>
      <c r="D19" t="s">
        <v>72</v>
      </c>
      <c r="E19" s="1" t="s">
        <v>73</v>
      </c>
      <c r="F19">
        <f>VLOOKUP(A19,Classifications!$A:$E,5,FALSE)</f>
        <v>1</v>
      </c>
      <c r="G19">
        <f>VLOOKUP(A19,Classifications!$A:$F,6,FALSE)</f>
        <v>1</v>
      </c>
      <c r="H19">
        <f>VLOOKUP(A19,Classifications!$A:$G,7,FALSE)</f>
        <v>43</v>
      </c>
      <c r="I19" t="s">
        <v>11</v>
      </c>
      <c r="J19" s="2">
        <v>44246.365162037036</v>
      </c>
    </row>
    <row r="20" spans="1:10" ht="12.75" customHeight="1" x14ac:dyDescent="0.3">
      <c r="A20">
        <v>1366078</v>
      </c>
      <c r="B20" t="s">
        <v>74</v>
      </c>
      <c r="C20" t="s">
        <v>75</v>
      </c>
      <c r="D20" t="s">
        <v>76</v>
      </c>
      <c r="E20" s="1" t="s">
        <v>77</v>
      </c>
      <c r="F20">
        <f>VLOOKUP(A20,Classifications!$A:$E,5,FALSE)</f>
        <v>2</v>
      </c>
      <c r="G20">
        <f>VLOOKUP(A20,Classifications!$A:$F,6,FALSE)</f>
        <v>2</v>
      </c>
      <c r="H20">
        <f>VLOOKUP(A20,Classifications!$A:$G,7,FALSE)</f>
        <v>43</v>
      </c>
      <c r="I20" t="s">
        <v>11</v>
      </c>
      <c r="J20" s="2">
        <v>44246.347696759258</v>
      </c>
    </row>
    <row r="21" spans="1:10" ht="12.75" customHeight="1" x14ac:dyDescent="0.3">
      <c r="A21">
        <v>1365764</v>
      </c>
      <c r="B21" t="s">
        <v>20</v>
      </c>
      <c r="C21" t="s">
        <v>78</v>
      </c>
      <c r="D21" t="s">
        <v>79</v>
      </c>
      <c r="E21" s="1" t="s">
        <v>80</v>
      </c>
      <c r="F21">
        <f>VLOOKUP(A21,Classifications!$A:$E,5,FALSE)</f>
        <v>1</v>
      </c>
      <c r="G21">
        <f>VLOOKUP(A21,Classifications!$A:$F,6,FALSE)</f>
        <v>3</v>
      </c>
      <c r="H21">
        <f>VLOOKUP(A21,Classifications!$A:$G,7,FALSE)</f>
        <v>41</v>
      </c>
      <c r="I21" t="s">
        <v>24</v>
      </c>
      <c r="J21" s="2">
        <v>44245.764317129629</v>
      </c>
    </row>
    <row r="22" spans="1:10" ht="12.75" customHeight="1" x14ac:dyDescent="0.3">
      <c r="A22">
        <v>1365703</v>
      </c>
      <c r="B22" t="s">
        <v>20</v>
      </c>
      <c r="C22" t="s">
        <v>81</v>
      </c>
      <c r="D22" t="s">
        <v>82</v>
      </c>
      <c r="E22" s="1" t="s">
        <v>83</v>
      </c>
      <c r="F22">
        <f>VLOOKUP(A22,Classifications!$A:$E,5,FALSE)</f>
        <v>1</v>
      </c>
      <c r="G22">
        <f>VLOOKUP(A22,Classifications!$A:$F,6,FALSE)</f>
        <v>2</v>
      </c>
      <c r="H22">
        <f>VLOOKUP(A22,Classifications!$A:$G,7,FALSE)</f>
        <v>41</v>
      </c>
      <c r="I22" t="s">
        <v>24</v>
      </c>
      <c r="J22" s="2">
        <v>44245.676412037035</v>
      </c>
    </row>
    <row r="23" spans="1:10" ht="12.75" customHeight="1" x14ac:dyDescent="0.3">
      <c r="A23">
        <v>1365694</v>
      </c>
      <c r="B23" t="s">
        <v>20</v>
      </c>
      <c r="C23" t="s">
        <v>84</v>
      </c>
      <c r="D23" t="s">
        <v>85</v>
      </c>
      <c r="E23" s="1" t="s">
        <v>86</v>
      </c>
      <c r="F23">
        <f>VLOOKUP(A23,Classifications!$A:$E,5,FALSE)</f>
        <v>1</v>
      </c>
      <c r="G23">
        <f>VLOOKUP(A23,Classifications!$A:$F,6,FALSE)</f>
        <v>2</v>
      </c>
      <c r="H23">
        <f>VLOOKUP(A23,Classifications!$A:$G,7,FALSE)</f>
        <v>41</v>
      </c>
      <c r="I23" t="s">
        <v>11</v>
      </c>
      <c r="J23" s="2">
        <v>44245.655335648145</v>
      </c>
    </row>
    <row r="24" spans="1:10" ht="12.75" customHeight="1" x14ac:dyDescent="0.3">
      <c r="A24">
        <v>1365690</v>
      </c>
      <c r="B24" t="s">
        <v>87</v>
      </c>
      <c r="C24" t="s">
        <v>88</v>
      </c>
      <c r="D24" t="s">
        <v>89</v>
      </c>
      <c r="E24" s="1" t="s">
        <v>90</v>
      </c>
      <c r="F24">
        <f>VLOOKUP(A24,Classifications!$A:$E,5,FALSE)</f>
        <v>2</v>
      </c>
      <c r="G24">
        <f>VLOOKUP(A24,Classifications!$A:$F,6,FALSE)</f>
        <v>2</v>
      </c>
      <c r="H24">
        <f>VLOOKUP(A24,Classifications!$A:$G,7,FALSE)</f>
        <v>43</v>
      </c>
      <c r="I24" t="s">
        <v>11</v>
      </c>
      <c r="J24" s="2">
        <v>44245.647129629629</v>
      </c>
    </row>
    <row r="25" spans="1:10" ht="12.75" customHeight="1" x14ac:dyDescent="0.3">
      <c r="A25">
        <v>1365682</v>
      </c>
      <c r="B25" t="s">
        <v>91</v>
      </c>
      <c r="C25" t="s">
        <v>92</v>
      </c>
      <c r="D25" t="s">
        <v>93</v>
      </c>
      <c r="E25" s="1" t="s">
        <v>94</v>
      </c>
      <c r="F25">
        <f>VLOOKUP(A25,Classifications!$A:$E,5,FALSE)</f>
        <v>1</v>
      </c>
      <c r="G25">
        <f>VLOOKUP(A25,Classifications!$A:$F,6,FALSE)</f>
        <v>2</v>
      </c>
      <c r="H25">
        <f>VLOOKUP(A25,Classifications!$A:$G,7,FALSE)</f>
        <v>41</v>
      </c>
      <c r="I25" t="s">
        <v>24</v>
      </c>
      <c r="J25" s="2">
        <v>44245.627638888887</v>
      </c>
    </row>
    <row r="26" spans="1:10" ht="12.75" customHeight="1" x14ac:dyDescent="0.3">
      <c r="A26">
        <v>1365678</v>
      </c>
      <c r="B26" t="s">
        <v>95</v>
      </c>
      <c r="C26" t="s">
        <v>96</v>
      </c>
      <c r="D26" t="s">
        <v>97</v>
      </c>
      <c r="E26" s="1" t="s">
        <v>98</v>
      </c>
      <c r="F26">
        <f>VLOOKUP(A26,Classifications!$A:$E,5,FALSE)</f>
        <v>1</v>
      </c>
      <c r="G26">
        <f>VLOOKUP(A26,Classifications!$A:$F,6,FALSE)</f>
        <v>3</v>
      </c>
      <c r="H26">
        <f>VLOOKUP(A26,Classifications!$A:$G,7,FALSE)</f>
        <v>43</v>
      </c>
      <c r="I26" t="s">
        <v>24</v>
      </c>
      <c r="J26" s="2">
        <v>44245.617418981485</v>
      </c>
    </row>
    <row r="27" spans="1:10" ht="12.75" customHeight="1" x14ac:dyDescent="0.3">
      <c r="A27">
        <v>1365673</v>
      </c>
      <c r="B27" t="s">
        <v>20</v>
      </c>
      <c r="C27" t="s">
        <v>78</v>
      </c>
      <c r="D27" t="s">
        <v>99</v>
      </c>
      <c r="E27" s="1" t="s">
        <v>100</v>
      </c>
      <c r="F27">
        <f>VLOOKUP(A27,Classifications!$A:$E,5,FALSE)</f>
        <v>1</v>
      </c>
      <c r="G27">
        <f>VLOOKUP(A27,Classifications!$A:$F,6,FALSE)</f>
        <v>2</v>
      </c>
      <c r="H27">
        <f>VLOOKUP(A27,Classifications!$A:$G,7,FALSE)</f>
        <v>43</v>
      </c>
      <c r="I27" t="s">
        <v>24</v>
      </c>
      <c r="J27" s="2">
        <v>44245.604618055557</v>
      </c>
    </row>
    <row r="28" spans="1:10" ht="12.75" customHeight="1" x14ac:dyDescent="0.3">
      <c r="A28">
        <v>1365666</v>
      </c>
      <c r="B28" t="s">
        <v>20</v>
      </c>
      <c r="C28" t="s">
        <v>101</v>
      </c>
      <c r="D28" t="s">
        <v>102</v>
      </c>
      <c r="E28" s="1" t="s">
        <v>103</v>
      </c>
      <c r="F28">
        <f>VLOOKUP(A28,Classifications!$A:$E,5,FALSE)</f>
        <v>1</v>
      </c>
      <c r="G28">
        <f>VLOOKUP(A28,Classifications!$A:$F,6,FALSE)</f>
        <v>2</v>
      </c>
      <c r="H28">
        <f>VLOOKUP(A28,Classifications!$A:$G,7,FALSE)</f>
        <v>41</v>
      </c>
      <c r="I28" t="s">
        <v>24</v>
      </c>
      <c r="J28" s="2">
        <v>44245.586608796293</v>
      </c>
    </row>
    <row r="29" spans="1:10" ht="12.75" customHeight="1" x14ac:dyDescent="0.3">
      <c r="A29">
        <v>1365653</v>
      </c>
      <c r="B29" t="s">
        <v>53</v>
      </c>
      <c r="C29" t="s">
        <v>104</v>
      </c>
      <c r="D29" t="s">
        <v>105</v>
      </c>
      <c r="E29" s="1" t="s">
        <v>106</v>
      </c>
      <c r="F29">
        <f>VLOOKUP(A29,Classifications!$A:$E,5,FALSE)</f>
        <v>1</v>
      </c>
      <c r="G29">
        <f>VLOOKUP(A29,Classifications!$A:$F,6,FALSE)</f>
        <v>1</v>
      </c>
      <c r="H29">
        <f>VLOOKUP(A29,Classifications!$A:$G,7,FALSE)</f>
        <v>43</v>
      </c>
      <c r="I29" t="s">
        <v>24</v>
      </c>
      <c r="J29" s="2">
        <v>44245.553067129629</v>
      </c>
    </row>
    <row r="30" spans="1:10" ht="12.75" customHeight="1" x14ac:dyDescent="0.3">
      <c r="A30">
        <v>1365640</v>
      </c>
      <c r="B30" t="s">
        <v>7</v>
      </c>
      <c r="C30" t="s">
        <v>107</v>
      </c>
      <c r="D30" t="s">
        <v>108</v>
      </c>
      <c r="E30" s="1" t="s">
        <v>109</v>
      </c>
      <c r="F30">
        <f>VLOOKUP(A30,Classifications!$A:$E,5,FALSE)</f>
        <v>2</v>
      </c>
      <c r="G30">
        <f>VLOOKUP(A30,Classifications!$A:$F,6,FALSE)</f>
        <v>1</v>
      </c>
      <c r="H30">
        <f>VLOOKUP(A30,Classifications!$A:$G,7,FALSE)</f>
        <v>41</v>
      </c>
      <c r="I30" t="s">
        <v>11</v>
      </c>
      <c r="J30" s="2">
        <v>44245.507523148146</v>
      </c>
    </row>
    <row r="31" spans="1:10" ht="12.75" customHeight="1" x14ac:dyDescent="0.3">
      <c r="A31">
        <v>1365636</v>
      </c>
      <c r="B31" t="s">
        <v>20</v>
      </c>
      <c r="C31" t="s">
        <v>84</v>
      </c>
      <c r="D31" t="s">
        <v>110</v>
      </c>
      <c r="E31" s="1" t="s">
        <v>111</v>
      </c>
      <c r="F31">
        <f>VLOOKUP(A31,Classifications!$A:$E,5,FALSE)</f>
        <v>1</v>
      </c>
      <c r="G31">
        <f>VLOOKUP(A31,Classifications!$A:$F,6,FALSE)</f>
        <v>2</v>
      </c>
      <c r="H31">
        <f>VLOOKUP(A31,Classifications!$A:$G,7,FALSE)</f>
        <v>41</v>
      </c>
      <c r="I31" t="s">
        <v>11</v>
      </c>
      <c r="J31" s="2">
        <v>44245.497719907406</v>
      </c>
    </row>
    <row r="32" spans="1:10" ht="12.75" customHeight="1" x14ac:dyDescent="0.3">
      <c r="A32">
        <v>1365632</v>
      </c>
      <c r="B32" t="s">
        <v>45</v>
      </c>
      <c r="C32" t="s">
        <v>112</v>
      </c>
      <c r="D32" t="s">
        <v>113</v>
      </c>
      <c r="E32" s="1" t="s">
        <v>114</v>
      </c>
      <c r="F32">
        <f>VLOOKUP(A32,Classifications!$A:$E,5,FALSE)</f>
        <v>1</v>
      </c>
      <c r="G32">
        <f>VLOOKUP(A32,Classifications!$A:$F,6,FALSE)</f>
        <v>3</v>
      </c>
      <c r="H32">
        <f>VLOOKUP(A32,Classifications!$A:$G,7,FALSE)</f>
        <v>41</v>
      </c>
      <c r="I32" t="s">
        <v>11</v>
      </c>
      <c r="J32" s="2">
        <v>44245.489490740743</v>
      </c>
    </row>
    <row r="33" spans="1:10" ht="12.75" customHeight="1" x14ac:dyDescent="0.3">
      <c r="A33">
        <v>1365622</v>
      </c>
      <c r="B33" t="s">
        <v>32</v>
      </c>
      <c r="C33" t="s">
        <v>115</v>
      </c>
      <c r="D33" t="s">
        <v>116</v>
      </c>
      <c r="E33" s="1" t="s">
        <v>117</v>
      </c>
      <c r="F33">
        <f>VLOOKUP(A33,Classifications!$A:$E,5,FALSE)</f>
        <v>2</v>
      </c>
      <c r="G33">
        <f>VLOOKUP(A33,Classifications!$A:$F,6,FALSE)</f>
        <v>2</v>
      </c>
      <c r="H33">
        <f>VLOOKUP(A33,Classifications!$A:$G,7,FALSE)</f>
        <v>41</v>
      </c>
      <c r="I33" t="s">
        <v>11</v>
      </c>
      <c r="J33" s="2">
        <v>44245.453912037039</v>
      </c>
    </row>
    <row r="34" spans="1:10" ht="12.75" customHeight="1" x14ac:dyDescent="0.3">
      <c r="A34">
        <v>1365557</v>
      </c>
      <c r="B34" t="s">
        <v>118</v>
      </c>
      <c r="C34" t="s">
        <v>119</v>
      </c>
      <c r="D34" t="s">
        <v>120</v>
      </c>
      <c r="E34" s="1" t="s">
        <v>121</v>
      </c>
      <c r="F34">
        <f>VLOOKUP(A34,Classifications!$A:$E,5,FALSE)</f>
        <v>1</v>
      </c>
      <c r="G34">
        <f>VLOOKUP(A34,Classifications!$A:$F,6,FALSE)</f>
        <v>3</v>
      </c>
      <c r="H34">
        <f>VLOOKUP(A34,Classifications!$A:$G,7,FALSE)</f>
        <v>41</v>
      </c>
      <c r="I34" t="s">
        <v>11</v>
      </c>
      <c r="J34" s="2">
        <v>44245.395451388889</v>
      </c>
    </row>
    <row r="35" spans="1:10" ht="12.75" customHeight="1" x14ac:dyDescent="0.3">
      <c r="A35">
        <v>1365554</v>
      </c>
      <c r="B35" t="s">
        <v>20</v>
      </c>
      <c r="C35" t="s">
        <v>78</v>
      </c>
      <c r="D35" t="s">
        <v>122</v>
      </c>
      <c r="E35" s="1" t="s">
        <v>123</v>
      </c>
      <c r="F35">
        <f>VLOOKUP(A35,Classifications!$A:$E,5,FALSE)</f>
        <v>1</v>
      </c>
      <c r="G35">
        <f>VLOOKUP(A35,Classifications!$A:$F,6,FALSE)</f>
        <v>1</v>
      </c>
      <c r="H35">
        <f>VLOOKUP(A35,Classifications!$A:$G,7,FALSE)</f>
        <v>43</v>
      </c>
      <c r="I35" t="s">
        <v>24</v>
      </c>
      <c r="J35" s="2">
        <v>44245.391469907408</v>
      </c>
    </row>
    <row r="36" spans="1:10" ht="12.75" customHeight="1" x14ac:dyDescent="0.3">
      <c r="A36">
        <v>1365552</v>
      </c>
      <c r="B36" t="s">
        <v>36</v>
      </c>
      <c r="C36" t="s">
        <v>124</v>
      </c>
      <c r="D36" t="s">
        <v>125</v>
      </c>
      <c r="E36" s="1" t="s">
        <v>126</v>
      </c>
      <c r="F36">
        <f>VLOOKUP(A36,Classifications!$A:$E,5,FALSE)</f>
        <v>1</v>
      </c>
      <c r="G36">
        <f>VLOOKUP(A36,Classifications!$A:$F,6,FALSE)</f>
        <v>2</v>
      </c>
      <c r="H36">
        <f>VLOOKUP(A36,Classifications!$A:$G,7,FALSE)</f>
        <v>41</v>
      </c>
      <c r="I36" t="s">
        <v>11</v>
      </c>
      <c r="J36" s="2">
        <v>44245.388391203705</v>
      </c>
    </row>
    <row r="37" spans="1:10" ht="12.75" customHeight="1" x14ac:dyDescent="0.3">
      <c r="A37">
        <v>1365550</v>
      </c>
      <c r="B37" t="s">
        <v>20</v>
      </c>
      <c r="C37" t="s">
        <v>78</v>
      </c>
      <c r="D37" t="s">
        <v>127</v>
      </c>
      <c r="E37" s="1" t="s">
        <v>128</v>
      </c>
      <c r="F37">
        <f>VLOOKUP(A37,Classifications!$A:$E,5,FALSE)</f>
        <v>1</v>
      </c>
      <c r="G37">
        <f>VLOOKUP(A37,Classifications!$A:$F,6,FALSE)</f>
        <v>2</v>
      </c>
      <c r="H37">
        <f>VLOOKUP(A37,Classifications!$A:$G,7,FALSE)</f>
        <v>43</v>
      </c>
      <c r="I37" t="s">
        <v>24</v>
      </c>
      <c r="J37" s="2">
        <v>44245.387141203704</v>
      </c>
    </row>
    <row r="38" spans="1:10" ht="12.75" customHeight="1" x14ac:dyDescent="0.3">
      <c r="A38">
        <v>1365540</v>
      </c>
      <c r="B38" t="s">
        <v>95</v>
      </c>
      <c r="C38" t="s">
        <v>129</v>
      </c>
      <c r="D38" t="s">
        <v>130</v>
      </c>
      <c r="E38" s="1" t="s">
        <v>131</v>
      </c>
      <c r="F38">
        <f>VLOOKUP(A38,Classifications!$A:$E,5,FALSE)</f>
        <v>1</v>
      </c>
      <c r="G38">
        <f>VLOOKUP(A38,Classifications!$A:$F,6,FALSE)</f>
        <v>3</v>
      </c>
      <c r="H38">
        <f>VLOOKUP(A38,Classifications!$A:$G,7,FALSE)</f>
        <v>43</v>
      </c>
      <c r="I38" t="s">
        <v>11</v>
      </c>
      <c r="J38" s="2">
        <v>44245.350856481484</v>
      </c>
    </row>
    <row r="39" spans="1:10" ht="12.75" customHeight="1" x14ac:dyDescent="0.3">
      <c r="A39">
        <v>1365110</v>
      </c>
      <c r="B39" t="s">
        <v>132</v>
      </c>
      <c r="C39" t="s">
        <v>133</v>
      </c>
      <c r="D39" t="s">
        <v>134</v>
      </c>
      <c r="E39" s="1" t="s">
        <v>135</v>
      </c>
      <c r="F39">
        <f>VLOOKUP(A39,Classifications!$A:$E,5,FALSE)</f>
        <v>1</v>
      </c>
      <c r="G39">
        <f>VLOOKUP(A39,Classifications!$A:$F,6,FALSE)</f>
        <v>3</v>
      </c>
      <c r="H39">
        <f>VLOOKUP(A39,Classifications!$A:$G,7,FALSE)</f>
        <v>41</v>
      </c>
      <c r="I39" t="s">
        <v>24</v>
      </c>
      <c r="J39" s="2">
        <v>44244.574895833335</v>
      </c>
    </row>
    <row r="40" spans="1:10" ht="12.75" customHeight="1" x14ac:dyDescent="0.3">
      <c r="A40">
        <v>1365101</v>
      </c>
      <c r="B40" t="s">
        <v>20</v>
      </c>
      <c r="C40" t="s">
        <v>136</v>
      </c>
      <c r="D40" t="s">
        <v>137</v>
      </c>
      <c r="E40" s="1" t="s">
        <v>138</v>
      </c>
      <c r="F40">
        <f>VLOOKUP(A40,Classifications!$A:$E,5,FALSE)</f>
        <v>1</v>
      </c>
      <c r="G40">
        <f>VLOOKUP(A40,Classifications!$A:$F,6,FALSE)</f>
        <v>1</v>
      </c>
      <c r="H40">
        <f>VLOOKUP(A40,Classifications!$A:$G,7,FALSE)</f>
        <v>43</v>
      </c>
      <c r="I40" t="s">
        <v>11</v>
      </c>
      <c r="J40" s="2">
        <v>44244.561539351853</v>
      </c>
    </row>
    <row r="41" spans="1:10" ht="12.75" customHeight="1" x14ac:dyDescent="0.3">
      <c r="A41">
        <v>1365073</v>
      </c>
      <c r="B41" t="s">
        <v>139</v>
      </c>
      <c r="C41" t="s">
        <v>140</v>
      </c>
      <c r="D41" t="s">
        <v>141</v>
      </c>
      <c r="E41" s="1" t="s">
        <v>142</v>
      </c>
      <c r="F41">
        <f>VLOOKUP(A41,Classifications!$A:$E,5,FALSE)</f>
        <v>1</v>
      </c>
      <c r="G41">
        <f>VLOOKUP(A41,Classifications!$A:$F,6,FALSE)</f>
        <v>3</v>
      </c>
      <c r="H41">
        <f>VLOOKUP(A41,Classifications!$A:$G,7,FALSE)</f>
        <v>41</v>
      </c>
      <c r="I41" t="s">
        <v>24</v>
      </c>
      <c r="J41" s="2">
        <v>44244.502060185187</v>
      </c>
    </row>
    <row r="42" spans="1:10" ht="12.75" customHeight="1" x14ac:dyDescent="0.3">
      <c r="A42">
        <v>1365065</v>
      </c>
      <c r="B42" t="s">
        <v>70</v>
      </c>
      <c r="C42" t="s">
        <v>143</v>
      </c>
      <c r="D42" t="s">
        <v>144</v>
      </c>
      <c r="E42" s="1" t="s">
        <v>145</v>
      </c>
      <c r="F42">
        <f>VLOOKUP(A42,Classifications!$A:$E,5,FALSE)</f>
        <v>1</v>
      </c>
      <c r="G42">
        <f>VLOOKUP(A42,Classifications!$A:$F,6,FALSE)</f>
        <v>2</v>
      </c>
      <c r="H42">
        <f>VLOOKUP(A42,Classifications!$A:$G,7,FALSE)</f>
        <v>41</v>
      </c>
      <c r="I42" t="s">
        <v>24</v>
      </c>
      <c r="J42" s="2">
        <v>44244.484467592592</v>
      </c>
    </row>
    <row r="43" spans="1:10" ht="12.75" customHeight="1" x14ac:dyDescent="0.3">
      <c r="A43">
        <v>1365057</v>
      </c>
      <c r="B43" t="s">
        <v>146</v>
      </c>
      <c r="C43" t="s">
        <v>147</v>
      </c>
      <c r="D43" t="s">
        <v>148</v>
      </c>
      <c r="E43" s="1" t="s">
        <v>149</v>
      </c>
      <c r="F43">
        <f>VLOOKUP(A43,Classifications!$A:$E,5,FALSE)</f>
        <v>3</v>
      </c>
      <c r="G43">
        <f>VLOOKUP(A43,Classifications!$A:$F,6,FALSE)</f>
        <v>2</v>
      </c>
      <c r="H43">
        <f>VLOOKUP(A43,Classifications!$A:$G,7,FALSE)</f>
        <v>43</v>
      </c>
      <c r="I43" t="s">
        <v>11</v>
      </c>
      <c r="J43" s="2">
        <v>44244.476875</v>
      </c>
    </row>
    <row r="44" spans="1:10" ht="12.75" customHeight="1" x14ac:dyDescent="0.3">
      <c r="A44">
        <v>1365055</v>
      </c>
      <c r="B44" t="s">
        <v>150</v>
      </c>
      <c r="C44" t="s">
        <v>151</v>
      </c>
      <c r="D44" t="s">
        <v>152</v>
      </c>
      <c r="E44" s="1" t="s">
        <v>153</v>
      </c>
      <c r="F44">
        <f>VLOOKUP(A44,Classifications!$A:$E,5,FALSE)</f>
        <v>1</v>
      </c>
      <c r="G44">
        <f>VLOOKUP(A44,Classifications!$A:$F,6,FALSE)</f>
        <v>2</v>
      </c>
      <c r="H44">
        <f>VLOOKUP(A44,Classifications!$A:$G,7,FALSE)</f>
        <v>43</v>
      </c>
      <c r="I44" t="s">
        <v>24</v>
      </c>
      <c r="J44" s="2">
        <v>44244.473310185182</v>
      </c>
    </row>
    <row r="45" spans="1:10" ht="12.75" customHeight="1" x14ac:dyDescent="0.3">
      <c r="A45">
        <v>1365047</v>
      </c>
      <c r="B45" t="s">
        <v>87</v>
      </c>
      <c r="C45" t="s">
        <v>154</v>
      </c>
      <c r="D45" t="s">
        <v>155</v>
      </c>
      <c r="E45" s="1" t="s">
        <v>156</v>
      </c>
      <c r="F45">
        <f>VLOOKUP(A45,Classifications!$A:$E,5,FALSE)</f>
        <v>1</v>
      </c>
      <c r="G45">
        <f>VLOOKUP(A45,Classifications!$A:$F,6,FALSE)</f>
        <v>3</v>
      </c>
      <c r="H45">
        <f>VLOOKUP(A45,Classifications!$A:$G,7,FALSE)</f>
        <v>41</v>
      </c>
      <c r="I45" t="s">
        <v>11</v>
      </c>
      <c r="J45" s="2">
        <v>44244.456400462965</v>
      </c>
    </row>
    <row r="46" spans="1:10" ht="12.75" customHeight="1" x14ac:dyDescent="0.3">
      <c r="A46">
        <v>1365044</v>
      </c>
      <c r="B46" t="s">
        <v>157</v>
      </c>
      <c r="C46" t="s">
        <v>158</v>
      </c>
      <c r="D46" t="s">
        <v>159</v>
      </c>
      <c r="E46" s="1" t="s">
        <v>160</v>
      </c>
      <c r="F46">
        <f>VLOOKUP(A46,Classifications!$A:$E,5,FALSE)</f>
        <v>2</v>
      </c>
      <c r="G46">
        <f>VLOOKUP(A46,Classifications!$A:$F,6,FALSE)</f>
        <v>2</v>
      </c>
      <c r="H46">
        <f>VLOOKUP(A46,Classifications!$A:$G,7,FALSE)</f>
        <v>43</v>
      </c>
      <c r="I46" t="s">
        <v>24</v>
      </c>
      <c r="J46" s="2">
        <v>44244.452685185184</v>
      </c>
    </row>
    <row r="47" spans="1:10" ht="12.75" customHeight="1" x14ac:dyDescent="0.3">
      <c r="A47">
        <v>1364978</v>
      </c>
      <c r="B47" t="s">
        <v>12</v>
      </c>
      <c r="C47" t="s">
        <v>161</v>
      </c>
      <c r="D47" t="s">
        <v>162</v>
      </c>
      <c r="E47" s="1" t="s">
        <v>163</v>
      </c>
      <c r="F47">
        <f>VLOOKUP(A47,Classifications!$A:$E,5,FALSE)</f>
        <v>1</v>
      </c>
      <c r="G47">
        <f>VLOOKUP(A47,Classifications!$A:$F,6,FALSE)</f>
        <v>3</v>
      </c>
      <c r="H47">
        <f>VLOOKUP(A47,Classifications!$A:$G,7,FALSE)</f>
        <v>41</v>
      </c>
      <c r="I47" t="s">
        <v>11</v>
      </c>
      <c r="J47" s="2">
        <v>44244.400590277779</v>
      </c>
    </row>
    <row r="48" spans="1:10" ht="12.75" customHeight="1" x14ac:dyDescent="0.3">
      <c r="A48">
        <v>1364975</v>
      </c>
      <c r="B48" t="s">
        <v>36</v>
      </c>
      <c r="C48" t="s">
        <v>164</v>
      </c>
      <c r="D48" t="s">
        <v>165</v>
      </c>
      <c r="E48" s="1" t="s">
        <v>166</v>
      </c>
      <c r="F48">
        <f>VLOOKUP(A48,Classifications!$A:$E,5,FALSE)</f>
        <v>3</v>
      </c>
      <c r="G48">
        <f>VLOOKUP(A48,Classifications!$A:$F,6,FALSE)</f>
        <v>2</v>
      </c>
      <c r="H48">
        <f>VLOOKUP(A48,Classifications!$A:$G,7,FALSE)</f>
        <v>43</v>
      </c>
      <c r="I48" t="s">
        <v>24</v>
      </c>
      <c r="J48" s="2">
        <v>44244.398043981484</v>
      </c>
    </row>
    <row r="49" spans="1:10" ht="12.75" customHeight="1" x14ac:dyDescent="0.3">
      <c r="A49">
        <v>1364961</v>
      </c>
      <c r="B49" t="s">
        <v>36</v>
      </c>
      <c r="C49" t="s">
        <v>124</v>
      </c>
      <c r="D49" t="s">
        <v>167</v>
      </c>
      <c r="E49" s="1" t="s">
        <v>168</v>
      </c>
      <c r="F49">
        <f>VLOOKUP(A49,Classifications!$A:$E,5,FALSE)</f>
        <v>1</v>
      </c>
      <c r="G49">
        <f>VLOOKUP(A49,Classifications!$A:$F,6,FALSE)</f>
        <v>2</v>
      </c>
      <c r="H49">
        <f>VLOOKUP(A49,Classifications!$A:$G,7,FALSE)</f>
        <v>41</v>
      </c>
      <c r="I49" t="s">
        <v>24</v>
      </c>
      <c r="J49" s="2">
        <v>44244.37736111111</v>
      </c>
    </row>
    <row r="50" spans="1:10" ht="12.75" customHeight="1" x14ac:dyDescent="0.3">
      <c r="A50">
        <v>1364960</v>
      </c>
      <c r="B50" t="s">
        <v>53</v>
      </c>
      <c r="C50" t="s">
        <v>60</v>
      </c>
      <c r="D50" t="s">
        <v>169</v>
      </c>
      <c r="E50" s="1" t="s">
        <v>170</v>
      </c>
      <c r="F50">
        <f>VLOOKUP(A50,Classifications!$A:$E,5,FALSE)</f>
        <v>2</v>
      </c>
      <c r="G50">
        <f>VLOOKUP(A50,Classifications!$A:$F,6,FALSE)</f>
        <v>3</v>
      </c>
      <c r="H50">
        <f>VLOOKUP(A50,Classifications!$A:$G,7,FALSE)</f>
        <v>41</v>
      </c>
      <c r="I50" t="s">
        <v>11</v>
      </c>
      <c r="J50" s="2">
        <v>44244.375509259262</v>
      </c>
    </row>
    <row r="51" spans="1:10" ht="12.75" customHeight="1" x14ac:dyDescent="0.3">
      <c r="A51">
        <v>1364955</v>
      </c>
      <c r="B51" t="s">
        <v>32</v>
      </c>
      <c r="C51" t="s">
        <v>171</v>
      </c>
      <c r="D51" t="s">
        <v>172</v>
      </c>
      <c r="E51" s="1" t="s">
        <v>173</v>
      </c>
      <c r="F51">
        <f>VLOOKUP(A51,Classifications!$A:$E,5,FALSE)</f>
        <v>2</v>
      </c>
      <c r="G51">
        <f>VLOOKUP(A51,Classifications!$A:$F,6,FALSE)</f>
        <v>2</v>
      </c>
      <c r="H51">
        <f>VLOOKUP(A51,Classifications!$A:$G,7,FALSE)</f>
        <v>43</v>
      </c>
      <c r="I51" t="s">
        <v>11</v>
      </c>
      <c r="J51" s="2">
        <v>44244.365532407406</v>
      </c>
    </row>
    <row r="52" spans="1:10" ht="12.75" customHeight="1" x14ac:dyDescent="0.3">
      <c r="A52">
        <v>1364931</v>
      </c>
      <c r="B52" t="s">
        <v>32</v>
      </c>
      <c r="C52" t="s">
        <v>174</v>
      </c>
      <c r="D52" t="s">
        <v>175</v>
      </c>
      <c r="E52" s="1" t="s">
        <v>176</v>
      </c>
      <c r="F52">
        <f>VLOOKUP(A52,Classifications!$A:$E,5,FALSE)</f>
        <v>1</v>
      </c>
      <c r="G52">
        <f>VLOOKUP(A52,Classifications!$A:$F,6,FALSE)</f>
        <v>3</v>
      </c>
      <c r="H52">
        <f>VLOOKUP(A52,Classifications!$A:$G,7,FALSE)</f>
        <v>41</v>
      </c>
      <c r="I52" t="s">
        <v>24</v>
      </c>
      <c r="J52" s="2">
        <v>44244.335358796299</v>
      </c>
    </row>
    <row r="53" spans="1:10" ht="12.75" customHeight="1" x14ac:dyDescent="0.3">
      <c r="A53">
        <v>1364587</v>
      </c>
      <c r="B53" t="s">
        <v>177</v>
      </c>
      <c r="C53" t="s">
        <v>178</v>
      </c>
      <c r="D53" t="s">
        <v>179</v>
      </c>
      <c r="E53" s="1" t="s">
        <v>180</v>
      </c>
      <c r="F53">
        <f>VLOOKUP(A53,Classifications!$A:$E,5,FALSE)</f>
        <v>1</v>
      </c>
      <c r="G53">
        <f>VLOOKUP(A53,Classifications!$A:$F,6,FALSE)</f>
        <v>3</v>
      </c>
      <c r="H53">
        <f>VLOOKUP(A53,Classifications!$A:$G,7,FALSE)</f>
        <v>41</v>
      </c>
      <c r="I53" t="s">
        <v>11</v>
      </c>
      <c r="J53" s="2">
        <v>44243.70516203704</v>
      </c>
    </row>
    <row r="54" spans="1:10" ht="12.75" customHeight="1" x14ac:dyDescent="0.3">
      <c r="A54">
        <v>1364580</v>
      </c>
      <c r="B54" t="s">
        <v>16</v>
      </c>
      <c r="C54" t="s">
        <v>181</v>
      </c>
      <c r="D54" t="s">
        <v>182</v>
      </c>
      <c r="E54" s="1" t="s">
        <v>183</v>
      </c>
      <c r="F54">
        <f>VLOOKUP(A54,Classifications!$A:$E,5,FALSE)</f>
        <v>1</v>
      </c>
      <c r="G54">
        <f>VLOOKUP(A54,Classifications!$A:$F,6,FALSE)</f>
        <v>2</v>
      </c>
      <c r="H54">
        <f>VLOOKUP(A54,Classifications!$A:$G,7,FALSE)</f>
        <v>36</v>
      </c>
      <c r="I54" t="s">
        <v>24</v>
      </c>
      <c r="J54" s="2">
        <v>44243.683946759258</v>
      </c>
    </row>
    <row r="55" spans="1:10" ht="12.75" customHeight="1" x14ac:dyDescent="0.3">
      <c r="A55">
        <v>1364540</v>
      </c>
      <c r="B55" t="s">
        <v>184</v>
      </c>
      <c r="C55" t="s">
        <v>185</v>
      </c>
      <c r="D55" t="s">
        <v>186</v>
      </c>
      <c r="E55" t="s">
        <v>187</v>
      </c>
      <c r="F55">
        <f>VLOOKUP(A55,Classifications!$A:$E,5,FALSE)</f>
        <v>3</v>
      </c>
      <c r="G55">
        <f>VLOOKUP(A55,Classifications!$A:$F,6,FALSE)</f>
        <v>2</v>
      </c>
      <c r="H55">
        <f>VLOOKUP(A55,Classifications!$A:$G,7,FALSE)</f>
        <v>41</v>
      </c>
      <c r="I55" t="s">
        <v>188</v>
      </c>
      <c r="J55" s="2">
        <v>44243.61078703704</v>
      </c>
    </row>
    <row r="56" spans="1:10" ht="12.75" customHeight="1" x14ac:dyDescent="0.3">
      <c r="A56">
        <v>1364535</v>
      </c>
      <c r="B56" t="s">
        <v>53</v>
      </c>
      <c r="C56" t="s">
        <v>158</v>
      </c>
      <c r="D56" t="s">
        <v>189</v>
      </c>
      <c r="E56" s="1" t="s">
        <v>190</v>
      </c>
      <c r="F56">
        <f>VLOOKUP(A56,Classifications!$A:$E,5,FALSE)</f>
        <v>3</v>
      </c>
      <c r="G56">
        <f>VLOOKUP(A56,Classifications!$A:$F,6,FALSE)</f>
        <v>3</v>
      </c>
      <c r="H56">
        <f>VLOOKUP(A56,Classifications!$A:$G,7,FALSE)</f>
        <v>41</v>
      </c>
      <c r="I56" t="s">
        <v>24</v>
      </c>
      <c r="J56" s="2">
        <v>44243.590416666666</v>
      </c>
    </row>
    <row r="57" spans="1:10" ht="12.75" customHeight="1" x14ac:dyDescent="0.3">
      <c r="A57">
        <v>1364530</v>
      </c>
      <c r="B57" t="s">
        <v>191</v>
      </c>
      <c r="C57" t="s">
        <v>192</v>
      </c>
      <c r="D57" t="s">
        <v>193</v>
      </c>
      <c r="E57" s="1" t="s">
        <v>194</v>
      </c>
      <c r="F57">
        <f>VLOOKUP(A57,Classifications!$A:$E,5,FALSE)</f>
        <v>1</v>
      </c>
      <c r="G57">
        <f>VLOOKUP(A57,Classifications!$A:$F,6,FALSE)</f>
        <v>1</v>
      </c>
      <c r="H57">
        <f>VLOOKUP(A57,Classifications!$A:$G,7,FALSE)</f>
        <v>43</v>
      </c>
      <c r="I57" t="s">
        <v>11</v>
      </c>
      <c r="J57" s="2">
        <v>44243.577673611115</v>
      </c>
    </row>
    <row r="58" spans="1:10" ht="12.75" customHeight="1" x14ac:dyDescent="0.3">
      <c r="A58">
        <v>1364504</v>
      </c>
      <c r="B58" t="s">
        <v>20</v>
      </c>
      <c r="C58" t="s">
        <v>81</v>
      </c>
      <c r="D58" t="s">
        <v>195</v>
      </c>
      <c r="E58" s="1" t="s">
        <v>196</v>
      </c>
      <c r="F58">
        <f>VLOOKUP(A58,Classifications!$A:$E,5,FALSE)</f>
        <v>1</v>
      </c>
      <c r="G58">
        <f>VLOOKUP(A58,Classifications!$A:$F,6,FALSE)</f>
        <v>3</v>
      </c>
      <c r="H58">
        <f>VLOOKUP(A58,Classifications!$A:$G,7,FALSE)</f>
        <v>41</v>
      </c>
      <c r="I58" t="s">
        <v>24</v>
      </c>
      <c r="J58" s="2">
        <v>44243.554803240739</v>
      </c>
    </row>
    <row r="59" spans="1:10" ht="12.75" customHeight="1" x14ac:dyDescent="0.3">
      <c r="A59">
        <v>1364436</v>
      </c>
      <c r="B59" t="s">
        <v>118</v>
      </c>
      <c r="C59" t="s">
        <v>197</v>
      </c>
      <c r="D59" t="s">
        <v>198</v>
      </c>
      <c r="E59" t="s">
        <v>199</v>
      </c>
      <c r="F59">
        <f>VLOOKUP(A59,Classifications!$A:$E,5,FALSE)</f>
        <v>1</v>
      </c>
      <c r="G59">
        <f>VLOOKUP(A59,Classifications!$A:$F,6,FALSE)</f>
        <v>1</v>
      </c>
      <c r="H59">
        <f>VLOOKUP(A59,Classifications!$A:$G,7,FALSE)</f>
        <v>43</v>
      </c>
      <c r="I59" t="s">
        <v>24</v>
      </c>
      <c r="J59" s="2">
        <v>44243.448206018518</v>
      </c>
    </row>
    <row r="60" spans="1:10" ht="12.75" customHeight="1" x14ac:dyDescent="0.3">
      <c r="A60">
        <v>1364433</v>
      </c>
      <c r="B60" t="s">
        <v>118</v>
      </c>
      <c r="C60" t="s">
        <v>200</v>
      </c>
      <c r="D60" t="s">
        <v>201</v>
      </c>
      <c r="E60" s="1" t="s">
        <v>202</v>
      </c>
      <c r="F60">
        <f>VLOOKUP(A60,Classifications!$A:$E,5,FALSE)</f>
        <v>1</v>
      </c>
      <c r="G60">
        <f>VLOOKUP(A60,Classifications!$A:$F,6,FALSE)</f>
        <v>2</v>
      </c>
      <c r="H60">
        <f>VLOOKUP(A60,Classifications!$A:$G,7,FALSE)</f>
        <v>43</v>
      </c>
      <c r="I60" t="s">
        <v>11</v>
      </c>
      <c r="J60" s="2">
        <v>44243.446655092594</v>
      </c>
    </row>
    <row r="61" spans="1:10" ht="12.75" customHeight="1" x14ac:dyDescent="0.3">
      <c r="A61">
        <v>1364406</v>
      </c>
      <c r="B61" t="s">
        <v>20</v>
      </c>
      <c r="C61" t="s">
        <v>136</v>
      </c>
      <c r="D61" t="s">
        <v>203</v>
      </c>
      <c r="E61" s="1" t="s">
        <v>204</v>
      </c>
      <c r="F61">
        <f>VLOOKUP(A61,Classifications!$A:$E,5,FALSE)</f>
        <v>1</v>
      </c>
      <c r="G61">
        <f>VLOOKUP(A61,Classifications!$A:$F,6,FALSE)</f>
        <v>2</v>
      </c>
      <c r="H61">
        <f>VLOOKUP(A61,Classifications!$A:$G,7,FALSE)</f>
        <v>41</v>
      </c>
      <c r="I61" t="s">
        <v>11</v>
      </c>
      <c r="J61" s="2">
        <v>44243.419664351852</v>
      </c>
    </row>
    <row r="62" spans="1:10" ht="12.75" customHeight="1" x14ac:dyDescent="0.3">
      <c r="A62">
        <v>1364343</v>
      </c>
      <c r="B62" t="s">
        <v>32</v>
      </c>
      <c r="C62" t="s">
        <v>205</v>
      </c>
      <c r="D62" t="s">
        <v>206</v>
      </c>
      <c r="E62" s="1" t="s">
        <v>207</v>
      </c>
      <c r="F62">
        <f>VLOOKUP(A62,Classifications!$A:$E,5,FALSE)</f>
        <v>1</v>
      </c>
      <c r="G62">
        <f>VLOOKUP(A62,Classifications!$A:$F,6,FALSE)</f>
        <v>2</v>
      </c>
      <c r="H62">
        <f>VLOOKUP(A62,Classifications!$A:$G,7,FALSE)</f>
        <v>41</v>
      </c>
      <c r="I62" t="s">
        <v>11</v>
      </c>
      <c r="J62" s="2">
        <v>44243.413495370369</v>
      </c>
    </row>
    <row r="63" spans="1:10" ht="12.75" customHeight="1" x14ac:dyDescent="0.3">
      <c r="A63">
        <v>1364299</v>
      </c>
      <c r="B63" t="s">
        <v>20</v>
      </c>
      <c r="C63" t="s">
        <v>208</v>
      </c>
      <c r="D63" t="s">
        <v>209</v>
      </c>
      <c r="E63" s="1" t="s">
        <v>210</v>
      </c>
      <c r="F63">
        <f>VLOOKUP(A63,Classifications!$A:$E,5,FALSE)</f>
        <v>1</v>
      </c>
      <c r="G63">
        <f>VLOOKUP(A63,Classifications!$A:$F,6,FALSE)</f>
        <v>3</v>
      </c>
      <c r="H63">
        <f>VLOOKUP(A63,Classifications!$A:$G,7,FALSE)</f>
        <v>41</v>
      </c>
      <c r="I63" t="s">
        <v>24</v>
      </c>
      <c r="J63" s="2">
        <v>44243.394085648149</v>
      </c>
    </row>
    <row r="64" spans="1:10" ht="12.75" customHeight="1" x14ac:dyDescent="0.3">
      <c r="A64">
        <v>1364291</v>
      </c>
      <c r="B64" t="s">
        <v>32</v>
      </c>
      <c r="C64" t="s">
        <v>211</v>
      </c>
      <c r="D64" t="s">
        <v>212</v>
      </c>
      <c r="E64" s="1" t="s">
        <v>213</v>
      </c>
      <c r="F64">
        <f>VLOOKUP(A64,Classifications!$A:$E,5,FALSE)</f>
        <v>1</v>
      </c>
      <c r="G64">
        <f>VLOOKUP(A64,Classifications!$A:$F,6,FALSE)</f>
        <v>2</v>
      </c>
      <c r="H64">
        <f>VLOOKUP(A64,Classifications!$A:$G,7,FALSE)</f>
        <v>41</v>
      </c>
      <c r="I64" t="s">
        <v>11</v>
      </c>
      <c r="J64" s="2">
        <v>44243.386956018519</v>
      </c>
    </row>
    <row r="65" spans="1:10" ht="12.75" customHeight="1" x14ac:dyDescent="0.3">
      <c r="A65">
        <v>1364283</v>
      </c>
      <c r="B65" t="s">
        <v>214</v>
      </c>
      <c r="C65" t="s">
        <v>215</v>
      </c>
      <c r="D65" t="s">
        <v>216</v>
      </c>
      <c r="E65" s="1" t="s">
        <v>217</v>
      </c>
      <c r="F65">
        <f>VLOOKUP(A65,Classifications!$A:$E,5,FALSE)</f>
        <v>1</v>
      </c>
      <c r="G65">
        <f>VLOOKUP(A65,Classifications!$A:$F,6,FALSE)</f>
        <v>1</v>
      </c>
      <c r="H65">
        <f>VLOOKUP(A65,Classifications!$A:$G,7,FALSE)</f>
        <v>43</v>
      </c>
      <c r="I65" t="s">
        <v>11</v>
      </c>
      <c r="J65" s="2">
        <v>44243.379363425927</v>
      </c>
    </row>
    <row r="66" spans="1:10" ht="12.75" customHeight="1" x14ac:dyDescent="0.3">
      <c r="A66">
        <v>1364280</v>
      </c>
      <c r="B66" t="s">
        <v>218</v>
      </c>
      <c r="C66" t="s">
        <v>219</v>
      </c>
      <c r="D66" t="s">
        <v>220</v>
      </c>
      <c r="E66" s="1" t="s">
        <v>221</v>
      </c>
      <c r="F66">
        <f>VLOOKUP(A66,Classifications!$A:$E,5,FALSE)</f>
        <v>1</v>
      </c>
      <c r="G66">
        <f>VLOOKUP(A66,Classifications!$A:$F,6,FALSE)</f>
        <v>3</v>
      </c>
      <c r="H66">
        <f>VLOOKUP(A66,Classifications!$A:$G,7,FALSE)</f>
        <v>41</v>
      </c>
      <c r="I66" t="s">
        <v>11</v>
      </c>
      <c r="J66" s="2">
        <v>44243.373020833336</v>
      </c>
    </row>
    <row r="67" spans="1:10" ht="12.75" customHeight="1" x14ac:dyDescent="0.3">
      <c r="A67">
        <v>1364267</v>
      </c>
      <c r="B67" t="s">
        <v>222</v>
      </c>
      <c r="C67" t="s">
        <v>223</v>
      </c>
      <c r="D67" t="s">
        <v>224</v>
      </c>
      <c r="E67" s="1" t="s">
        <v>225</v>
      </c>
      <c r="F67">
        <f>VLOOKUP(A67,Classifications!$A:$E,5,FALSE)</f>
        <v>1</v>
      </c>
      <c r="G67">
        <f>VLOOKUP(A67,Classifications!$A:$F,6,FALSE)</f>
        <v>3</v>
      </c>
      <c r="H67">
        <f>VLOOKUP(A67,Classifications!$A:$G,7,FALSE)</f>
        <v>41</v>
      </c>
      <c r="I67" t="s">
        <v>24</v>
      </c>
      <c r="J67" s="2">
        <v>44243.354270833333</v>
      </c>
    </row>
    <row r="68" spans="1:10" ht="12.75" customHeight="1" x14ac:dyDescent="0.3">
      <c r="A68">
        <v>1364260</v>
      </c>
      <c r="B68" t="s">
        <v>226</v>
      </c>
      <c r="C68" t="s">
        <v>227</v>
      </c>
      <c r="D68" t="s">
        <v>228</v>
      </c>
      <c r="E68" s="1" t="s">
        <v>229</v>
      </c>
      <c r="F68">
        <f>VLOOKUP(A68,Classifications!$A:$E,5,FALSE)</f>
        <v>3</v>
      </c>
      <c r="G68">
        <f>VLOOKUP(A68,Classifications!$A:$F,6,FALSE)</f>
        <v>3</v>
      </c>
      <c r="H68">
        <f>VLOOKUP(A68,Classifications!$A:$G,7,FALSE)</f>
        <v>41</v>
      </c>
      <c r="I68" t="s">
        <v>11</v>
      </c>
      <c r="J68" s="2">
        <v>44243.349849537037</v>
      </c>
    </row>
    <row r="69" spans="1:10" ht="12.75" customHeight="1" x14ac:dyDescent="0.3">
      <c r="A69">
        <v>1364245</v>
      </c>
      <c r="B69" t="s">
        <v>230</v>
      </c>
      <c r="C69" t="s">
        <v>231</v>
      </c>
      <c r="D69" t="s">
        <v>232</v>
      </c>
      <c r="E69" s="1" t="s">
        <v>233</v>
      </c>
      <c r="F69">
        <f>VLOOKUP(A69,Classifications!$A:$E,5,FALSE)</f>
        <v>1</v>
      </c>
      <c r="G69">
        <f>VLOOKUP(A69,Classifications!$A:$F,6,FALSE)</f>
        <v>3</v>
      </c>
      <c r="H69">
        <f>VLOOKUP(A69,Classifications!$A:$G,7,FALSE)</f>
        <v>41</v>
      </c>
      <c r="I69" t="s">
        <v>11</v>
      </c>
      <c r="J69" s="2">
        <v>44243.337858796294</v>
      </c>
    </row>
    <row r="70" spans="1:10" ht="12.75" customHeight="1" x14ac:dyDescent="0.3">
      <c r="A70">
        <v>1364223</v>
      </c>
      <c r="B70" t="s">
        <v>32</v>
      </c>
      <c r="C70" t="s">
        <v>211</v>
      </c>
      <c r="D70" t="s">
        <v>234</v>
      </c>
      <c r="E70" s="1" t="s">
        <v>235</v>
      </c>
      <c r="F70">
        <f>VLOOKUP(A70,Classifications!$A:$E,5,FALSE)</f>
        <v>1</v>
      </c>
      <c r="G70">
        <f>VLOOKUP(A70,Classifications!$A:$F,6,FALSE)</f>
        <v>3</v>
      </c>
      <c r="H70">
        <f>VLOOKUP(A70,Classifications!$A:$G,7,FALSE)</f>
        <v>41</v>
      </c>
      <c r="I70" t="s">
        <v>11</v>
      </c>
      <c r="J70" s="2">
        <v>44243.309374999997</v>
      </c>
    </row>
    <row r="71" spans="1:10" ht="12.75" customHeight="1" x14ac:dyDescent="0.3">
      <c r="A71">
        <v>1363052</v>
      </c>
      <c r="B71" t="s">
        <v>70</v>
      </c>
      <c r="C71" t="s">
        <v>236</v>
      </c>
      <c r="D71" t="s">
        <v>237</v>
      </c>
      <c r="E71" s="1" t="s">
        <v>238</v>
      </c>
      <c r="F71">
        <f>VLOOKUP(A71,Classifications!$A:$E,5,FALSE)</f>
        <v>1</v>
      </c>
      <c r="G71">
        <f>VLOOKUP(A71,Classifications!$A:$F,6,FALSE)</f>
        <v>2</v>
      </c>
      <c r="H71">
        <f>VLOOKUP(A71,Classifications!$A:$G,7,FALSE)</f>
        <v>41</v>
      </c>
      <c r="I71" t="s">
        <v>11</v>
      </c>
      <c r="J71" s="2">
        <v>44240.490312499998</v>
      </c>
    </row>
    <row r="72" spans="1:10" ht="12.75" customHeight="1" x14ac:dyDescent="0.3">
      <c r="A72">
        <v>1362612</v>
      </c>
      <c r="B72" t="s">
        <v>20</v>
      </c>
      <c r="C72" t="s">
        <v>136</v>
      </c>
      <c r="D72" t="s">
        <v>239</v>
      </c>
      <c r="E72" s="1" t="s">
        <v>240</v>
      </c>
      <c r="F72">
        <f>VLOOKUP(A72,Classifications!$A:$E,5,FALSE)</f>
        <v>2</v>
      </c>
      <c r="G72">
        <f>VLOOKUP(A72,Classifications!$A:$F,6,FALSE)</f>
        <v>2</v>
      </c>
      <c r="H72">
        <f>VLOOKUP(A72,Classifications!$A:$G,7,FALSE)</f>
        <v>41</v>
      </c>
      <c r="I72" t="s">
        <v>11</v>
      </c>
      <c r="J72" s="2">
        <v>44239.608807870369</v>
      </c>
    </row>
    <row r="73" spans="1:10" ht="12.75" customHeight="1" x14ac:dyDescent="0.3">
      <c r="A73">
        <v>1362600</v>
      </c>
      <c r="B73" t="s">
        <v>20</v>
      </c>
      <c r="C73" t="s">
        <v>21</v>
      </c>
      <c r="D73" t="s">
        <v>241</v>
      </c>
      <c r="E73" s="1" t="s">
        <v>242</v>
      </c>
      <c r="F73">
        <f>VLOOKUP(A73,Classifications!$A:$E,5,FALSE)</f>
        <v>1</v>
      </c>
      <c r="G73">
        <f>VLOOKUP(A73,Classifications!$A:$F,6,FALSE)</f>
        <v>2</v>
      </c>
      <c r="H73">
        <f>VLOOKUP(A73,Classifications!$A:$G,7,FALSE)</f>
        <v>41</v>
      </c>
      <c r="I73" t="s">
        <v>24</v>
      </c>
      <c r="J73" s="2">
        <v>44239.593090277776</v>
      </c>
    </row>
    <row r="74" spans="1:10" ht="12.75" customHeight="1" x14ac:dyDescent="0.3">
      <c r="A74">
        <v>1362595</v>
      </c>
      <c r="B74" t="s">
        <v>214</v>
      </c>
      <c r="C74" t="s">
        <v>215</v>
      </c>
      <c r="D74" t="s">
        <v>243</v>
      </c>
      <c r="E74" s="1" t="s">
        <v>244</v>
      </c>
      <c r="F74">
        <f>VLOOKUP(A74,Classifications!$A:$E,5,FALSE)</f>
        <v>1</v>
      </c>
      <c r="G74">
        <f>VLOOKUP(A74,Classifications!$A:$F,6,FALSE)</f>
        <v>1</v>
      </c>
      <c r="H74">
        <f>VLOOKUP(A74,Classifications!$A:$G,7,FALSE)</f>
        <v>43</v>
      </c>
      <c r="I74" t="s">
        <v>11</v>
      </c>
      <c r="J74" s="2">
        <v>44239.579432870371</v>
      </c>
    </row>
    <row r="75" spans="1:10" ht="12.75" customHeight="1" x14ac:dyDescent="0.3">
      <c r="A75">
        <v>1362576</v>
      </c>
      <c r="B75" t="s">
        <v>177</v>
      </c>
      <c r="C75" t="s">
        <v>178</v>
      </c>
      <c r="D75" t="s">
        <v>245</v>
      </c>
      <c r="E75" s="1" t="s">
        <v>246</v>
      </c>
      <c r="F75">
        <f>VLOOKUP(A75,Classifications!$A:$E,5,FALSE)</f>
        <v>2</v>
      </c>
      <c r="G75">
        <f>VLOOKUP(A75,Classifications!$A:$F,6,FALSE)</f>
        <v>3</v>
      </c>
      <c r="H75">
        <f>VLOOKUP(A75,Classifications!$A:$G,7,FALSE)</f>
        <v>41</v>
      </c>
      <c r="I75" t="s">
        <v>11</v>
      </c>
      <c r="J75" s="2">
        <v>44239.533217592594</v>
      </c>
    </row>
    <row r="76" spans="1:10" ht="12.75" customHeight="1" x14ac:dyDescent="0.3">
      <c r="A76">
        <v>1362570</v>
      </c>
      <c r="B76" t="s">
        <v>177</v>
      </c>
      <c r="C76" t="s">
        <v>247</v>
      </c>
      <c r="D76" t="s">
        <v>248</v>
      </c>
      <c r="E76" s="1" t="s">
        <v>249</v>
      </c>
      <c r="F76">
        <f>VLOOKUP(A76,Classifications!$A:$E,5,FALSE)</f>
        <v>1</v>
      </c>
      <c r="G76">
        <f>VLOOKUP(A76,Classifications!$A:$F,6,FALSE)</f>
        <v>2</v>
      </c>
      <c r="H76">
        <f>VLOOKUP(A76,Classifications!$A:$G,7,FALSE)</f>
        <v>41</v>
      </c>
      <c r="I76" t="s">
        <v>24</v>
      </c>
      <c r="J76" s="2">
        <v>44239.519305555557</v>
      </c>
    </row>
    <row r="77" spans="1:10" ht="12.75" customHeight="1" x14ac:dyDescent="0.3">
      <c r="A77">
        <v>1362557</v>
      </c>
      <c r="B77" t="s">
        <v>20</v>
      </c>
      <c r="C77" t="s">
        <v>250</v>
      </c>
      <c r="D77" t="s">
        <v>251</v>
      </c>
      <c r="E77" s="1" t="s">
        <v>252</v>
      </c>
      <c r="F77">
        <f>VLOOKUP(A77,Classifications!$A:$E,5,FALSE)</f>
        <v>1</v>
      </c>
      <c r="G77">
        <f>VLOOKUP(A77,Classifications!$A:$F,6,FALSE)</f>
        <v>2</v>
      </c>
      <c r="H77">
        <f>VLOOKUP(A77,Classifications!$A:$G,7,FALSE)</f>
        <v>41</v>
      </c>
      <c r="I77" t="s">
        <v>24</v>
      </c>
      <c r="J77" s="2">
        <v>44239.483425925922</v>
      </c>
    </row>
    <row r="78" spans="1:10" ht="12.75" customHeight="1" x14ac:dyDescent="0.3">
      <c r="A78">
        <v>1362545</v>
      </c>
      <c r="B78" t="s">
        <v>20</v>
      </c>
      <c r="C78" t="s">
        <v>253</v>
      </c>
      <c r="D78" t="s">
        <v>254</v>
      </c>
      <c r="E78" t="s">
        <v>255</v>
      </c>
      <c r="F78">
        <f>VLOOKUP(A78,Classifications!$A:$E,5,FALSE)</f>
        <v>1</v>
      </c>
      <c r="G78">
        <f>VLOOKUP(A78,Classifications!$A:$F,6,FALSE)</f>
        <v>3</v>
      </c>
      <c r="H78">
        <f>VLOOKUP(A78,Classifications!$A:$G,7,FALSE)</f>
        <v>41</v>
      </c>
      <c r="I78" t="s">
        <v>24</v>
      </c>
      <c r="J78" s="2">
        <v>44239.472488425927</v>
      </c>
    </row>
    <row r="79" spans="1:10" ht="12.75" customHeight="1" x14ac:dyDescent="0.3">
      <c r="A79">
        <v>1362531</v>
      </c>
      <c r="B79" t="s">
        <v>20</v>
      </c>
      <c r="C79" t="s">
        <v>256</v>
      </c>
      <c r="D79" t="s">
        <v>257</v>
      </c>
      <c r="E79" s="1" t="s">
        <v>258</v>
      </c>
      <c r="F79">
        <f>VLOOKUP(A79,Classifications!$A:$E,5,FALSE)</f>
        <v>1</v>
      </c>
      <c r="G79">
        <f>VLOOKUP(A79,Classifications!$A:$F,6,FALSE)</f>
        <v>2</v>
      </c>
      <c r="H79">
        <f>VLOOKUP(A79,Classifications!$A:$G,7,FALSE)</f>
        <v>41</v>
      </c>
      <c r="I79" t="s">
        <v>24</v>
      </c>
      <c r="J79" s="2">
        <v>44239.449837962966</v>
      </c>
    </row>
    <row r="80" spans="1:10" ht="12.75" customHeight="1" x14ac:dyDescent="0.3">
      <c r="A80">
        <v>1362523</v>
      </c>
      <c r="B80" t="s">
        <v>259</v>
      </c>
      <c r="C80" t="s">
        <v>260</v>
      </c>
      <c r="D80" t="s">
        <v>261</v>
      </c>
      <c r="E80" s="1" t="s">
        <v>262</v>
      </c>
      <c r="F80">
        <f>VLOOKUP(A80,Classifications!$A:$E,5,FALSE)</f>
        <v>1</v>
      </c>
      <c r="G80">
        <f>VLOOKUP(A80,Classifications!$A:$F,6,FALSE)</f>
        <v>3</v>
      </c>
      <c r="H80">
        <f>VLOOKUP(A80,Classifications!$A:$G,7,FALSE)</f>
        <v>41</v>
      </c>
      <c r="I80" t="s">
        <v>11</v>
      </c>
      <c r="J80" s="2">
        <v>44239.442673611113</v>
      </c>
    </row>
    <row r="81" spans="1:10" ht="12.75" customHeight="1" x14ac:dyDescent="0.3">
      <c r="A81">
        <v>1362519</v>
      </c>
      <c r="B81" t="s">
        <v>36</v>
      </c>
      <c r="C81" t="s">
        <v>263</v>
      </c>
      <c r="D81" t="s">
        <v>264</v>
      </c>
      <c r="E81" s="1" t="s">
        <v>265</v>
      </c>
      <c r="F81">
        <f>VLOOKUP(A81,Classifications!$A:$E,5,FALSE)</f>
        <v>2</v>
      </c>
      <c r="G81">
        <f>VLOOKUP(A81,Classifications!$A:$F,6,FALSE)</f>
        <v>2</v>
      </c>
      <c r="H81">
        <f>VLOOKUP(A81,Classifications!$A:$G,7,FALSE)</f>
        <v>41</v>
      </c>
      <c r="I81" t="s">
        <v>24</v>
      </c>
      <c r="J81" s="2">
        <v>44239.433935185189</v>
      </c>
    </row>
    <row r="82" spans="1:10" ht="12.75" customHeight="1" x14ac:dyDescent="0.3">
      <c r="A82">
        <v>1362475</v>
      </c>
      <c r="B82" t="s">
        <v>20</v>
      </c>
      <c r="C82" t="s">
        <v>266</v>
      </c>
      <c r="D82" t="s">
        <v>267</v>
      </c>
      <c r="E82" s="1" t="s">
        <v>268</v>
      </c>
      <c r="F82">
        <f>VLOOKUP(A82,Classifications!$A:$E,5,FALSE)</f>
        <v>1</v>
      </c>
      <c r="G82">
        <f>VLOOKUP(A82,Classifications!$A:$F,6,FALSE)</f>
        <v>2</v>
      </c>
      <c r="H82">
        <f>VLOOKUP(A82,Classifications!$A:$G,7,FALSE)</f>
        <v>41</v>
      </c>
      <c r="I82" t="s">
        <v>24</v>
      </c>
      <c r="J82" s="2">
        <v>44239.401435185187</v>
      </c>
    </row>
    <row r="83" spans="1:10" ht="12.75" customHeight="1" x14ac:dyDescent="0.3">
      <c r="A83">
        <v>1362463</v>
      </c>
      <c r="B83" t="s">
        <v>20</v>
      </c>
      <c r="C83" t="s">
        <v>269</v>
      </c>
      <c r="D83" t="s">
        <v>270</v>
      </c>
      <c r="E83" s="1" t="s">
        <v>271</v>
      </c>
      <c r="F83">
        <f>VLOOKUP(A83,Classifications!$A:$E,5,FALSE)</f>
        <v>3</v>
      </c>
      <c r="G83">
        <f>VLOOKUP(A83,Classifications!$A:$F,6,FALSE)</f>
        <v>2</v>
      </c>
      <c r="H83">
        <f>VLOOKUP(A83,Classifications!$A:$G,7,FALSE)</f>
        <v>41</v>
      </c>
      <c r="I83" t="s">
        <v>24</v>
      </c>
      <c r="J83" s="2">
        <v>44239.39371527778</v>
      </c>
    </row>
    <row r="84" spans="1:10" ht="12.75" customHeight="1" x14ac:dyDescent="0.3">
      <c r="A84">
        <v>1362425</v>
      </c>
      <c r="B84" t="s">
        <v>16</v>
      </c>
      <c r="C84" t="s">
        <v>272</v>
      </c>
      <c r="D84" t="s">
        <v>273</v>
      </c>
      <c r="E84" s="1" t="s">
        <v>274</v>
      </c>
      <c r="F84">
        <f>VLOOKUP(A84,Classifications!$A:$E,5,FALSE)</f>
        <v>1</v>
      </c>
      <c r="G84">
        <f>VLOOKUP(A84,Classifications!$A:$F,6,FALSE)</f>
        <v>1</v>
      </c>
      <c r="H84">
        <f>VLOOKUP(A84,Classifications!$A:$G,7,FALSE)</f>
        <v>41</v>
      </c>
      <c r="I84" t="s">
        <v>11</v>
      </c>
      <c r="J84" s="2">
        <v>44239.328726851854</v>
      </c>
    </row>
    <row r="85" spans="1:10" ht="12.75" customHeight="1" x14ac:dyDescent="0.3">
      <c r="A85">
        <v>1362031</v>
      </c>
      <c r="B85" t="s">
        <v>191</v>
      </c>
      <c r="C85" t="s">
        <v>192</v>
      </c>
      <c r="D85" t="s">
        <v>275</v>
      </c>
      <c r="E85" s="1" t="s">
        <v>276</v>
      </c>
      <c r="F85">
        <f>VLOOKUP(A85,Classifications!$A:$E,5,FALSE)</f>
        <v>1</v>
      </c>
      <c r="G85">
        <f>VLOOKUP(A85,Classifications!$A:$F,6,FALSE)</f>
        <v>3</v>
      </c>
      <c r="H85">
        <f>VLOOKUP(A85,Classifications!$A:$G,7,FALSE)</f>
        <v>41</v>
      </c>
      <c r="I85" t="s">
        <v>11</v>
      </c>
      <c r="J85" s="2">
        <v>44238.804178240738</v>
      </c>
    </row>
    <row r="86" spans="1:10" ht="12.75" customHeight="1" x14ac:dyDescent="0.3">
      <c r="A86">
        <v>1361897</v>
      </c>
      <c r="B86" t="s">
        <v>277</v>
      </c>
      <c r="C86" t="s">
        <v>278</v>
      </c>
      <c r="D86" t="s">
        <v>279</v>
      </c>
      <c r="E86" s="1" t="s">
        <v>280</v>
      </c>
      <c r="F86">
        <f>VLOOKUP(A86,Classifications!$A:$E,5,FALSE)</f>
        <v>2</v>
      </c>
      <c r="G86">
        <f>VLOOKUP(A86,Classifications!$A:$F,6,FALSE)</f>
        <v>2</v>
      </c>
      <c r="H86">
        <f>VLOOKUP(A86,Classifications!$A:$G,7,FALSE)</f>
        <v>41</v>
      </c>
      <c r="I86" t="s">
        <v>11</v>
      </c>
      <c r="J86" s="2">
        <v>44238.574479166666</v>
      </c>
    </row>
    <row r="87" spans="1:10" ht="12.75" customHeight="1" x14ac:dyDescent="0.3">
      <c r="A87">
        <v>1361891</v>
      </c>
      <c r="B87" t="s">
        <v>281</v>
      </c>
      <c r="C87" t="s">
        <v>282</v>
      </c>
      <c r="D87" t="s">
        <v>283</v>
      </c>
      <c r="E87" s="1" t="s">
        <v>284</v>
      </c>
      <c r="F87">
        <f>VLOOKUP(A87,Classifications!$A:$E,5,FALSE)</f>
        <v>1</v>
      </c>
      <c r="G87">
        <f>VLOOKUP(A87,Classifications!$A:$F,6,FALSE)</f>
        <v>2</v>
      </c>
      <c r="H87">
        <f>VLOOKUP(A87,Classifications!$A:$G,7,FALSE)</f>
        <v>43</v>
      </c>
      <c r="I87" t="s">
        <v>11</v>
      </c>
      <c r="J87" s="2">
        <v>44238.567800925928</v>
      </c>
    </row>
    <row r="88" spans="1:10" ht="12.75" customHeight="1" x14ac:dyDescent="0.3">
      <c r="A88">
        <v>1361878</v>
      </c>
      <c r="B88" t="s">
        <v>53</v>
      </c>
      <c r="C88" t="s">
        <v>54</v>
      </c>
      <c r="D88" t="s">
        <v>285</v>
      </c>
      <c r="E88" s="1" t="s">
        <v>286</v>
      </c>
      <c r="F88">
        <f>VLOOKUP(A88,Classifications!$A:$E,5,FALSE)</f>
        <v>2</v>
      </c>
      <c r="G88">
        <f>VLOOKUP(A88,Classifications!$A:$F,6,FALSE)</f>
        <v>2</v>
      </c>
      <c r="H88">
        <f>VLOOKUP(A88,Classifications!$A:$G,7,FALSE)</f>
        <v>41</v>
      </c>
      <c r="I88" t="s">
        <v>11</v>
      </c>
      <c r="J88" s="2">
        <v>44238.53837962963</v>
      </c>
    </row>
    <row r="89" spans="1:10" ht="12.75" customHeight="1" x14ac:dyDescent="0.3">
      <c r="A89">
        <v>1361877</v>
      </c>
      <c r="B89" t="s">
        <v>36</v>
      </c>
      <c r="C89" t="s">
        <v>287</v>
      </c>
      <c r="D89" t="s">
        <v>288</v>
      </c>
      <c r="E89" s="1" t="s">
        <v>289</v>
      </c>
      <c r="F89">
        <f>VLOOKUP(A89,Classifications!$A:$E,5,FALSE)</f>
        <v>3</v>
      </c>
      <c r="G89">
        <f>VLOOKUP(A89,Classifications!$A:$F,6,FALSE)</f>
        <v>2</v>
      </c>
      <c r="H89">
        <f>VLOOKUP(A89,Classifications!$A:$G,7,FALSE)</f>
        <v>41</v>
      </c>
      <c r="I89" t="s">
        <v>24</v>
      </c>
      <c r="J89" s="2">
        <v>44238.533935185187</v>
      </c>
    </row>
    <row r="90" spans="1:10" ht="12.75" customHeight="1" x14ac:dyDescent="0.3">
      <c r="A90">
        <v>1361859</v>
      </c>
      <c r="B90" t="s">
        <v>290</v>
      </c>
      <c r="C90" t="s">
        <v>291</v>
      </c>
      <c r="D90" t="s">
        <v>292</v>
      </c>
      <c r="E90" s="1" t="s">
        <v>293</v>
      </c>
      <c r="F90">
        <f>VLOOKUP(A90,Classifications!$A:$E,5,FALSE)</f>
        <v>2</v>
      </c>
      <c r="G90">
        <f>VLOOKUP(A90,Classifications!$A:$F,6,FALSE)</f>
        <v>2</v>
      </c>
      <c r="H90">
        <f>VLOOKUP(A90,Classifications!$A:$G,7,FALSE)</f>
        <v>41</v>
      </c>
      <c r="I90" t="s">
        <v>24</v>
      </c>
      <c r="J90" s="2">
        <v>44238.492835648147</v>
      </c>
    </row>
    <row r="91" spans="1:10" ht="12.75" customHeight="1" x14ac:dyDescent="0.3">
      <c r="A91">
        <v>1361834</v>
      </c>
      <c r="B91" t="s">
        <v>74</v>
      </c>
      <c r="C91" t="s">
        <v>294</v>
      </c>
      <c r="D91" t="s">
        <v>295</v>
      </c>
      <c r="E91" s="1" t="s">
        <v>296</v>
      </c>
      <c r="F91">
        <f>VLOOKUP(A91,Classifications!$A:$E,5,FALSE)</f>
        <v>2</v>
      </c>
      <c r="G91">
        <f>VLOOKUP(A91,Classifications!$A:$F,6,FALSE)</f>
        <v>3</v>
      </c>
      <c r="H91">
        <f>VLOOKUP(A91,Classifications!$A:$G,7,FALSE)</f>
        <v>41</v>
      </c>
      <c r="I91" t="s">
        <v>24</v>
      </c>
      <c r="J91" s="2">
        <v>44238.440127314818</v>
      </c>
    </row>
    <row r="92" spans="1:10" ht="12.75" customHeight="1" x14ac:dyDescent="0.3">
      <c r="A92">
        <v>1361778</v>
      </c>
      <c r="B92" t="s">
        <v>297</v>
      </c>
      <c r="C92" t="s">
        <v>298</v>
      </c>
      <c r="D92" t="s">
        <v>299</v>
      </c>
      <c r="E92" s="1" t="s">
        <v>300</v>
      </c>
      <c r="F92">
        <f>VLOOKUP(A92,Classifications!$A:$E,5,FALSE)</f>
        <v>3</v>
      </c>
      <c r="G92">
        <f>VLOOKUP(A92,Classifications!$A:$F,6,FALSE)</f>
        <v>3</v>
      </c>
      <c r="H92">
        <f>VLOOKUP(A92,Classifications!$A:$G,7,FALSE)</f>
        <v>41</v>
      </c>
      <c r="I92" t="s">
        <v>11</v>
      </c>
      <c r="J92" s="2">
        <v>44238.377233796295</v>
      </c>
    </row>
    <row r="93" spans="1:10" ht="12.75" customHeight="1" x14ac:dyDescent="0.3">
      <c r="A93">
        <v>1361742</v>
      </c>
      <c r="B93" t="s">
        <v>301</v>
      </c>
      <c r="C93" t="s">
        <v>302</v>
      </c>
      <c r="D93" t="s">
        <v>303</v>
      </c>
      <c r="E93" s="1" t="s">
        <v>304</v>
      </c>
      <c r="F93">
        <f>VLOOKUP(A93,Classifications!$A:$E,5,FALSE)</f>
        <v>1</v>
      </c>
      <c r="G93">
        <f>VLOOKUP(A93,Classifications!$A:$F,6,FALSE)</f>
        <v>3</v>
      </c>
      <c r="H93">
        <f>VLOOKUP(A93,Classifications!$A:$G,7,FALSE)</f>
        <v>41</v>
      </c>
      <c r="I93" t="s">
        <v>11</v>
      </c>
      <c r="J93" s="2">
        <v>44238.259942129633</v>
      </c>
    </row>
    <row r="94" spans="1:10" ht="12.75" customHeight="1" x14ac:dyDescent="0.3">
      <c r="A94">
        <v>1361483</v>
      </c>
      <c r="B94" t="s">
        <v>91</v>
      </c>
      <c r="C94" t="s">
        <v>305</v>
      </c>
      <c r="D94" t="s">
        <v>306</v>
      </c>
      <c r="E94" s="1" t="s">
        <v>307</v>
      </c>
      <c r="F94">
        <f>VLOOKUP(A94,Classifications!$A:$E,5,FALSE)</f>
        <v>2</v>
      </c>
      <c r="G94">
        <f>VLOOKUP(A94,Classifications!$A:$F,6,FALSE)</f>
        <v>3</v>
      </c>
      <c r="H94">
        <f>VLOOKUP(A94,Classifications!$A:$G,7,FALSE)</f>
        <v>41</v>
      </c>
      <c r="I94" t="s">
        <v>11</v>
      </c>
      <c r="J94" s="2">
        <v>44237.693888888891</v>
      </c>
    </row>
    <row r="95" spans="1:10" ht="12.75" customHeight="1" x14ac:dyDescent="0.3">
      <c r="A95">
        <v>1361463</v>
      </c>
      <c r="B95" t="s">
        <v>290</v>
      </c>
      <c r="C95" t="s">
        <v>308</v>
      </c>
      <c r="D95" t="s">
        <v>309</v>
      </c>
      <c r="E95" s="1" t="s">
        <v>310</v>
      </c>
      <c r="F95">
        <f>VLOOKUP(A95,Classifications!$A:$E,5,FALSE)</f>
        <v>2</v>
      </c>
      <c r="G95">
        <f>VLOOKUP(A95,Classifications!$A:$F,6,FALSE)</f>
        <v>2</v>
      </c>
      <c r="H95">
        <f>VLOOKUP(A95,Classifications!$A:$G,7,FALSE)</f>
        <v>43</v>
      </c>
      <c r="I95" t="s">
        <v>24</v>
      </c>
      <c r="J95" s="2">
        <v>44237.649814814817</v>
      </c>
    </row>
    <row r="96" spans="1:10" ht="12.75" customHeight="1" x14ac:dyDescent="0.3">
      <c r="A96">
        <v>1361454</v>
      </c>
      <c r="B96" t="s">
        <v>311</v>
      </c>
      <c r="C96" t="s">
        <v>312</v>
      </c>
      <c r="D96" t="s">
        <v>313</v>
      </c>
      <c r="E96" s="1" t="s">
        <v>314</v>
      </c>
      <c r="F96">
        <f>VLOOKUP(A96,Classifications!$A:$E,5,FALSE)</f>
        <v>2</v>
      </c>
      <c r="G96">
        <f>VLOOKUP(A96,Classifications!$A:$F,6,FALSE)</f>
        <v>2</v>
      </c>
      <c r="H96">
        <f>VLOOKUP(A96,Classifications!$A:$G,7,FALSE)</f>
        <v>41</v>
      </c>
      <c r="I96" t="s">
        <v>24</v>
      </c>
      <c r="J96" s="2">
        <v>44237.625115740739</v>
      </c>
    </row>
    <row r="97" spans="1:10" ht="12.75" customHeight="1" x14ac:dyDescent="0.3">
      <c r="A97">
        <v>1361450</v>
      </c>
      <c r="B97" t="s">
        <v>49</v>
      </c>
      <c r="C97" t="s">
        <v>315</v>
      </c>
      <c r="D97" t="s">
        <v>316</v>
      </c>
      <c r="E97" s="1" t="s">
        <v>317</v>
      </c>
      <c r="F97">
        <f>VLOOKUP(A97,Classifications!$A:$E,5,FALSE)</f>
        <v>1</v>
      </c>
      <c r="G97">
        <f>VLOOKUP(A97,Classifications!$A:$F,6,FALSE)</f>
        <v>3</v>
      </c>
      <c r="H97">
        <f>VLOOKUP(A97,Classifications!$A:$G,7,FALSE)</f>
        <v>41</v>
      </c>
      <c r="I97" t="s">
        <v>24</v>
      </c>
      <c r="J97" s="2">
        <v>44237.611215277779</v>
      </c>
    </row>
    <row r="98" spans="1:10" ht="12.75" customHeight="1" x14ac:dyDescent="0.3">
      <c r="A98">
        <v>1361436</v>
      </c>
      <c r="B98" t="s">
        <v>318</v>
      </c>
      <c r="C98" t="s">
        <v>319</v>
      </c>
      <c r="D98" t="s">
        <v>320</v>
      </c>
      <c r="E98" s="1" t="s">
        <v>321</v>
      </c>
      <c r="F98">
        <f>VLOOKUP(A98,Classifications!$A:$E,5,FALSE)</f>
        <v>2</v>
      </c>
      <c r="G98">
        <f>VLOOKUP(A98,Classifications!$A:$F,6,FALSE)</f>
        <v>2</v>
      </c>
      <c r="H98">
        <f>VLOOKUP(A98,Classifications!$A:$G,7,FALSE)</f>
        <v>41</v>
      </c>
      <c r="I98" t="s">
        <v>24</v>
      </c>
      <c r="J98" s="2">
        <v>44237.564849537041</v>
      </c>
    </row>
    <row r="99" spans="1:10" ht="12.75" customHeight="1" x14ac:dyDescent="0.3">
      <c r="A99">
        <v>1361402</v>
      </c>
      <c r="B99" t="s">
        <v>118</v>
      </c>
      <c r="C99" t="s">
        <v>158</v>
      </c>
      <c r="D99" t="s">
        <v>322</v>
      </c>
      <c r="E99" s="1" t="s">
        <v>323</v>
      </c>
      <c r="F99">
        <f>VLOOKUP(A99,Classifications!$A:$E,5,FALSE)</f>
        <v>3</v>
      </c>
      <c r="G99">
        <f>VLOOKUP(A99,Classifications!$A:$F,6,FALSE)</f>
        <v>3</v>
      </c>
      <c r="H99">
        <f>VLOOKUP(A99,Classifications!$A:$G,7,FALSE)</f>
        <v>43</v>
      </c>
      <c r="I99" t="s">
        <v>11</v>
      </c>
      <c r="J99" s="2">
        <v>44237.479583333334</v>
      </c>
    </row>
    <row r="100" spans="1:10" ht="12.75" customHeight="1" x14ac:dyDescent="0.3">
      <c r="A100">
        <v>1361400</v>
      </c>
      <c r="B100" t="s">
        <v>36</v>
      </c>
      <c r="C100" t="s">
        <v>324</v>
      </c>
      <c r="D100" t="s">
        <v>325</v>
      </c>
      <c r="E100" s="1" t="s">
        <v>326</v>
      </c>
      <c r="F100">
        <f>VLOOKUP(A100,Classifications!$A:$E,5,FALSE)</f>
        <v>2</v>
      </c>
      <c r="G100">
        <f>VLOOKUP(A100,Classifications!$A:$F,6,FALSE)</f>
        <v>2</v>
      </c>
      <c r="H100">
        <f>VLOOKUP(A100,Classifications!$A:$G,7,FALSE)</f>
        <v>43</v>
      </c>
      <c r="I100" t="s">
        <v>24</v>
      </c>
      <c r="J100" s="2">
        <v>44237.477662037039</v>
      </c>
    </row>
    <row r="101" spans="1:10" ht="12.75" customHeight="1" x14ac:dyDescent="0.3">
      <c r="A101">
        <v>1361394</v>
      </c>
      <c r="B101" t="s">
        <v>20</v>
      </c>
      <c r="C101" t="s">
        <v>57</v>
      </c>
      <c r="D101" t="s">
        <v>327</v>
      </c>
      <c r="E101" s="1" t="s">
        <v>328</v>
      </c>
      <c r="F101">
        <f>VLOOKUP(A101,Classifications!$A:$E,5,FALSE)</f>
        <v>2</v>
      </c>
      <c r="G101">
        <f>VLOOKUP(A101,Classifications!$A:$F,6,FALSE)</f>
        <v>3</v>
      </c>
      <c r="H101">
        <f>VLOOKUP(A101,Classifications!$A:$G,7,FALSE)</f>
        <v>41</v>
      </c>
      <c r="I101" t="s">
        <v>24</v>
      </c>
      <c r="J101" s="2">
        <v>44237.464930555558</v>
      </c>
    </row>
    <row r="102" spans="1:10" ht="12.75" customHeight="1" x14ac:dyDescent="0.3">
      <c r="A102">
        <v>1361393</v>
      </c>
      <c r="B102" t="s">
        <v>20</v>
      </c>
      <c r="C102" t="s">
        <v>269</v>
      </c>
      <c r="D102" t="s">
        <v>329</v>
      </c>
      <c r="E102" s="1" t="s">
        <v>330</v>
      </c>
      <c r="F102">
        <f>VLOOKUP(A102,Classifications!$A:$E,5,FALSE)</f>
        <v>2</v>
      </c>
      <c r="G102">
        <f>VLOOKUP(A102,Classifications!$A:$F,6,FALSE)</f>
        <v>2</v>
      </c>
      <c r="H102">
        <f>VLOOKUP(A102,Classifications!$A:$G,7,FALSE)</f>
        <v>41</v>
      </c>
      <c r="I102" t="s">
        <v>24</v>
      </c>
      <c r="J102" s="2">
        <v>44237.458472222221</v>
      </c>
    </row>
    <row r="103" spans="1:10" ht="12.75" customHeight="1" x14ac:dyDescent="0.3">
      <c r="A103">
        <v>1361388</v>
      </c>
      <c r="B103" t="s">
        <v>331</v>
      </c>
      <c r="C103" t="s">
        <v>332</v>
      </c>
      <c r="D103" t="s">
        <v>333</v>
      </c>
      <c r="E103" s="1" t="s">
        <v>334</v>
      </c>
      <c r="F103">
        <f>VLOOKUP(A103,Classifications!$A:$E,5,FALSE)</f>
        <v>2</v>
      </c>
      <c r="G103">
        <f>VLOOKUP(A103,Classifications!$A:$F,6,FALSE)</f>
        <v>3</v>
      </c>
      <c r="H103">
        <f>VLOOKUP(A103,Classifications!$A:$G,7,FALSE)</f>
        <v>41</v>
      </c>
      <c r="I103" t="s">
        <v>11</v>
      </c>
      <c r="J103" s="2">
        <v>44237.446979166663</v>
      </c>
    </row>
    <row r="104" spans="1:10" ht="12.75" customHeight="1" x14ac:dyDescent="0.3">
      <c r="A104">
        <v>1361326</v>
      </c>
      <c r="B104" t="s">
        <v>335</v>
      </c>
      <c r="C104" t="s">
        <v>158</v>
      </c>
      <c r="D104" t="s">
        <v>336</v>
      </c>
      <c r="E104" s="1" t="s">
        <v>337</v>
      </c>
      <c r="F104">
        <f>VLOOKUP(A104,Classifications!$A:$E,5,FALSE)</f>
        <v>2</v>
      </c>
      <c r="G104">
        <f>VLOOKUP(A104,Classifications!$A:$F,6,FALSE)</f>
        <v>3</v>
      </c>
      <c r="H104">
        <f>VLOOKUP(A104,Classifications!$A:$G,7,FALSE)</f>
        <v>41</v>
      </c>
      <c r="I104" t="s">
        <v>24</v>
      </c>
      <c r="J104" s="2">
        <v>44237.391770833332</v>
      </c>
    </row>
    <row r="105" spans="1:10" ht="12.75" customHeight="1" x14ac:dyDescent="0.3">
      <c r="A105">
        <v>1360915</v>
      </c>
      <c r="B105" t="s">
        <v>12</v>
      </c>
      <c r="C105" t="s">
        <v>338</v>
      </c>
      <c r="D105" t="s">
        <v>339</v>
      </c>
      <c r="E105" s="1" t="s">
        <v>340</v>
      </c>
      <c r="F105">
        <f>VLOOKUP(A105,Classifications!$A:$E,5,FALSE)</f>
        <v>3</v>
      </c>
      <c r="G105">
        <f>VLOOKUP(A105,Classifications!$A:$F,6,FALSE)</f>
        <v>3</v>
      </c>
      <c r="H105">
        <f>VLOOKUP(A105,Classifications!$A:$G,7,FALSE)</f>
        <v>43</v>
      </c>
      <c r="I105" t="s">
        <v>11</v>
      </c>
      <c r="J105" s="2">
        <v>44236.679282407407</v>
      </c>
    </row>
    <row r="106" spans="1:10" ht="12.75" customHeight="1" x14ac:dyDescent="0.3">
      <c r="A106">
        <v>1360914</v>
      </c>
      <c r="B106" t="s">
        <v>16</v>
      </c>
      <c r="C106" t="s">
        <v>181</v>
      </c>
      <c r="D106" t="s">
        <v>341</v>
      </c>
      <c r="E106" s="1" t="s">
        <v>342</v>
      </c>
      <c r="F106">
        <f>VLOOKUP(A106,Classifications!$A:$E,5,FALSE)</f>
        <v>1</v>
      </c>
      <c r="G106">
        <f>VLOOKUP(A106,Classifications!$A:$F,6,FALSE)</f>
        <v>1</v>
      </c>
      <c r="H106">
        <f>VLOOKUP(A106,Classifications!$A:$G,7,FALSE)</f>
        <v>43</v>
      </c>
      <c r="I106" t="s">
        <v>11</v>
      </c>
      <c r="J106" s="2">
        <v>44236.677835648145</v>
      </c>
    </row>
    <row r="107" spans="1:10" ht="12.75" customHeight="1" x14ac:dyDescent="0.3">
      <c r="A107">
        <v>1360906</v>
      </c>
      <c r="B107" t="s">
        <v>36</v>
      </c>
      <c r="C107" t="s">
        <v>343</v>
      </c>
      <c r="D107" t="s">
        <v>344</v>
      </c>
      <c r="E107" s="1" t="s">
        <v>345</v>
      </c>
      <c r="F107">
        <f>VLOOKUP(A107,Classifications!$A:$E,5,FALSE)</f>
        <v>1</v>
      </c>
      <c r="G107">
        <f>VLOOKUP(A107,Classifications!$A:$F,6,FALSE)</f>
        <v>1</v>
      </c>
      <c r="H107">
        <f>VLOOKUP(A107,Classifications!$A:$G,7,FALSE)</f>
        <v>43</v>
      </c>
      <c r="I107" t="s">
        <v>24</v>
      </c>
      <c r="J107" s="2">
        <v>44236.655381944445</v>
      </c>
    </row>
    <row r="108" spans="1:10" ht="12.75" customHeight="1" x14ac:dyDescent="0.3">
      <c r="A108">
        <v>1360905</v>
      </c>
      <c r="B108" t="s">
        <v>346</v>
      </c>
      <c r="C108" t="s">
        <v>347</v>
      </c>
      <c r="D108" t="s">
        <v>348</v>
      </c>
      <c r="E108" s="1" t="s">
        <v>349</v>
      </c>
      <c r="F108">
        <f>VLOOKUP(A108,Classifications!$A:$E,5,FALSE)</f>
        <v>1</v>
      </c>
      <c r="G108">
        <f>VLOOKUP(A108,Classifications!$A:$F,6,FALSE)</f>
        <v>1</v>
      </c>
      <c r="H108">
        <f>VLOOKUP(A108,Classifications!$A:$G,7,FALSE)</f>
        <v>43</v>
      </c>
      <c r="I108" t="s">
        <v>11</v>
      </c>
      <c r="J108" s="2">
        <v>44236.65347222222</v>
      </c>
    </row>
    <row r="109" spans="1:10" ht="12.75" customHeight="1" x14ac:dyDescent="0.3">
      <c r="A109">
        <v>1360894</v>
      </c>
      <c r="B109" t="s">
        <v>350</v>
      </c>
      <c r="C109" t="s">
        <v>351</v>
      </c>
      <c r="D109" t="s">
        <v>352</v>
      </c>
      <c r="E109" s="1" t="s">
        <v>353</v>
      </c>
      <c r="F109">
        <f>VLOOKUP(A109,Classifications!$A:$E,5,FALSE)</f>
        <v>2</v>
      </c>
      <c r="G109">
        <f>VLOOKUP(A109,Classifications!$A:$F,6,FALSE)</f>
        <v>1</v>
      </c>
      <c r="H109">
        <f>VLOOKUP(A109,Classifications!$A:$G,7,FALSE)</f>
        <v>43</v>
      </c>
      <c r="I109" t="s">
        <v>24</v>
      </c>
      <c r="J109" s="2">
        <v>44236.623738425929</v>
      </c>
    </row>
    <row r="110" spans="1:10" ht="12.75" customHeight="1" x14ac:dyDescent="0.3">
      <c r="A110">
        <v>1360887</v>
      </c>
      <c r="B110" t="s">
        <v>45</v>
      </c>
      <c r="C110" t="s">
        <v>354</v>
      </c>
      <c r="D110" t="s">
        <v>355</v>
      </c>
      <c r="E110" s="1" t="s">
        <v>356</v>
      </c>
      <c r="F110">
        <f>VLOOKUP(A110,Classifications!$A:$E,5,FALSE)</f>
        <v>2</v>
      </c>
      <c r="G110">
        <f>VLOOKUP(A110,Classifications!$A:$F,6,FALSE)</f>
        <v>2</v>
      </c>
      <c r="H110">
        <f>VLOOKUP(A110,Classifications!$A:$G,7,FALSE)</f>
        <v>41</v>
      </c>
      <c r="I110" t="s">
        <v>11</v>
      </c>
      <c r="J110" s="2">
        <v>44236.607418981483</v>
      </c>
    </row>
    <row r="111" spans="1:10" ht="12.75" customHeight="1" x14ac:dyDescent="0.3">
      <c r="A111">
        <v>1360886</v>
      </c>
      <c r="B111" t="s">
        <v>118</v>
      </c>
      <c r="C111" t="s">
        <v>200</v>
      </c>
      <c r="D111" t="s">
        <v>357</v>
      </c>
      <c r="E111" s="1" t="s">
        <v>358</v>
      </c>
      <c r="F111">
        <f>VLOOKUP(A111,Classifications!$A:$E,5,FALSE)</f>
        <v>1</v>
      </c>
      <c r="G111">
        <f>VLOOKUP(A111,Classifications!$A:$F,6,FALSE)</f>
        <v>2</v>
      </c>
      <c r="H111">
        <f>VLOOKUP(A111,Classifications!$A:$G,7,FALSE)</f>
        <v>41</v>
      </c>
      <c r="I111" t="s">
        <v>11</v>
      </c>
      <c r="J111" s="2">
        <v>44236.604872685188</v>
      </c>
    </row>
    <row r="112" spans="1:10" ht="12.75" customHeight="1" x14ac:dyDescent="0.3">
      <c r="A112">
        <v>1360885</v>
      </c>
      <c r="B112" t="s">
        <v>45</v>
      </c>
      <c r="C112" t="s">
        <v>354</v>
      </c>
      <c r="D112" t="s">
        <v>359</v>
      </c>
      <c r="E112" s="1" t="s">
        <v>356</v>
      </c>
      <c r="F112">
        <f>VLOOKUP(A112,Classifications!$A:$E,5,FALSE)</f>
        <v>1</v>
      </c>
      <c r="G112">
        <f>VLOOKUP(A112,Classifications!$A:$F,6,FALSE)</f>
        <v>2</v>
      </c>
      <c r="H112">
        <f>VLOOKUP(A112,Classifications!$A:$G,7,FALSE)</f>
        <v>41</v>
      </c>
      <c r="I112" t="s">
        <v>11</v>
      </c>
      <c r="J112" s="2">
        <v>44236.604490740741</v>
      </c>
    </row>
    <row r="113" spans="1:10" ht="12.75" customHeight="1" x14ac:dyDescent="0.3">
      <c r="A113">
        <v>1360883</v>
      </c>
      <c r="B113" t="s">
        <v>16</v>
      </c>
      <c r="C113" t="s">
        <v>360</v>
      </c>
      <c r="D113" t="s">
        <v>361</v>
      </c>
      <c r="E113" s="1" t="s">
        <v>362</v>
      </c>
      <c r="F113">
        <f>VLOOKUP(A113,Classifications!$A:$E,5,FALSE)</f>
        <v>1</v>
      </c>
      <c r="G113">
        <f>VLOOKUP(A113,Classifications!$A:$F,6,FALSE)</f>
        <v>2</v>
      </c>
      <c r="H113">
        <f>VLOOKUP(A113,Classifications!$A:$G,7,FALSE)</f>
        <v>41</v>
      </c>
      <c r="I113" t="s">
        <v>11</v>
      </c>
      <c r="J113" s="2">
        <v>44236.598599537036</v>
      </c>
    </row>
    <row r="114" spans="1:10" ht="12.75" customHeight="1" x14ac:dyDescent="0.3">
      <c r="A114">
        <v>1360874</v>
      </c>
      <c r="B114" t="s">
        <v>20</v>
      </c>
      <c r="C114" t="s">
        <v>363</v>
      </c>
      <c r="D114" t="s">
        <v>364</v>
      </c>
      <c r="E114" s="1" t="s">
        <v>365</v>
      </c>
      <c r="F114">
        <f>VLOOKUP(A114,Classifications!$A:$E,5,FALSE)</f>
        <v>2</v>
      </c>
      <c r="G114">
        <f>VLOOKUP(A114,Classifications!$A:$F,6,FALSE)</f>
        <v>1</v>
      </c>
      <c r="H114">
        <f>VLOOKUP(A114,Classifications!$A:$G,7,FALSE)</f>
        <v>43</v>
      </c>
      <c r="I114" t="s">
        <v>24</v>
      </c>
      <c r="J114" s="2">
        <v>44236.590925925928</v>
      </c>
    </row>
    <row r="115" spans="1:10" ht="12.75" customHeight="1" x14ac:dyDescent="0.3">
      <c r="A115">
        <v>1360866</v>
      </c>
      <c r="B115" t="s">
        <v>7</v>
      </c>
      <c r="C115" t="s">
        <v>366</v>
      </c>
      <c r="D115" t="s">
        <v>367</v>
      </c>
      <c r="E115" s="1" t="s">
        <v>368</v>
      </c>
      <c r="F115">
        <f>VLOOKUP(A115,Classifications!$A:$E,5,FALSE)</f>
        <v>1</v>
      </c>
      <c r="G115">
        <f>VLOOKUP(A115,Classifications!$A:$F,6,FALSE)</f>
        <v>3</v>
      </c>
      <c r="H115">
        <f>VLOOKUP(A115,Classifications!$A:$G,7,FALSE)</f>
        <v>41</v>
      </c>
      <c r="I115" t="s">
        <v>11</v>
      </c>
      <c r="J115" s="2">
        <v>44236.58152777778</v>
      </c>
    </row>
    <row r="116" spans="1:10" ht="12.75" customHeight="1" x14ac:dyDescent="0.3">
      <c r="A116">
        <v>1360864</v>
      </c>
      <c r="B116" t="s">
        <v>70</v>
      </c>
      <c r="C116" t="s">
        <v>369</v>
      </c>
      <c r="D116" t="s">
        <v>370</v>
      </c>
      <c r="E116" s="1" t="s">
        <v>371</v>
      </c>
      <c r="F116">
        <f>VLOOKUP(A116,Classifications!$A:$E,5,FALSE)</f>
        <v>1</v>
      </c>
      <c r="G116">
        <f>VLOOKUP(A116,Classifications!$A:$F,6,FALSE)</f>
        <v>1</v>
      </c>
      <c r="H116">
        <f>VLOOKUP(A116,Classifications!$A:$G,7,FALSE)</f>
        <v>43</v>
      </c>
      <c r="I116" t="s">
        <v>11</v>
      </c>
      <c r="J116" s="2">
        <v>44236.577581018515</v>
      </c>
    </row>
    <row r="117" spans="1:10" ht="12.75" customHeight="1" x14ac:dyDescent="0.3">
      <c r="A117">
        <v>1360859</v>
      </c>
      <c r="B117" t="s">
        <v>118</v>
      </c>
      <c r="C117" t="s">
        <v>200</v>
      </c>
      <c r="D117" t="s">
        <v>372</v>
      </c>
      <c r="E117" s="1" t="s">
        <v>373</v>
      </c>
      <c r="F117">
        <f>VLOOKUP(A117,Classifications!$A:$E,5,FALSE)</f>
        <v>1</v>
      </c>
      <c r="G117">
        <f>VLOOKUP(A117,Classifications!$A:$F,6,FALSE)</f>
        <v>3</v>
      </c>
      <c r="H117">
        <f>VLOOKUP(A117,Classifications!$A:$G,7,FALSE)</f>
        <v>41</v>
      </c>
      <c r="I117" t="s">
        <v>11</v>
      </c>
      <c r="J117" s="2">
        <v>44236.574629629627</v>
      </c>
    </row>
    <row r="118" spans="1:10" ht="12.75" customHeight="1" x14ac:dyDescent="0.3">
      <c r="A118">
        <v>1360856</v>
      </c>
      <c r="B118" t="s">
        <v>374</v>
      </c>
      <c r="C118" t="s">
        <v>375</v>
      </c>
      <c r="D118" t="s">
        <v>376</v>
      </c>
      <c r="E118" s="1" t="s">
        <v>377</v>
      </c>
      <c r="F118">
        <f>VLOOKUP(A118,Classifications!$A:$E,5,FALSE)</f>
        <v>1</v>
      </c>
      <c r="G118">
        <f>VLOOKUP(A118,Classifications!$A:$F,6,FALSE)</f>
        <v>2</v>
      </c>
      <c r="H118">
        <f>VLOOKUP(A118,Classifications!$A:$G,7,FALSE)</f>
        <v>43</v>
      </c>
      <c r="I118" t="s">
        <v>11</v>
      </c>
      <c r="J118" s="2">
        <v>44236.572615740741</v>
      </c>
    </row>
    <row r="119" spans="1:10" ht="12.75" customHeight="1" x14ac:dyDescent="0.3">
      <c r="A119">
        <v>1360853</v>
      </c>
      <c r="B119" t="s">
        <v>118</v>
      </c>
      <c r="C119" t="s">
        <v>119</v>
      </c>
      <c r="D119" t="s">
        <v>378</v>
      </c>
      <c r="E119" s="1" t="s">
        <v>379</v>
      </c>
      <c r="F119">
        <f>VLOOKUP(A119,Classifications!$A:$E,5,FALSE)</f>
        <v>1</v>
      </c>
      <c r="G119">
        <f>VLOOKUP(A119,Classifications!$A:$F,6,FALSE)</f>
        <v>3</v>
      </c>
      <c r="H119">
        <f>VLOOKUP(A119,Classifications!$A:$G,7,FALSE)</f>
        <v>41</v>
      </c>
      <c r="I119" t="s">
        <v>11</v>
      </c>
      <c r="J119" s="2">
        <v>44236.57</v>
      </c>
    </row>
    <row r="120" spans="1:10" ht="12.75" customHeight="1" x14ac:dyDescent="0.3">
      <c r="A120">
        <v>1360838</v>
      </c>
      <c r="B120" t="s">
        <v>177</v>
      </c>
      <c r="C120" t="s">
        <v>178</v>
      </c>
      <c r="D120" t="s">
        <v>380</v>
      </c>
      <c r="E120" s="1" t="s">
        <v>381</v>
      </c>
      <c r="F120">
        <f>VLOOKUP(A120,Classifications!$A:$E,5,FALSE)</f>
        <v>2</v>
      </c>
      <c r="G120">
        <f>VLOOKUP(A120,Classifications!$A:$F,6,FALSE)</f>
        <v>1</v>
      </c>
      <c r="H120">
        <f>VLOOKUP(A120,Classifications!$A:$G,7,FALSE)</f>
        <v>43</v>
      </c>
      <c r="I120" t="s">
        <v>11</v>
      </c>
      <c r="J120" s="2">
        <v>44236.537523148145</v>
      </c>
    </row>
    <row r="121" spans="1:10" ht="12.75" customHeight="1" x14ac:dyDescent="0.3">
      <c r="A121">
        <v>1360833</v>
      </c>
      <c r="B121" t="s">
        <v>36</v>
      </c>
      <c r="C121" t="s">
        <v>124</v>
      </c>
      <c r="D121" t="s">
        <v>382</v>
      </c>
      <c r="E121" s="1" t="s">
        <v>383</v>
      </c>
      <c r="F121">
        <f>VLOOKUP(A121,Classifications!$A:$E,5,FALSE)</f>
        <v>1</v>
      </c>
      <c r="G121">
        <f>VLOOKUP(A121,Classifications!$A:$F,6,FALSE)</f>
        <v>3</v>
      </c>
      <c r="H121">
        <f>VLOOKUP(A121,Classifications!$A:$G,7,FALSE)</f>
        <v>41</v>
      </c>
      <c r="I121" t="s">
        <v>24</v>
      </c>
      <c r="J121" s="2">
        <v>44236.529178240744</v>
      </c>
    </row>
    <row r="122" spans="1:10" ht="12.75" customHeight="1" x14ac:dyDescent="0.3">
      <c r="A122">
        <v>1360824</v>
      </c>
      <c r="B122" t="s">
        <v>384</v>
      </c>
      <c r="C122" t="s">
        <v>385</v>
      </c>
      <c r="D122" t="s">
        <v>386</v>
      </c>
      <c r="E122" s="1" t="s">
        <v>387</v>
      </c>
      <c r="F122">
        <f>VLOOKUP(A122,Classifications!$A:$E,5,FALSE)</f>
        <v>2</v>
      </c>
      <c r="G122">
        <f>VLOOKUP(A122,Classifications!$A:$F,6,FALSE)</f>
        <v>1</v>
      </c>
      <c r="H122">
        <f>VLOOKUP(A122,Classifications!$A:$G,7,FALSE)</f>
        <v>43</v>
      </c>
      <c r="I122" t="s">
        <v>11</v>
      </c>
      <c r="J122" s="2">
        <v>44236.503101851849</v>
      </c>
    </row>
    <row r="123" spans="1:10" ht="12.75" customHeight="1" x14ac:dyDescent="0.3">
      <c r="A123">
        <v>1360820</v>
      </c>
      <c r="B123" t="s">
        <v>32</v>
      </c>
      <c r="C123" t="s">
        <v>158</v>
      </c>
      <c r="D123" t="s">
        <v>388</v>
      </c>
      <c r="E123" s="1" t="s">
        <v>389</v>
      </c>
      <c r="F123">
        <f>VLOOKUP(A123,Classifications!$A:$E,5,FALSE)</f>
        <v>1</v>
      </c>
      <c r="G123">
        <f>VLOOKUP(A123,Classifications!$A:$F,6,FALSE)</f>
        <v>1</v>
      </c>
      <c r="H123">
        <f>VLOOKUP(A123,Classifications!$A:$G,7,FALSE)</f>
        <v>41</v>
      </c>
      <c r="I123" t="s">
        <v>11</v>
      </c>
      <c r="J123" s="2">
        <v>44236.491168981483</v>
      </c>
    </row>
    <row r="124" spans="1:10" ht="12.75" customHeight="1" x14ac:dyDescent="0.3">
      <c r="A124">
        <v>1360819</v>
      </c>
      <c r="B124" t="s">
        <v>16</v>
      </c>
      <c r="C124" t="s">
        <v>158</v>
      </c>
      <c r="D124" t="s">
        <v>390</v>
      </c>
      <c r="E124" s="1" t="s">
        <v>391</v>
      </c>
      <c r="F124">
        <f>VLOOKUP(A124,Classifications!$A:$E,5,FALSE)</f>
        <v>2</v>
      </c>
      <c r="G124">
        <f>VLOOKUP(A124,Classifications!$A:$F,6,FALSE)</f>
        <v>1</v>
      </c>
      <c r="H124">
        <f>VLOOKUP(A124,Classifications!$A:$G,7,FALSE)</f>
        <v>43</v>
      </c>
      <c r="I124" t="s">
        <v>11</v>
      </c>
      <c r="J124" s="2">
        <v>44236.490104166667</v>
      </c>
    </row>
    <row r="125" spans="1:10" ht="12.75" customHeight="1" x14ac:dyDescent="0.3">
      <c r="A125">
        <v>1360817</v>
      </c>
      <c r="B125" t="s">
        <v>177</v>
      </c>
      <c r="C125" t="s">
        <v>178</v>
      </c>
      <c r="D125" t="s">
        <v>392</v>
      </c>
      <c r="E125" s="1" t="s">
        <v>393</v>
      </c>
      <c r="F125">
        <f>VLOOKUP(A125,Classifications!$A:$E,5,FALSE)</f>
        <v>1</v>
      </c>
      <c r="G125">
        <f>VLOOKUP(A125,Classifications!$A:$F,6,FALSE)</f>
        <v>1</v>
      </c>
      <c r="H125">
        <f>VLOOKUP(A125,Classifications!$A:$G,7,FALSE)</f>
        <v>43</v>
      </c>
      <c r="I125" t="s">
        <v>11</v>
      </c>
      <c r="J125" s="2">
        <v>44236.489803240744</v>
      </c>
    </row>
    <row r="126" spans="1:10" ht="12.75" customHeight="1" x14ac:dyDescent="0.3">
      <c r="A126">
        <v>1360815</v>
      </c>
      <c r="B126" t="s">
        <v>16</v>
      </c>
      <c r="C126" t="s">
        <v>394</v>
      </c>
      <c r="D126" t="s">
        <v>395</v>
      </c>
      <c r="E126" s="1" t="s">
        <v>396</v>
      </c>
      <c r="F126">
        <f>VLOOKUP(A126,Classifications!$A:$E,5,FALSE)</f>
        <v>1</v>
      </c>
      <c r="G126">
        <f>VLOOKUP(A126,Classifications!$A:$F,6,FALSE)</f>
        <v>2</v>
      </c>
      <c r="H126">
        <f>VLOOKUP(A126,Classifications!$A:$G,7,FALSE)</f>
        <v>43</v>
      </c>
      <c r="I126" t="s">
        <v>11</v>
      </c>
      <c r="J126" s="2">
        <v>44236.482916666668</v>
      </c>
    </row>
    <row r="127" spans="1:10" ht="12.75" customHeight="1" x14ac:dyDescent="0.3">
      <c r="A127">
        <v>1360812</v>
      </c>
      <c r="B127" t="s">
        <v>397</v>
      </c>
      <c r="C127" t="s">
        <v>398</v>
      </c>
      <c r="D127" t="s">
        <v>399</v>
      </c>
      <c r="E127" s="1" t="s">
        <v>400</v>
      </c>
      <c r="F127">
        <f>VLOOKUP(A127,Classifications!$A:$E,5,FALSE)</f>
        <v>1</v>
      </c>
      <c r="G127">
        <f>VLOOKUP(A127,Classifications!$A:$F,6,FALSE)</f>
        <v>1</v>
      </c>
      <c r="H127">
        <f>VLOOKUP(A127,Classifications!$A:$G,7,FALSE)</f>
        <v>43</v>
      </c>
      <c r="I127" t="s">
        <v>11</v>
      </c>
      <c r="J127" s="2">
        <v>44236.47619212963</v>
      </c>
    </row>
    <row r="128" spans="1:10" ht="12.75" customHeight="1" x14ac:dyDescent="0.3">
      <c r="A128">
        <v>1360806</v>
      </c>
      <c r="B128" t="s">
        <v>401</v>
      </c>
      <c r="C128" t="s">
        <v>402</v>
      </c>
      <c r="D128" t="s">
        <v>403</v>
      </c>
      <c r="E128" s="1" t="s">
        <v>404</v>
      </c>
      <c r="F128">
        <f>VLOOKUP(A128,Classifications!$A:$E,5,FALSE)</f>
        <v>1</v>
      </c>
      <c r="G128">
        <f>VLOOKUP(A128,Classifications!$A:$F,6,FALSE)</f>
        <v>1</v>
      </c>
      <c r="H128">
        <f>VLOOKUP(A128,Classifications!$A:$G,7,FALSE)</f>
        <v>36</v>
      </c>
      <c r="I128" t="s">
        <v>11</v>
      </c>
      <c r="J128" s="2">
        <v>44236.465370370373</v>
      </c>
    </row>
    <row r="129" spans="1:10" ht="12.75" customHeight="1" x14ac:dyDescent="0.3">
      <c r="A129">
        <v>1360802</v>
      </c>
      <c r="B129" t="s">
        <v>36</v>
      </c>
      <c r="C129" t="s">
        <v>405</v>
      </c>
      <c r="D129" t="s">
        <v>406</v>
      </c>
      <c r="E129" s="1" t="s">
        <v>407</v>
      </c>
      <c r="F129">
        <f>VLOOKUP(A129,Classifications!$A:$E,5,FALSE)</f>
        <v>2</v>
      </c>
      <c r="G129">
        <f>VLOOKUP(A129,Classifications!$A:$F,6,FALSE)</f>
        <v>1</v>
      </c>
      <c r="H129">
        <f>VLOOKUP(A129,Classifications!$A:$G,7,FALSE)</f>
        <v>43</v>
      </c>
      <c r="I129" t="s">
        <v>24</v>
      </c>
      <c r="J129" s="2">
        <v>44236.452974537038</v>
      </c>
    </row>
    <row r="130" spans="1:10" ht="12.75" customHeight="1" x14ac:dyDescent="0.3">
      <c r="A130">
        <v>1360800</v>
      </c>
      <c r="B130" t="s">
        <v>20</v>
      </c>
      <c r="C130" t="s">
        <v>78</v>
      </c>
      <c r="D130" t="s">
        <v>408</v>
      </c>
      <c r="E130" s="1" t="s">
        <v>409</v>
      </c>
      <c r="F130">
        <f>VLOOKUP(A130,Classifications!$A:$E,5,FALSE)</f>
        <v>1</v>
      </c>
      <c r="G130">
        <f>VLOOKUP(A130,Classifications!$A:$F,6,FALSE)</f>
        <v>1</v>
      </c>
      <c r="H130">
        <f>VLOOKUP(A130,Classifications!$A:$G,7,FALSE)</f>
        <v>43</v>
      </c>
      <c r="I130" t="s">
        <v>11</v>
      </c>
      <c r="J130" s="2">
        <v>44236.451284722221</v>
      </c>
    </row>
    <row r="131" spans="1:10" ht="12.75" customHeight="1" x14ac:dyDescent="0.3">
      <c r="A131">
        <v>1360788</v>
      </c>
      <c r="B131" t="s">
        <v>410</v>
      </c>
      <c r="C131" t="s">
        <v>411</v>
      </c>
      <c r="D131" t="s">
        <v>412</v>
      </c>
      <c r="E131" s="1" t="s">
        <v>413</v>
      </c>
      <c r="F131">
        <f>VLOOKUP(A131,Classifications!$A:$E,5,FALSE)</f>
        <v>1</v>
      </c>
      <c r="G131">
        <f>VLOOKUP(A131,Classifications!$A:$F,6,FALSE)</f>
        <v>1</v>
      </c>
      <c r="H131">
        <f>VLOOKUP(A131,Classifications!$A:$G,7,FALSE)</f>
        <v>36</v>
      </c>
      <c r="I131" t="s">
        <v>11</v>
      </c>
      <c r="J131" s="2">
        <v>44236.438148148147</v>
      </c>
    </row>
    <row r="132" spans="1:10" ht="12.75" customHeight="1" x14ac:dyDescent="0.3">
      <c r="A132">
        <v>1360785</v>
      </c>
      <c r="B132" t="s">
        <v>157</v>
      </c>
      <c r="C132" t="s">
        <v>414</v>
      </c>
      <c r="D132" t="s">
        <v>415</v>
      </c>
      <c r="E132" s="1" t="s">
        <v>416</v>
      </c>
      <c r="F132">
        <f>VLOOKUP(A132,Classifications!$A:$E,5,FALSE)</f>
        <v>1</v>
      </c>
      <c r="G132">
        <f>VLOOKUP(A132,Classifications!$A:$F,6,FALSE)</f>
        <v>2</v>
      </c>
      <c r="H132">
        <f>VLOOKUP(A132,Classifications!$A:$G,7,FALSE)</f>
        <v>43</v>
      </c>
      <c r="I132" t="s">
        <v>11</v>
      </c>
      <c r="J132" s="2">
        <v>44236.42900462963</v>
      </c>
    </row>
    <row r="133" spans="1:10" ht="12.75" customHeight="1" x14ac:dyDescent="0.3">
      <c r="A133">
        <v>1360781</v>
      </c>
      <c r="B133" t="s">
        <v>91</v>
      </c>
      <c r="C133" t="s">
        <v>92</v>
      </c>
      <c r="D133" t="s">
        <v>417</v>
      </c>
      <c r="E133" s="1" t="s">
        <v>418</v>
      </c>
      <c r="F133">
        <f>VLOOKUP(A133,Classifications!$A:$E,5,FALSE)</f>
        <v>1</v>
      </c>
      <c r="G133">
        <f>VLOOKUP(A133,Classifications!$A:$F,6,FALSE)</f>
        <v>2</v>
      </c>
      <c r="H133">
        <f>VLOOKUP(A133,Classifications!$A:$G,7,FALSE)</f>
        <v>41</v>
      </c>
      <c r="I133" t="s">
        <v>24</v>
      </c>
      <c r="J133" s="2">
        <v>44236.423020833332</v>
      </c>
    </row>
    <row r="134" spans="1:10" ht="12.75" customHeight="1" x14ac:dyDescent="0.3">
      <c r="A134">
        <v>1360780</v>
      </c>
      <c r="B134" t="s">
        <v>87</v>
      </c>
      <c r="C134" t="s">
        <v>88</v>
      </c>
      <c r="D134" t="s">
        <v>419</v>
      </c>
      <c r="E134" s="1" t="s">
        <v>420</v>
      </c>
      <c r="F134">
        <f>VLOOKUP(A134,Classifications!$A:$E,5,FALSE)</f>
        <v>1</v>
      </c>
      <c r="G134">
        <f>VLOOKUP(A134,Classifications!$A:$F,6,FALSE)</f>
        <v>1</v>
      </c>
      <c r="H134">
        <f>VLOOKUP(A134,Classifications!$A:$G,7,FALSE)</f>
        <v>41</v>
      </c>
      <c r="I134" t="s">
        <v>11</v>
      </c>
      <c r="J134" s="2">
        <v>44236.421157407407</v>
      </c>
    </row>
    <row r="135" spans="1:10" ht="12.75" customHeight="1" x14ac:dyDescent="0.3">
      <c r="A135">
        <v>1360749</v>
      </c>
      <c r="B135" t="s">
        <v>335</v>
      </c>
      <c r="C135" t="s">
        <v>421</v>
      </c>
      <c r="D135" t="s">
        <v>422</v>
      </c>
      <c r="E135" s="1" t="s">
        <v>423</v>
      </c>
      <c r="F135">
        <f>VLOOKUP(A135,Classifications!$A:$E,5,FALSE)</f>
        <v>1</v>
      </c>
      <c r="G135">
        <f>VLOOKUP(A135,Classifications!$A:$F,6,FALSE)</f>
        <v>2</v>
      </c>
      <c r="H135">
        <f>VLOOKUP(A135,Classifications!$A:$G,7,FALSE)</f>
        <v>41</v>
      </c>
      <c r="I135" t="s">
        <v>11</v>
      </c>
      <c r="J135" s="2">
        <v>44236.416550925926</v>
      </c>
    </row>
    <row r="136" spans="1:10" ht="12.75" customHeight="1" x14ac:dyDescent="0.3">
      <c r="A136">
        <v>1360737</v>
      </c>
      <c r="B136" t="s">
        <v>7</v>
      </c>
      <c r="C136" t="s">
        <v>424</v>
      </c>
      <c r="D136" t="s">
        <v>425</v>
      </c>
      <c r="E136" s="1" t="s">
        <v>426</v>
      </c>
      <c r="F136">
        <f>VLOOKUP(A136,Classifications!$A:$E,5,FALSE)</f>
        <v>3</v>
      </c>
      <c r="G136">
        <f>VLOOKUP(A136,Classifications!$A:$F,6,FALSE)</f>
        <v>3</v>
      </c>
      <c r="H136">
        <f>VLOOKUP(A136,Classifications!$A:$G,7,FALSE)</f>
        <v>41</v>
      </c>
      <c r="I136" t="s">
        <v>11</v>
      </c>
      <c r="J136" s="2">
        <v>44236.398645833331</v>
      </c>
    </row>
    <row r="137" spans="1:10" ht="12.75" customHeight="1" x14ac:dyDescent="0.3">
      <c r="A137">
        <v>1360728</v>
      </c>
      <c r="B137" t="s">
        <v>427</v>
      </c>
      <c r="C137" t="s">
        <v>428</v>
      </c>
      <c r="D137" t="s">
        <v>429</v>
      </c>
      <c r="E137" s="1" t="s">
        <v>430</v>
      </c>
      <c r="F137">
        <f>VLOOKUP(A137,Classifications!$A:$E,5,FALSE)</f>
        <v>1</v>
      </c>
      <c r="G137">
        <f>VLOOKUP(A137,Classifications!$A:$F,6,FALSE)</f>
        <v>1</v>
      </c>
      <c r="H137">
        <f>VLOOKUP(A137,Classifications!$A:$G,7,FALSE)</f>
        <v>43</v>
      </c>
      <c r="I137" t="s">
        <v>11</v>
      </c>
      <c r="J137" s="2">
        <v>44236.387476851851</v>
      </c>
    </row>
    <row r="138" spans="1:10" ht="12.75" customHeight="1" x14ac:dyDescent="0.3">
      <c r="A138">
        <v>1360726</v>
      </c>
      <c r="B138" t="s">
        <v>431</v>
      </c>
      <c r="C138" t="s">
        <v>432</v>
      </c>
      <c r="D138" t="s">
        <v>433</v>
      </c>
      <c r="E138" s="1" t="s">
        <v>434</v>
      </c>
      <c r="F138">
        <f>VLOOKUP(A138,Classifications!$A:$E,5,FALSE)</f>
        <v>2</v>
      </c>
      <c r="G138">
        <f>VLOOKUP(A138,Classifications!$A:$F,6,FALSE)</f>
        <v>2</v>
      </c>
      <c r="H138">
        <f>VLOOKUP(A138,Classifications!$A:$G,7,FALSE)</f>
        <v>43</v>
      </c>
      <c r="I138" t="s">
        <v>11</v>
      </c>
      <c r="J138" s="2">
        <v>44236.380914351852</v>
      </c>
    </row>
    <row r="139" spans="1:10" ht="12.75" customHeight="1" x14ac:dyDescent="0.3">
      <c r="A139">
        <v>1360725</v>
      </c>
      <c r="B139" t="s">
        <v>435</v>
      </c>
      <c r="C139" t="s">
        <v>436</v>
      </c>
      <c r="D139" t="s">
        <v>437</v>
      </c>
      <c r="E139" s="1" t="s">
        <v>438</v>
      </c>
      <c r="F139">
        <f>VLOOKUP(A139,Classifications!$A:$E,5,FALSE)</f>
        <v>1</v>
      </c>
      <c r="G139">
        <f>VLOOKUP(A139,Classifications!$A:$F,6,FALSE)</f>
        <v>1</v>
      </c>
      <c r="H139">
        <f>VLOOKUP(A139,Classifications!$A:$G,7,FALSE)</f>
        <v>43</v>
      </c>
      <c r="I139" t="s">
        <v>11</v>
      </c>
      <c r="J139" s="2">
        <v>44236.379733796297</v>
      </c>
    </row>
    <row r="140" spans="1:10" ht="12.75" customHeight="1" x14ac:dyDescent="0.3">
      <c r="A140">
        <v>1360722</v>
      </c>
      <c r="B140" t="s">
        <v>177</v>
      </c>
      <c r="C140" t="s">
        <v>247</v>
      </c>
      <c r="D140" t="s">
        <v>439</v>
      </c>
      <c r="E140" s="1" t="s">
        <v>440</v>
      </c>
      <c r="F140">
        <f>VLOOKUP(A140,Classifications!$A:$E,5,FALSE)</f>
        <v>1</v>
      </c>
      <c r="G140">
        <f>VLOOKUP(A140,Classifications!$A:$F,6,FALSE)</f>
        <v>2</v>
      </c>
      <c r="H140">
        <f>VLOOKUP(A140,Classifications!$A:$G,7,FALSE)</f>
        <v>43</v>
      </c>
      <c r="I140" t="s">
        <v>24</v>
      </c>
      <c r="J140" s="2">
        <v>44236.375462962962</v>
      </c>
    </row>
    <row r="141" spans="1:10" ht="12.75" customHeight="1" x14ac:dyDescent="0.3">
      <c r="A141">
        <v>1360719</v>
      </c>
      <c r="B141" t="s">
        <v>70</v>
      </c>
      <c r="C141" t="s">
        <v>143</v>
      </c>
      <c r="D141" t="s">
        <v>441</v>
      </c>
      <c r="E141" s="1" t="s">
        <v>442</v>
      </c>
      <c r="F141">
        <f>VLOOKUP(A141,Classifications!$A:$E,5,FALSE)</f>
        <v>1</v>
      </c>
      <c r="G141">
        <f>VLOOKUP(A141,Classifications!$A:$F,6,FALSE)</f>
        <v>2</v>
      </c>
      <c r="H141">
        <f>VLOOKUP(A141,Classifications!$A:$G,7,FALSE)</f>
        <v>41</v>
      </c>
      <c r="I141" t="s">
        <v>24</v>
      </c>
      <c r="J141" s="2">
        <v>44236.369317129633</v>
      </c>
    </row>
    <row r="142" spans="1:10" ht="12.75" customHeight="1" x14ac:dyDescent="0.3">
      <c r="A142">
        <v>1360714</v>
      </c>
      <c r="B142" t="s">
        <v>157</v>
      </c>
      <c r="C142" t="s">
        <v>443</v>
      </c>
      <c r="D142" t="s">
        <v>444</v>
      </c>
      <c r="E142" s="1" t="s">
        <v>445</v>
      </c>
      <c r="F142">
        <f>VLOOKUP(A142,Classifications!$A:$E,5,FALSE)</f>
        <v>1</v>
      </c>
      <c r="G142">
        <f>VLOOKUP(A142,Classifications!$A:$F,6,FALSE)</f>
        <v>2</v>
      </c>
      <c r="H142">
        <f>VLOOKUP(A142,Classifications!$A:$G,7,FALSE)</f>
        <v>41</v>
      </c>
      <c r="I142" t="s">
        <v>11</v>
      </c>
      <c r="J142" s="2">
        <v>44236.358194444445</v>
      </c>
    </row>
    <row r="143" spans="1:10" ht="12.75" customHeight="1" x14ac:dyDescent="0.3">
      <c r="A143">
        <v>1360713</v>
      </c>
      <c r="B143" t="s">
        <v>446</v>
      </c>
      <c r="C143" t="s">
        <v>447</v>
      </c>
      <c r="D143" t="s">
        <v>448</v>
      </c>
      <c r="E143" s="1" t="s">
        <v>449</v>
      </c>
      <c r="F143">
        <f>VLOOKUP(A143,Classifications!$A:$E,5,FALSE)</f>
        <v>1</v>
      </c>
      <c r="G143">
        <f>VLOOKUP(A143,Classifications!$A:$F,6,FALSE)</f>
        <v>2</v>
      </c>
      <c r="H143">
        <f>VLOOKUP(A143,Classifications!$A:$G,7,FALSE)</f>
        <v>41</v>
      </c>
      <c r="I143" t="s">
        <v>24</v>
      </c>
      <c r="J143" s="2">
        <v>44236.357476851852</v>
      </c>
    </row>
    <row r="144" spans="1:10" ht="12.75" customHeight="1" x14ac:dyDescent="0.3">
      <c r="A144">
        <v>1360712</v>
      </c>
      <c r="B144" t="s">
        <v>74</v>
      </c>
      <c r="C144" t="s">
        <v>450</v>
      </c>
      <c r="D144" t="s">
        <v>451</v>
      </c>
      <c r="E144" s="1" t="s">
        <v>452</v>
      </c>
      <c r="F144">
        <f>VLOOKUP(A144,Classifications!$A:$E,5,FALSE)</f>
        <v>2</v>
      </c>
      <c r="G144">
        <f>VLOOKUP(A144,Classifications!$A:$F,6,FALSE)</f>
        <v>3</v>
      </c>
      <c r="H144">
        <f>VLOOKUP(A144,Classifications!$A:$G,7,FALSE)</f>
        <v>41</v>
      </c>
      <c r="I144" t="s">
        <v>24</v>
      </c>
      <c r="J144" s="2">
        <v>44236.357025462959</v>
      </c>
    </row>
    <row r="145" spans="1:10" ht="12.75" customHeight="1" x14ac:dyDescent="0.3">
      <c r="A145">
        <v>1360708</v>
      </c>
      <c r="B145" t="s">
        <v>36</v>
      </c>
      <c r="C145" t="s">
        <v>67</v>
      </c>
      <c r="D145" t="s">
        <v>453</v>
      </c>
      <c r="E145" s="1" t="s">
        <v>454</v>
      </c>
      <c r="F145">
        <f>VLOOKUP(A145,Classifications!$A:$E,5,FALSE)</f>
        <v>3</v>
      </c>
      <c r="G145">
        <f>VLOOKUP(A145,Classifications!$A:$F,6,FALSE)</f>
        <v>2</v>
      </c>
      <c r="H145">
        <f>VLOOKUP(A145,Classifications!$A:$G,7,FALSE)</f>
        <v>43</v>
      </c>
      <c r="I145" t="s">
        <v>24</v>
      </c>
      <c r="J145" s="2">
        <v>44236.344814814816</v>
      </c>
    </row>
    <row r="146" spans="1:10" ht="12.75" customHeight="1" x14ac:dyDescent="0.3">
      <c r="A146">
        <v>1360703</v>
      </c>
      <c r="B146" t="s">
        <v>16</v>
      </c>
      <c r="C146" t="s">
        <v>455</v>
      </c>
      <c r="D146" t="s">
        <v>456</v>
      </c>
      <c r="E146" s="1" t="s">
        <v>457</v>
      </c>
      <c r="F146">
        <f>VLOOKUP(A146,Classifications!$A:$E,5,FALSE)</f>
        <v>2</v>
      </c>
      <c r="G146">
        <f>VLOOKUP(A146,Classifications!$A:$F,6,FALSE)</f>
        <v>2</v>
      </c>
      <c r="H146">
        <f>VLOOKUP(A146,Classifications!$A:$G,7,FALSE)</f>
        <v>43</v>
      </c>
      <c r="I146" t="s">
        <v>24</v>
      </c>
      <c r="J146" s="2">
        <v>44236.340902777774</v>
      </c>
    </row>
    <row r="147" spans="1:10" ht="12.75" customHeight="1" x14ac:dyDescent="0.3">
      <c r="A147">
        <v>1360392</v>
      </c>
      <c r="B147" t="s">
        <v>458</v>
      </c>
      <c r="C147" t="s">
        <v>459</v>
      </c>
      <c r="D147" t="s">
        <v>460</v>
      </c>
      <c r="E147" t="s">
        <v>461</v>
      </c>
      <c r="F147">
        <f>VLOOKUP(A147,Classifications!$A:$E,5,FALSE)</f>
        <v>1</v>
      </c>
      <c r="G147">
        <f>VLOOKUP(A147,Classifications!$A:$F,6,FALSE)</f>
        <v>1</v>
      </c>
      <c r="H147">
        <f>VLOOKUP(A147,Classifications!$A:$G,7,FALSE)</f>
        <v>36</v>
      </c>
      <c r="I147" t="s">
        <v>462</v>
      </c>
      <c r="J147" s="2">
        <v>44235.750208333331</v>
      </c>
    </row>
    <row r="148" spans="1:10" ht="12.75" customHeight="1" x14ac:dyDescent="0.3">
      <c r="A148">
        <v>1360369</v>
      </c>
      <c r="B148" t="s">
        <v>32</v>
      </c>
      <c r="C148" t="s">
        <v>463</v>
      </c>
      <c r="D148" t="s">
        <v>464</v>
      </c>
      <c r="E148" s="1" t="s">
        <v>465</v>
      </c>
      <c r="F148">
        <f>VLOOKUP(A148,Classifications!$A:$E,5,FALSE)</f>
        <v>1</v>
      </c>
      <c r="G148">
        <f>VLOOKUP(A148,Classifications!$A:$F,6,FALSE)</f>
        <v>1</v>
      </c>
      <c r="H148">
        <f>VLOOKUP(A148,Classifications!$A:$G,7,FALSE)</f>
        <v>36</v>
      </c>
      <c r="I148" t="s">
        <v>11</v>
      </c>
      <c r="J148" s="2">
        <v>44235.706585648149</v>
      </c>
    </row>
    <row r="149" spans="1:10" ht="12.75" customHeight="1" x14ac:dyDescent="0.3">
      <c r="A149">
        <v>1360366</v>
      </c>
      <c r="B149" t="s">
        <v>184</v>
      </c>
      <c r="C149" t="s">
        <v>466</v>
      </c>
      <c r="D149" t="s">
        <v>467</v>
      </c>
      <c r="E149" s="1" t="s">
        <v>468</v>
      </c>
      <c r="F149">
        <f>VLOOKUP(A149,Classifications!$A:$E,5,FALSE)</f>
        <v>1</v>
      </c>
      <c r="G149">
        <f>VLOOKUP(A149,Classifications!$A:$F,6,FALSE)</f>
        <v>1</v>
      </c>
      <c r="H149">
        <f>VLOOKUP(A149,Classifications!$A:$G,7,FALSE)</f>
        <v>43</v>
      </c>
      <c r="I149" t="s">
        <v>11</v>
      </c>
      <c r="J149" s="2">
        <v>44235.693993055553</v>
      </c>
    </row>
    <row r="150" spans="1:10" ht="12.75" customHeight="1" x14ac:dyDescent="0.3">
      <c r="A150">
        <v>1360364</v>
      </c>
      <c r="B150" t="s">
        <v>70</v>
      </c>
      <c r="C150" t="s">
        <v>369</v>
      </c>
      <c r="D150" t="s">
        <v>469</v>
      </c>
      <c r="E150" s="1" t="s">
        <v>470</v>
      </c>
      <c r="F150">
        <f>VLOOKUP(A150,Classifications!$A:$E,5,FALSE)</f>
        <v>1</v>
      </c>
      <c r="G150">
        <f>VLOOKUP(A150,Classifications!$A:$F,6,FALSE)</f>
        <v>1</v>
      </c>
      <c r="H150">
        <f>VLOOKUP(A150,Classifications!$A:$G,7,FALSE)</f>
        <v>43</v>
      </c>
      <c r="I150" t="s">
        <v>11</v>
      </c>
      <c r="J150" s="2">
        <v>44235.69127314815</v>
      </c>
    </row>
    <row r="151" spans="1:10" ht="12.75" customHeight="1" x14ac:dyDescent="0.3">
      <c r="A151">
        <v>1360363</v>
      </c>
      <c r="B151" t="s">
        <v>20</v>
      </c>
      <c r="C151" t="s">
        <v>57</v>
      </c>
      <c r="D151" t="s">
        <v>471</v>
      </c>
      <c r="E151" s="1" t="s">
        <v>472</v>
      </c>
      <c r="F151">
        <f>VLOOKUP(A151,Classifications!$A:$E,5,FALSE)</f>
        <v>1</v>
      </c>
      <c r="G151">
        <f>VLOOKUP(A151,Classifications!$A:$F,6,FALSE)</f>
        <v>3</v>
      </c>
      <c r="H151">
        <f>VLOOKUP(A151,Classifications!$A:$G,7,FALSE)</f>
        <v>43</v>
      </c>
      <c r="I151" t="s">
        <v>24</v>
      </c>
      <c r="J151" s="2">
        <v>44235.690208333333</v>
      </c>
    </row>
    <row r="152" spans="1:10" ht="12.75" customHeight="1" x14ac:dyDescent="0.3">
      <c r="A152">
        <v>1360355</v>
      </c>
      <c r="B152" t="s">
        <v>473</v>
      </c>
      <c r="C152" t="s">
        <v>474</v>
      </c>
      <c r="D152" t="s">
        <v>475</v>
      </c>
      <c r="E152" s="1" t="s">
        <v>476</v>
      </c>
      <c r="F152">
        <f>VLOOKUP(A152,Classifications!$A:$E,5,FALSE)</f>
        <v>1</v>
      </c>
      <c r="G152">
        <f>VLOOKUP(A152,Classifications!$A:$F,6,FALSE)</f>
        <v>2</v>
      </c>
      <c r="H152">
        <f>VLOOKUP(A152,Classifications!$A:$G,7,FALSE)</f>
        <v>43</v>
      </c>
      <c r="I152" t="s">
        <v>11</v>
      </c>
      <c r="J152" s="2">
        <v>44235.667164351849</v>
      </c>
    </row>
    <row r="153" spans="1:10" ht="12.75" customHeight="1" x14ac:dyDescent="0.3">
      <c r="A153">
        <v>1360352</v>
      </c>
      <c r="B153" t="s">
        <v>477</v>
      </c>
      <c r="C153" t="s">
        <v>158</v>
      </c>
      <c r="D153" t="s">
        <v>478</v>
      </c>
      <c r="E153" s="1" t="s">
        <v>479</v>
      </c>
      <c r="F153">
        <f>VLOOKUP(A153,Classifications!$A:$E,5,FALSE)</f>
        <v>1</v>
      </c>
      <c r="G153">
        <f>VLOOKUP(A153,Classifications!$A:$F,6,FALSE)</f>
        <v>1</v>
      </c>
      <c r="H153">
        <f>VLOOKUP(A153,Classifications!$A:$G,7,FALSE)</f>
        <v>43</v>
      </c>
      <c r="I153" t="s">
        <v>11</v>
      </c>
      <c r="J153" s="2">
        <v>44235.652280092596</v>
      </c>
    </row>
    <row r="154" spans="1:10" ht="12.75" customHeight="1" x14ac:dyDescent="0.3">
      <c r="A154">
        <v>1360348</v>
      </c>
      <c r="B154" t="s">
        <v>177</v>
      </c>
      <c r="C154" t="s">
        <v>480</v>
      </c>
      <c r="D154" t="s">
        <v>481</v>
      </c>
      <c r="E154" s="1" t="s">
        <v>482</v>
      </c>
      <c r="F154">
        <f>VLOOKUP(A154,Classifications!$A:$E,5,FALSE)</f>
        <v>1</v>
      </c>
      <c r="G154">
        <f>VLOOKUP(A154,Classifications!$A:$F,6,FALSE)</f>
        <v>1</v>
      </c>
      <c r="H154">
        <f>VLOOKUP(A154,Classifications!$A:$G,7,FALSE)</f>
        <v>36</v>
      </c>
      <c r="I154" t="s">
        <v>24</v>
      </c>
      <c r="J154" s="2">
        <v>44235.636516203704</v>
      </c>
    </row>
    <row r="155" spans="1:10" ht="12.75" customHeight="1" x14ac:dyDescent="0.3">
      <c r="A155">
        <v>1360346</v>
      </c>
      <c r="B155" t="s">
        <v>45</v>
      </c>
      <c r="C155" t="s">
        <v>483</v>
      </c>
      <c r="D155" t="s">
        <v>484</v>
      </c>
      <c r="E155" s="1" t="s">
        <v>485</v>
      </c>
      <c r="F155">
        <f>VLOOKUP(A155,Classifications!$A:$E,5,FALSE)</f>
        <v>2</v>
      </c>
      <c r="G155">
        <f>VLOOKUP(A155,Classifications!$A:$F,6,FALSE)</f>
        <v>2</v>
      </c>
      <c r="H155">
        <f>VLOOKUP(A155,Classifications!$A:$G,7,FALSE)</f>
        <v>43</v>
      </c>
      <c r="I155" t="s">
        <v>11</v>
      </c>
      <c r="J155" s="2">
        <v>44235.634699074071</v>
      </c>
    </row>
    <row r="156" spans="1:10" ht="12.75" customHeight="1" x14ac:dyDescent="0.3">
      <c r="A156">
        <v>1360337</v>
      </c>
      <c r="B156" t="s">
        <v>16</v>
      </c>
      <c r="C156" t="s">
        <v>486</v>
      </c>
      <c r="D156" t="s">
        <v>487</v>
      </c>
      <c r="E156" s="1" t="s">
        <v>488</v>
      </c>
      <c r="F156">
        <f>VLOOKUP(A156,Classifications!$A:$E,5,FALSE)</f>
        <v>1</v>
      </c>
      <c r="G156">
        <f>VLOOKUP(A156,Classifications!$A:$F,6,FALSE)</f>
        <v>1</v>
      </c>
      <c r="H156">
        <f>VLOOKUP(A156,Classifications!$A:$G,7,FALSE)</f>
        <v>43</v>
      </c>
      <c r="I156" t="s">
        <v>11</v>
      </c>
      <c r="J156" s="2">
        <v>44235.617164351854</v>
      </c>
    </row>
    <row r="157" spans="1:10" ht="12.75" customHeight="1" x14ac:dyDescent="0.3">
      <c r="A157">
        <v>1360335</v>
      </c>
      <c r="B157" t="s">
        <v>489</v>
      </c>
      <c r="C157" t="s">
        <v>490</v>
      </c>
      <c r="D157" t="s">
        <v>491</v>
      </c>
      <c r="E157" s="1" t="s">
        <v>492</v>
      </c>
      <c r="F157">
        <f>VLOOKUP(A157,Classifications!$A:$E,5,FALSE)</f>
        <v>1</v>
      </c>
      <c r="G157">
        <f>VLOOKUP(A157,Classifications!$A:$F,6,FALSE)</f>
        <v>1</v>
      </c>
      <c r="H157">
        <f>VLOOKUP(A157,Classifications!$A:$G,7,FALSE)</f>
        <v>43</v>
      </c>
      <c r="I157" t="s">
        <v>11</v>
      </c>
      <c r="J157" s="2">
        <v>44235.61378472222</v>
      </c>
    </row>
    <row r="158" spans="1:10" ht="12.75" customHeight="1" x14ac:dyDescent="0.3">
      <c r="A158">
        <v>1360331</v>
      </c>
      <c r="B158" t="s">
        <v>16</v>
      </c>
      <c r="C158" t="s">
        <v>158</v>
      </c>
      <c r="D158" t="s">
        <v>493</v>
      </c>
      <c r="E158" s="1" t="s">
        <v>488</v>
      </c>
      <c r="F158">
        <f>VLOOKUP(A158,Classifications!$A:$E,5,FALSE)</f>
        <v>1</v>
      </c>
      <c r="G158">
        <f>VLOOKUP(A158,Classifications!$A:$F,6,FALSE)</f>
        <v>1</v>
      </c>
      <c r="H158">
        <f>VLOOKUP(A158,Classifications!$A:$G,7,FALSE)</f>
        <v>43</v>
      </c>
      <c r="I158" t="s">
        <v>11</v>
      </c>
      <c r="J158" s="2">
        <v>44235.612337962964</v>
      </c>
    </row>
    <row r="159" spans="1:10" ht="12.75" customHeight="1" x14ac:dyDescent="0.3">
      <c r="A159">
        <v>1360329</v>
      </c>
      <c r="B159" t="s">
        <v>281</v>
      </c>
      <c r="C159" t="s">
        <v>494</v>
      </c>
      <c r="D159" t="s">
        <v>495</v>
      </c>
      <c r="E159" s="1" t="s">
        <v>496</v>
      </c>
      <c r="F159">
        <f>VLOOKUP(A159,Classifications!$A:$E,5,FALSE)</f>
        <v>2</v>
      </c>
      <c r="G159">
        <f>VLOOKUP(A159,Classifications!$A:$F,6,FALSE)</f>
        <v>2</v>
      </c>
      <c r="H159">
        <f>VLOOKUP(A159,Classifications!$A:$G,7,FALSE)</f>
        <v>41</v>
      </c>
      <c r="I159" t="s">
        <v>11</v>
      </c>
      <c r="J159" s="2">
        <v>44235.607569444444</v>
      </c>
    </row>
    <row r="160" spans="1:10" ht="12.75" customHeight="1" x14ac:dyDescent="0.3">
      <c r="A160">
        <v>1360322</v>
      </c>
      <c r="B160" t="s">
        <v>20</v>
      </c>
      <c r="C160" t="s">
        <v>497</v>
      </c>
      <c r="D160" t="s">
        <v>498</v>
      </c>
      <c r="E160" s="1" t="s">
        <v>499</v>
      </c>
      <c r="F160">
        <f>VLOOKUP(A160,Classifications!$A:$E,5,FALSE)</f>
        <v>1</v>
      </c>
      <c r="G160">
        <f>VLOOKUP(A160,Classifications!$A:$F,6,FALSE)</f>
        <v>2</v>
      </c>
      <c r="H160">
        <f>VLOOKUP(A160,Classifications!$A:$G,7,FALSE)</f>
        <v>41</v>
      </c>
      <c r="I160" t="s">
        <v>24</v>
      </c>
      <c r="J160" s="2">
        <v>44235.588993055557</v>
      </c>
    </row>
    <row r="161" spans="1:10" ht="12.75" customHeight="1" x14ac:dyDescent="0.3">
      <c r="A161">
        <v>1360307</v>
      </c>
      <c r="B161" t="s">
        <v>16</v>
      </c>
      <c r="C161" t="s">
        <v>500</v>
      </c>
      <c r="D161" t="s">
        <v>501</v>
      </c>
      <c r="E161" s="1" t="s">
        <v>502</v>
      </c>
      <c r="F161">
        <f>VLOOKUP(A161,Classifications!$A:$E,5,FALSE)</f>
        <v>1</v>
      </c>
      <c r="G161">
        <f>VLOOKUP(A161,Classifications!$A:$F,6,FALSE)</f>
        <v>1</v>
      </c>
      <c r="H161">
        <f>VLOOKUP(A161,Classifications!$A:$G,7,FALSE)</f>
        <v>36</v>
      </c>
      <c r="I161" t="s">
        <v>11</v>
      </c>
      <c r="J161" s="2">
        <v>44235.567465277774</v>
      </c>
    </row>
    <row r="162" spans="1:10" ht="12.75" customHeight="1" x14ac:dyDescent="0.3">
      <c r="A162">
        <v>1360306</v>
      </c>
      <c r="B162" t="s">
        <v>503</v>
      </c>
      <c r="D162" t="s">
        <v>504</v>
      </c>
      <c r="E162" s="1" t="s">
        <v>505</v>
      </c>
      <c r="F162">
        <f>VLOOKUP(A162,Classifications!$A:$E,5,FALSE)</f>
        <v>1</v>
      </c>
      <c r="G162">
        <f>VLOOKUP(A162,Classifications!$A:$F,6,FALSE)</f>
        <v>1</v>
      </c>
      <c r="H162">
        <f>VLOOKUP(A162,Classifications!$A:$G,7,FALSE)</f>
        <v>36</v>
      </c>
      <c r="I162" t="s">
        <v>11</v>
      </c>
      <c r="J162" s="2">
        <v>44235.567337962966</v>
      </c>
    </row>
    <row r="163" spans="1:10" ht="12.75" customHeight="1" x14ac:dyDescent="0.3">
      <c r="A163">
        <v>1360304</v>
      </c>
      <c r="B163" t="s">
        <v>214</v>
      </c>
      <c r="C163" t="s">
        <v>506</v>
      </c>
      <c r="D163" t="s">
        <v>507</v>
      </c>
      <c r="E163" s="1" t="s">
        <v>508</v>
      </c>
      <c r="F163">
        <f>VLOOKUP(A163,Classifications!$A:$E,5,FALSE)</f>
        <v>1</v>
      </c>
      <c r="G163">
        <f>VLOOKUP(A163,Classifications!$A:$F,6,FALSE)</f>
        <v>2</v>
      </c>
      <c r="H163">
        <f>VLOOKUP(A163,Classifications!$A:$G,7,FALSE)</f>
        <v>41</v>
      </c>
      <c r="I163" t="s">
        <v>11</v>
      </c>
      <c r="J163" s="2">
        <v>44235.566921296297</v>
      </c>
    </row>
    <row r="164" spans="1:10" ht="12.75" customHeight="1" x14ac:dyDescent="0.3">
      <c r="A164">
        <v>1360303</v>
      </c>
      <c r="B164" t="s">
        <v>36</v>
      </c>
      <c r="C164" t="s">
        <v>509</v>
      </c>
      <c r="D164" t="s">
        <v>510</v>
      </c>
      <c r="E164" s="1" t="s">
        <v>511</v>
      </c>
      <c r="F164">
        <f>VLOOKUP(A164,Classifications!$A:$E,5,FALSE)</f>
        <v>3</v>
      </c>
      <c r="G164">
        <f>VLOOKUP(A164,Classifications!$A:$F,6,FALSE)</f>
        <v>2</v>
      </c>
      <c r="H164">
        <f>VLOOKUP(A164,Classifications!$A:$G,7,FALSE)</f>
        <v>43</v>
      </c>
      <c r="I164" t="s">
        <v>24</v>
      </c>
      <c r="J164" s="2">
        <v>44235.565671296295</v>
      </c>
    </row>
    <row r="165" spans="1:10" ht="12.75" customHeight="1" x14ac:dyDescent="0.3">
      <c r="A165">
        <v>1360300</v>
      </c>
      <c r="B165" t="s">
        <v>477</v>
      </c>
      <c r="C165" t="s">
        <v>512</v>
      </c>
      <c r="D165" t="s">
        <v>513</v>
      </c>
      <c r="E165" s="1" t="s">
        <v>514</v>
      </c>
      <c r="F165">
        <f>VLOOKUP(A165,Classifications!$A:$E,5,FALSE)</f>
        <v>1</v>
      </c>
      <c r="G165">
        <f>VLOOKUP(A165,Classifications!$A:$F,6,FALSE)</f>
        <v>2</v>
      </c>
      <c r="H165">
        <f>VLOOKUP(A165,Classifications!$A:$G,7,FALSE)</f>
        <v>41</v>
      </c>
      <c r="I165" t="s">
        <v>11</v>
      </c>
      <c r="J165" s="2">
        <v>44235.547256944446</v>
      </c>
    </row>
    <row r="166" spans="1:10" ht="12.75" customHeight="1" x14ac:dyDescent="0.3">
      <c r="A166">
        <v>1360299</v>
      </c>
      <c r="B166" t="s">
        <v>515</v>
      </c>
      <c r="C166" t="s">
        <v>516</v>
      </c>
      <c r="D166" t="s">
        <v>517</v>
      </c>
      <c r="E166" s="1" t="s">
        <v>518</v>
      </c>
      <c r="F166">
        <f>VLOOKUP(A166,Classifications!$A:$E,5,FALSE)</f>
        <v>1</v>
      </c>
      <c r="G166">
        <f>VLOOKUP(A166,Classifications!$A:$F,6,FALSE)</f>
        <v>1</v>
      </c>
      <c r="H166">
        <f>VLOOKUP(A166,Classifications!$A:$G,7,FALSE)</f>
        <v>43</v>
      </c>
      <c r="I166" t="s">
        <v>11</v>
      </c>
      <c r="J166" s="2">
        <v>44235.546539351853</v>
      </c>
    </row>
    <row r="167" spans="1:10" ht="12.75" customHeight="1" x14ac:dyDescent="0.3">
      <c r="A167">
        <v>1360297</v>
      </c>
      <c r="B167" t="s">
        <v>20</v>
      </c>
      <c r="C167" t="s">
        <v>519</v>
      </c>
      <c r="D167" t="s">
        <v>520</v>
      </c>
      <c r="E167" s="1" t="s">
        <v>521</v>
      </c>
      <c r="F167">
        <f>VLOOKUP(A167,Classifications!$A:$E,5,FALSE)</f>
        <v>1</v>
      </c>
      <c r="G167">
        <f>VLOOKUP(A167,Classifications!$A:$F,6,FALSE)</f>
        <v>1</v>
      </c>
      <c r="H167">
        <f>VLOOKUP(A167,Classifications!$A:$G,7,FALSE)</f>
        <v>43</v>
      </c>
      <c r="I167" t="s">
        <v>24</v>
      </c>
      <c r="J167" s="2">
        <v>44235.54310185185</v>
      </c>
    </row>
    <row r="168" spans="1:10" ht="12.75" customHeight="1" x14ac:dyDescent="0.3">
      <c r="A168">
        <v>1360289</v>
      </c>
      <c r="B168" t="s">
        <v>222</v>
      </c>
      <c r="C168" t="s">
        <v>522</v>
      </c>
      <c r="D168" t="s">
        <v>523</v>
      </c>
      <c r="E168" s="1" t="s">
        <v>524</v>
      </c>
      <c r="F168">
        <f>VLOOKUP(A168,Classifications!$A:$E,5,FALSE)</f>
        <v>1</v>
      </c>
      <c r="G168">
        <f>VLOOKUP(A168,Classifications!$A:$F,6,FALSE)</f>
        <v>1</v>
      </c>
      <c r="H168">
        <f>VLOOKUP(A168,Classifications!$A:$G,7,FALSE)</f>
        <v>43</v>
      </c>
      <c r="I168" t="s">
        <v>11</v>
      </c>
      <c r="J168" s="2">
        <v>44235.515810185185</v>
      </c>
    </row>
    <row r="169" spans="1:10" ht="12.75" customHeight="1" x14ac:dyDescent="0.3">
      <c r="A169">
        <v>1360285</v>
      </c>
      <c r="B169" t="s">
        <v>118</v>
      </c>
      <c r="C169" t="s">
        <v>200</v>
      </c>
      <c r="D169" t="s">
        <v>525</v>
      </c>
      <c r="E169" s="1" t="s">
        <v>526</v>
      </c>
      <c r="F169">
        <f>VLOOKUP(A169,Classifications!$A:$E,5,FALSE)</f>
        <v>3</v>
      </c>
      <c r="G169">
        <f>VLOOKUP(A169,Classifications!$A:$F,6,FALSE)</f>
        <v>2</v>
      </c>
      <c r="H169">
        <f>VLOOKUP(A169,Classifications!$A:$G,7,FALSE)</f>
        <v>41</v>
      </c>
      <c r="I169" t="s">
        <v>11</v>
      </c>
      <c r="J169" s="2">
        <v>44235.512245370373</v>
      </c>
    </row>
    <row r="170" spans="1:10" ht="12.75" customHeight="1" x14ac:dyDescent="0.3">
      <c r="A170">
        <v>1360284</v>
      </c>
      <c r="B170" t="s">
        <v>118</v>
      </c>
      <c r="C170" t="s">
        <v>200</v>
      </c>
      <c r="D170" t="s">
        <v>527</v>
      </c>
      <c r="E170" s="1" t="s">
        <v>528</v>
      </c>
      <c r="F170">
        <f>VLOOKUP(A170,Classifications!$A:$E,5,FALSE)</f>
        <v>3</v>
      </c>
      <c r="G170">
        <f>VLOOKUP(A170,Classifications!$A:$F,6,FALSE)</f>
        <v>1</v>
      </c>
      <c r="H170">
        <f>VLOOKUP(A170,Classifications!$A:$G,7,FALSE)</f>
        <v>41</v>
      </c>
      <c r="I170" t="s">
        <v>11</v>
      </c>
      <c r="J170" s="2">
        <v>44235.5077662037</v>
      </c>
    </row>
    <row r="171" spans="1:10" ht="12.75" customHeight="1" x14ac:dyDescent="0.3">
      <c r="A171">
        <v>1360275</v>
      </c>
      <c r="B171" t="s">
        <v>20</v>
      </c>
      <c r="C171" t="s">
        <v>529</v>
      </c>
      <c r="D171" t="s">
        <v>530</v>
      </c>
      <c r="E171" t="s">
        <v>531</v>
      </c>
      <c r="F171">
        <f>VLOOKUP(A171,Classifications!$A:$E,5,FALSE)</f>
        <v>1</v>
      </c>
      <c r="G171">
        <f>VLOOKUP(A171,Classifications!$A:$F,6,FALSE)</f>
        <v>1</v>
      </c>
      <c r="H171">
        <f>VLOOKUP(A171,Classifications!$A:$G,7,FALSE)</f>
        <v>43</v>
      </c>
      <c r="I171" t="s">
        <v>24</v>
      </c>
      <c r="J171" s="2">
        <v>44235.483310185184</v>
      </c>
    </row>
    <row r="172" spans="1:10" ht="12.75" customHeight="1" x14ac:dyDescent="0.3">
      <c r="A172">
        <v>1360273</v>
      </c>
      <c r="B172" t="s">
        <v>20</v>
      </c>
      <c r="C172" t="s">
        <v>532</v>
      </c>
      <c r="D172" t="s">
        <v>533</v>
      </c>
      <c r="E172" s="1" t="s">
        <v>534</v>
      </c>
      <c r="F172">
        <f>VLOOKUP(A172,Classifications!$A:$E,5,FALSE)</f>
        <v>1</v>
      </c>
      <c r="G172">
        <f>VLOOKUP(A172,Classifications!$A:$F,6,FALSE)</f>
        <v>2</v>
      </c>
      <c r="H172">
        <f>VLOOKUP(A172,Classifications!$A:$G,7,FALSE)</f>
        <v>43</v>
      </c>
      <c r="I172" t="s">
        <v>24</v>
      </c>
      <c r="J172" s="2">
        <v>44235.478946759256</v>
      </c>
    </row>
    <row r="173" spans="1:10" ht="12.75" customHeight="1" x14ac:dyDescent="0.3">
      <c r="A173">
        <v>1360272</v>
      </c>
      <c r="B173" t="s">
        <v>157</v>
      </c>
      <c r="C173" t="s">
        <v>535</v>
      </c>
      <c r="D173" t="s">
        <v>536</v>
      </c>
      <c r="E173" s="1" t="s">
        <v>537</v>
      </c>
      <c r="F173">
        <f>VLOOKUP(A173,Classifications!$A:$E,5,FALSE)</f>
        <v>1</v>
      </c>
      <c r="G173">
        <f>VLOOKUP(A173,Classifications!$A:$F,6,FALSE)</f>
        <v>1</v>
      </c>
      <c r="H173">
        <f>VLOOKUP(A173,Classifications!$A:$G,7,FALSE)</f>
        <v>43</v>
      </c>
      <c r="I173" t="s">
        <v>11</v>
      </c>
      <c r="J173" s="2">
        <v>44235.478576388887</v>
      </c>
    </row>
    <row r="174" spans="1:10" ht="12.75" customHeight="1" x14ac:dyDescent="0.3">
      <c r="A174">
        <v>1360271</v>
      </c>
      <c r="B174" t="s">
        <v>20</v>
      </c>
      <c r="C174" t="s">
        <v>136</v>
      </c>
      <c r="D174" t="s">
        <v>538</v>
      </c>
      <c r="E174" s="1" t="s">
        <v>539</v>
      </c>
      <c r="F174">
        <f>VLOOKUP(A174,Classifications!$A:$E,5,FALSE)</f>
        <v>1</v>
      </c>
      <c r="G174">
        <f>VLOOKUP(A174,Classifications!$A:$F,6,FALSE)</f>
        <v>1</v>
      </c>
      <c r="H174">
        <f>VLOOKUP(A174,Classifications!$A:$G,7,FALSE)</f>
        <v>43</v>
      </c>
      <c r="I174" t="s">
        <v>11</v>
      </c>
      <c r="J174" s="2">
        <v>44235.477256944447</v>
      </c>
    </row>
    <row r="175" spans="1:10" ht="12.75" customHeight="1" x14ac:dyDescent="0.3">
      <c r="A175">
        <v>1360268</v>
      </c>
      <c r="B175" t="s">
        <v>540</v>
      </c>
      <c r="C175" t="s">
        <v>158</v>
      </c>
      <c r="D175" t="s">
        <v>541</v>
      </c>
      <c r="E175" s="1" t="s">
        <v>542</v>
      </c>
      <c r="F175">
        <f>VLOOKUP(A175,Classifications!$A:$E,5,FALSE)</f>
        <v>1</v>
      </c>
      <c r="G175">
        <f>VLOOKUP(A175,Classifications!$A:$F,6,FALSE)</f>
        <v>1</v>
      </c>
      <c r="H175">
        <f>VLOOKUP(A175,Classifications!$A:$G,7,FALSE)</f>
        <v>43</v>
      </c>
      <c r="I175" t="s">
        <v>24</v>
      </c>
      <c r="J175" s="2">
        <v>44235.473865740743</v>
      </c>
    </row>
    <row r="176" spans="1:10" ht="12.75" customHeight="1" x14ac:dyDescent="0.3">
      <c r="A176">
        <v>1360267</v>
      </c>
      <c r="B176" t="s">
        <v>431</v>
      </c>
      <c r="C176" t="s">
        <v>432</v>
      </c>
      <c r="D176" t="s">
        <v>543</v>
      </c>
      <c r="E176" s="1" t="s">
        <v>544</v>
      </c>
      <c r="F176">
        <f>VLOOKUP(A176,Classifications!$A:$E,5,FALSE)</f>
        <v>2</v>
      </c>
      <c r="G176">
        <f>VLOOKUP(A176,Classifications!$A:$F,6,FALSE)</f>
        <v>1</v>
      </c>
      <c r="H176">
        <f>VLOOKUP(A176,Classifications!$A:$G,7,FALSE)</f>
        <v>43</v>
      </c>
      <c r="I176" t="s">
        <v>11</v>
      </c>
      <c r="J176" s="2">
        <v>44235.471238425926</v>
      </c>
    </row>
    <row r="177" spans="1:10" ht="12.75" customHeight="1" x14ac:dyDescent="0.3">
      <c r="A177">
        <v>1360265</v>
      </c>
      <c r="B177" t="s">
        <v>545</v>
      </c>
      <c r="C177" t="s">
        <v>546</v>
      </c>
      <c r="D177" t="s">
        <v>547</v>
      </c>
      <c r="E177" s="1" t="s">
        <v>548</v>
      </c>
      <c r="F177">
        <f>VLOOKUP(A177,Classifications!$A:$E,5,FALSE)</f>
        <v>1</v>
      </c>
      <c r="G177">
        <f>VLOOKUP(A177,Classifications!$A:$F,6,FALSE)</f>
        <v>2</v>
      </c>
      <c r="H177">
        <f>VLOOKUP(A177,Classifications!$A:$G,7,FALSE)</f>
        <v>43</v>
      </c>
      <c r="I177" t="s">
        <v>24</v>
      </c>
      <c r="J177" s="2">
        <v>44235.470324074071</v>
      </c>
    </row>
    <row r="178" spans="1:10" ht="12.75" customHeight="1" x14ac:dyDescent="0.3">
      <c r="A178">
        <v>1360260</v>
      </c>
      <c r="B178" t="s">
        <v>157</v>
      </c>
      <c r="C178" t="s">
        <v>414</v>
      </c>
      <c r="D178" t="s">
        <v>549</v>
      </c>
      <c r="E178" s="1" t="s">
        <v>550</v>
      </c>
      <c r="F178">
        <f>VLOOKUP(A178,Classifications!$A:$E,5,FALSE)</f>
        <v>1</v>
      </c>
      <c r="G178">
        <f>VLOOKUP(A178,Classifications!$A:$F,6,FALSE)</f>
        <v>1</v>
      </c>
      <c r="H178">
        <f>VLOOKUP(A178,Classifications!$A:$G,7,FALSE)</f>
        <v>43</v>
      </c>
      <c r="I178" t="s">
        <v>11</v>
      </c>
      <c r="J178" s="2">
        <v>44235.456597222219</v>
      </c>
    </row>
    <row r="179" spans="1:10" ht="12.75" customHeight="1" x14ac:dyDescent="0.3">
      <c r="A179">
        <v>1360255</v>
      </c>
      <c r="B179" t="s">
        <v>157</v>
      </c>
      <c r="C179" t="s">
        <v>414</v>
      </c>
      <c r="D179" t="s">
        <v>551</v>
      </c>
      <c r="E179" s="1" t="s">
        <v>552</v>
      </c>
      <c r="F179">
        <f>VLOOKUP(A179,Classifications!$A:$E,5,FALSE)</f>
        <v>1</v>
      </c>
      <c r="G179">
        <f>VLOOKUP(A179,Classifications!$A:$F,6,FALSE)</f>
        <v>1</v>
      </c>
      <c r="H179">
        <f>VLOOKUP(A179,Classifications!$A:$G,7,FALSE)</f>
        <v>43</v>
      </c>
      <c r="I179" t="s">
        <v>11</v>
      </c>
      <c r="J179" s="2">
        <v>44235.443506944444</v>
      </c>
    </row>
    <row r="180" spans="1:10" ht="12.75" customHeight="1" x14ac:dyDescent="0.3">
      <c r="A180">
        <v>1360252</v>
      </c>
      <c r="B180" t="s">
        <v>553</v>
      </c>
      <c r="C180" t="s">
        <v>554</v>
      </c>
      <c r="D180" t="s">
        <v>555</v>
      </c>
      <c r="E180" s="1" t="s">
        <v>556</v>
      </c>
      <c r="F180">
        <f>VLOOKUP(A180,Classifications!$A:$E,5,FALSE)</f>
        <v>2</v>
      </c>
      <c r="G180">
        <f>VLOOKUP(A180,Classifications!$A:$F,6,FALSE)</f>
        <v>2</v>
      </c>
      <c r="H180">
        <f>VLOOKUP(A180,Classifications!$A:$G,7,FALSE)</f>
        <v>43</v>
      </c>
      <c r="I180" t="s">
        <v>11</v>
      </c>
      <c r="J180" s="2">
        <v>44235.440324074072</v>
      </c>
    </row>
    <row r="181" spans="1:10" ht="12.75" customHeight="1" x14ac:dyDescent="0.3">
      <c r="A181">
        <v>1360251</v>
      </c>
      <c r="B181" t="s">
        <v>177</v>
      </c>
      <c r="C181" t="s">
        <v>557</v>
      </c>
      <c r="D181" t="s">
        <v>558</v>
      </c>
      <c r="E181" t="s">
        <v>559</v>
      </c>
      <c r="F181">
        <f>VLOOKUP(A181,Classifications!$A:$E,5,FALSE)</f>
        <v>1</v>
      </c>
      <c r="G181">
        <f>VLOOKUP(A181,Classifications!$A:$F,6,FALSE)</f>
        <v>2</v>
      </c>
      <c r="H181">
        <f>VLOOKUP(A181,Classifications!$A:$G,7,FALSE)</f>
        <v>41</v>
      </c>
      <c r="I181" t="s">
        <v>24</v>
      </c>
      <c r="J181" s="2">
        <v>44235.4371875</v>
      </c>
    </row>
    <row r="182" spans="1:10" ht="12.75" customHeight="1" x14ac:dyDescent="0.3">
      <c r="A182">
        <v>1360250</v>
      </c>
      <c r="B182" t="s">
        <v>36</v>
      </c>
      <c r="C182" t="s">
        <v>263</v>
      </c>
      <c r="D182" t="s">
        <v>560</v>
      </c>
      <c r="E182" s="1" t="s">
        <v>561</v>
      </c>
      <c r="F182">
        <f>VLOOKUP(A182,Classifications!$A:$E,5,FALSE)</f>
        <v>1</v>
      </c>
      <c r="G182">
        <f>VLOOKUP(A182,Classifications!$A:$F,6,FALSE)</f>
        <v>1</v>
      </c>
      <c r="H182">
        <f>VLOOKUP(A182,Classifications!$A:$G,7,FALSE)</f>
        <v>43</v>
      </c>
      <c r="I182" t="s">
        <v>24</v>
      </c>
      <c r="J182" s="2">
        <v>44235.434004629627</v>
      </c>
    </row>
    <row r="183" spans="1:10" ht="12.75" customHeight="1" x14ac:dyDescent="0.3">
      <c r="A183">
        <v>1360247</v>
      </c>
      <c r="B183" t="s">
        <v>12</v>
      </c>
      <c r="C183" t="s">
        <v>562</v>
      </c>
      <c r="D183" t="s">
        <v>563</v>
      </c>
      <c r="E183" s="1" t="s">
        <v>564</v>
      </c>
      <c r="F183">
        <f>VLOOKUP(A183,Classifications!$A:$E,5,FALSE)</f>
        <v>1</v>
      </c>
      <c r="G183">
        <f>VLOOKUP(A183,Classifications!$A:$F,6,FALSE)</f>
        <v>1</v>
      </c>
      <c r="H183">
        <f>VLOOKUP(A183,Classifications!$A:$G,7,FALSE)</f>
        <v>41</v>
      </c>
      <c r="I183" t="s">
        <v>24</v>
      </c>
      <c r="J183" s="2">
        <v>44235.42728009259</v>
      </c>
    </row>
    <row r="184" spans="1:10" ht="12.75" customHeight="1" x14ac:dyDescent="0.3">
      <c r="A184">
        <v>1360245</v>
      </c>
      <c r="B184" t="s">
        <v>20</v>
      </c>
      <c r="C184" t="s">
        <v>565</v>
      </c>
      <c r="D184" t="s">
        <v>566</v>
      </c>
      <c r="E184" s="1" t="s">
        <v>567</v>
      </c>
      <c r="F184">
        <f>VLOOKUP(A184,Classifications!$A:$E,5,FALSE)</f>
        <v>1</v>
      </c>
      <c r="G184">
        <f>VLOOKUP(A184,Classifications!$A:$F,6,FALSE)</f>
        <v>1</v>
      </c>
      <c r="H184">
        <f>VLOOKUP(A184,Classifications!$A:$G,7,FALSE)</f>
        <v>41</v>
      </c>
      <c r="I184" t="s">
        <v>24</v>
      </c>
      <c r="J184" s="2">
        <v>44235.425775462965</v>
      </c>
    </row>
    <row r="185" spans="1:10" ht="12.75" customHeight="1" x14ac:dyDescent="0.3">
      <c r="A185">
        <v>1360213</v>
      </c>
      <c r="B185" t="s">
        <v>157</v>
      </c>
      <c r="C185" t="s">
        <v>568</v>
      </c>
      <c r="D185" t="s">
        <v>569</v>
      </c>
      <c r="E185" s="1" t="s">
        <v>570</v>
      </c>
      <c r="F185">
        <f>VLOOKUP(A185,Classifications!$A:$E,5,FALSE)</f>
        <v>1</v>
      </c>
      <c r="G185">
        <f>VLOOKUP(A185,Classifications!$A:$F,6,FALSE)</f>
        <v>2</v>
      </c>
      <c r="H185">
        <f>VLOOKUP(A185,Classifications!$A:$G,7,FALSE)</f>
        <v>41</v>
      </c>
      <c r="I185" t="s">
        <v>24</v>
      </c>
      <c r="J185" s="2">
        <v>44235.411874999998</v>
      </c>
    </row>
    <row r="186" spans="1:10" ht="12.75" customHeight="1" x14ac:dyDescent="0.3">
      <c r="A186">
        <v>1360204</v>
      </c>
      <c r="B186" t="s">
        <v>70</v>
      </c>
      <c r="C186" t="s">
        <v>369</v>
      </c>
      <c r="D186" t="s">
        <v>571</v>
      </c>
      <c r="E186" s="1" t="s">
        <v>572</v>
      </c>
      <c r="F186">
        <f>VLOOKUP(A186,Classifications!$A:$E,5,FALSE)</f>
        <v>1</v>
      </c>
      <c r="G186">
        <f>VLOOKUP(A186,Classifications!$A:$F,6,FALSE)</f>
        <v>1</v>
      </c>
      <c r="H186">
        <f>VLOOKUP(A186,Classifications!$A:$G,7,FALSE)</f>
        <v>41</v>
      </c>
      <c r="I186" t="s">
        <v>11</v>
      </c>
      <c r="J186" s="2">
        <v>44235.399872685186</v>
      </c>
    </row>
    <row r="187" spans="1:10" ht="12.75" customHeight="1" x14ac:dyDescent="0.3">
      <c r="A187">
        <v>1360193</v>
      </c>
      <c r="B187" t="s">
        <v>157</v>
      </c>
      <c r="C187" t="s">
        <v>573</v>
      </c>
      <c r="D187" t="s">
        <v>574</v>
      </c>
      <c r="E187" s="1" t="s">
        <v>575</v>
      </c>
      <c r="F187">
        <f>VLOOKUP(A187,Classifications!$A:$E,5,FALSE)</f>
        <v>2</v>
      </c>
      <c r="G187">
        <f>VLOOKUP(A187,Classifications!$A:$F,6,FALSE)</f>
        <v>1</v>
      </c>
      <c r="H187">
        <f>VLOOKUP(A187,Classifications!$A:$G,7,FALSE)</f>
        <v>43</v>
      </c>
      <c r="I187" t="s">
        <v>24</v>
      </c>
      <c r="J187" s="2">
        <v>44235.394050925926</v>
      </c>
    </row>
    <row r="188" spans="1:10" ht="12.75" customHeight="1" x14ac:dyDescent="0.3">
      <c r="A188">
        <v>1360188</v>
      </c>
      <c r="B188" t="s">
        <v>70</v>
      </c>
      <c r="C188" t="s">
        <v>71</v>
      </c>
      <c r="D188" t="s">
        <v>576</v>
      </c>
      <c r="E188" s="1" t="s">
        <v>577</v>
      </c>
      <c r="F188">
        <f>VLOOKUP(A188,Classifications!$A:$E,5,FALSE)</f>
        <v>3</v>
      </c>
      <c r="G188">
        <f>VLOOKUP(A188,Classifications!$A:$F,6,FALSE)</f>
        <v>1</v>
      </c>
      <c r="H188">
        <f>VLOOKUP(A188,Classifications!$A:$G,7,FALSE)</f>
        <v>43</v>
      </c>
      <c r="I188" t="s">
        <v>11</v>
      </c>
      <c r="J188" s="2">
        <v>44235.376261574071</v>
      </c>
    </row>
    <row r="189" spans="1:10" ht="12.75" customHeight="1" x14ac:dyDescent="0.3">
      <c r="A189">
        <v>1360185</v>
      </c>
      <c r="B189" t="s">
        <v>36</v>
      </c>
      <c r="C189" t="s">
        <v>578</v>
      </c>
      <c r="D189" t="s">
        <v>579</v>
      </c>
      <c r="E189" s="1" t="s">
        <v>580</v>
      </c>
      <c r="F189">
        <f>VLOOKUP(A189,Classifications!$A:$E,5,FALSE)</f>
        <v>1</v>
      </c>
      <c r="G189">
        <f>VLOOKUP(A189,Classifications!$A:$F,6,FALSE)</f>
        <v>1</v>
      </c>
      <c r="H189">
        <f>VLOOKUP(A189,Classifications!$A:$G,7,FALSE)</f>
        <v>43</v>
      </c>
      <c r="I189" t="s">
        <v>24</v>
      </c>
      <c r="J189" s="2">
        <v>44235.370844907404</v>
      </c>
    </row>
    <row r="190" spans="1:10" ht="12.75" customHeight="1" x14ac:dyDescent="0.3">
      <c r="A190">
        <v>1360184</v>
      </c>
      <c r="B190" t="s">
        <v>70</v>
      </c>
      <c r="C190" t="s">
        <v>581</v>
      </c>
      <c r="D190" t="s">
        <v>582</v>
      </c>
      <c r="E190" s="1" t="s">
        <v>583</v>
      </c>
      <c r="F190">
        <f>VLOOKUP(A190,Classifications!$A:$E,5,FALSE)</f>
        <v>1</v>
      </c>
      <c r="G190">
        <f>VLOOKUP(A190,Classifications!$A:$F,6,FALSE)</f>
        <v>3</v>
      </c>
      <c r="H190">
        <f>VLOOKUP(A190,Classifications!$A:$G,7,FALSE)</f>
        <v>41</v>
      </c>
      <c r="I190" t="s">
        <v>11</v>
      </c>
      <c r="J190" s="2">
        <v>44235.366226851853</v>
      </c>
    </row>
    <row r="191" spans="1:10" ht="12.75" customHeight="1" x14ac:dyDescent="0.3">
      <c r="A191">
        <v>1360175</v>
      </c>
      <c r="B191" t="s">
        <v>7</v>
      </c>
      <c r="C191" t="s">
        <v>584</v>
      </c>
      <c r="D191" t="s">
        <v>585</v>
      </c>
      <c r="E191" s="1" t="s">
        <v>586</v>
      </c>
      <c r="F191">
        <f>VLOOKUP(A191,Classifications!$A:$E,5,FALSE)</f>
        <v>1</v>
      </c>
      <c r="G191">
        <f>VLOOKUP(A191,Classifications!$A:$F,6,FALSE)</f>
        <v>3</v>
      </c>
      <c r="H191">
        <f>VLOOKUP(A191,Classifications!$A:$G,7,FALSE)</f>
        <v>41</v>
      </c>
      <c r="I191" t="s">
        <v>11</v>
      </c>
      <c r="J191" s="2">
        <v>44235.349409722221</v>
      </c>
    </row>
    <row r="192" spans="1:10" ht="12.75" customHeight="1" x14ac:dyDescent="0.3">
      <c r="A192">
        <v>1360174</v>
      </c>
      <c r="B192" t="s">
        <v>7</v>
      </c>
      <c r="C192" t="s">
        <v>107</v>
      </c>
      <c r="D192" t="s">
        <v>587</v>
      </c>
      <c r="E192" s="1" t="s">
        <v>588</v>
      </c>
      <c r="F192">
        <f>VLOOKUP(A192,Classifications!$A:$E,5,FALSE)</f>
        <v>1</v>
      </c>
      <c r="G192">
        <f>VLOOKUP(A192,Classifications!$A:$F,6,FALSE)</f>
        <v>1</v>
      </c>
      <c r="H192">
        <f>VLOOKUP(A192,Classifications!$A:$G,7,FALSE)</f>
        <v>43</v>
      </c>
      <c r="I192" t="s">
        <v>11</v>
      </c>
      <c r="J192" s="2">
        <v>44235.347731481481</v>
      </c>
    </row>
    <row r="193" spans="1:10" ht="12.75" customHeight="1" x14ac:dyDescent="0.3">
      <c r="A193">
        <v>1360162</v>
      </c>
      <c r="B193" t="s">
        <v>36</v>
      </c>
      <c r="C193" t="s">
        <v>589</v>
      </c>
      <c r="D193" t="s">
        <v>590</v>
      </c>
      <c r="E193" s="1" t="s">
        <v>591</v>
      </c>
      <c r="F193">
        <f>VLOOKUP(A193,Classifications!$A:$E,5,FALSE)</f>
        <v>3</v>
      </c>
      <c r="G193">
        <f>VLOOKUP(A193,Classifications!$A:$F,6,FALSE)</f>
        <v>3</v>
      </c>
      <c r="H193">
        <f>VLOOKUP(A193,Classifications!$A:$G,7,FALSE)</f>
        <v>41</v>
      </c>
      <c r="I193" t="s">
        <v>24</v>
      </c>
      <c r="J193" s="2">
        <v>44235.331365740742</v>
      </c>
    </row>
    <row r="194" spans="1:10" ht="12.75" customHeight="1" x14ac:dyDescent="0.3">
      <c r="A194">
        <v>1360158</v>
      </c>
      <c r="B194" t="s">
        <v>7</v>
      </c>
      <c r="C194" t="s">
        <v>592</v>
      </c>
      <c r="D194" t="s">
        <v>593</v>
      </c>
      <c r="E194" s="1" t="s">
        <v>594</v>
      </c>
      <c r="F194">
        <f>VLOOKUP(A194,Classifications!$A:$E,5,FALSE)</f>
        <v>2</v>
      </c>
      <c r="G194">
        <f>VLOOKUP(A194,Classifications!$A:$F,6,FALSE)</f>
        <v>1</v>
      </c>
      <c r="H194">
        <f>VLOOKUP(A194,Classifications!$A:$G,7,FALSE)</f>
        <v>41</v>
      </c>
      <c r="I194" t="s">
        <v>24</v>
      </c>
      <c r="J194" s="2">
        <v>44235.319421296299</v>
      </c>
    </row>
    <row r="195" spans="1:10" ht="12.75" customHeight="1" x14ac:dyDescent="0.3">
      <c r="A195">
        <v>1360155</v>
      </c>
      <c r="B195" t="s">
        <v>16</v>
      </c>
      <c r="C195" t="s">
        <v>595</v>
      </c>
      <c r="D195" t="s">
        <v>596</v>
      </c>
      <c r="E195" s="1" t="s">
        <v>597</v>
      </c>
      <c r="F195">
        <f>VLOOKUP(A195,Classifications!$A:$E,5,FALSE)</f>
        <v>1</v>
      </c>
      <c r="G195">
        <f>VLOOKUP(A195,Classifications!$A:$F,6,FALSE)</f>
        <v>1</v>
      </c>
      <c r="H195">
        <f>VLOOKUP(A195,Classifications!$A:$G,7,FALSE)</f>
        <v>43</v>
      </c>
      <c r="I195" t="s">
        <v>11</v>
      </c>
      <c r="J195" s="2">
        <v>44235.311342592591</v>
      </c>
    </row>
    <row r="196" spans="1:10" ht="12.75" customHeight="1" x14ac:dyDescent="0.3">
      <c r="A196">
        <v>1360141</v>
      </c>
      <c r="B196" t="s">
        <v>12</v>
      </c>
      <c r="C196" t="s">
        <v>598</v>
      </c>
      <c r="D196" t="s">
        <v>599</v>
      </c>
      <c r="E196" s="1" t="s">
        <v>600</v>
      </c>
      <c r="F196">
        <f>VLOOKUP(A196,Classifications!$A:$E,5,FALSE)</f>
        <v>1</v>
      </c>
      <c r="G196">
        <f>VLOOKUP(A196,Classifications!$A:$F,6,FALSE)</f>
        <v>2</v>
      </c>
      <c r="H196">
        <f>VLOOKUP(A196,Classifications!$A:$G,7,FALSE)</f>
        <v>41</v>
      </c>
      <c r="I196" t="s">
        <v>11</v>
      </c>
      <c r="J196" s="2">
        <v>44235.258310185185</v>
      </c>
    </row>
    <row r="197" spans="1:10" ht="12.75" customHeight="1" x14ac:dyDescent="0.3">
      <c r="A197">
        <v>1360085</v>
      </c>
      <c r="B197" t="s">
        <v>95</v>
      </c>
      <c r="C197" t="s">
        <v>601</v>
      </c>
      <c r="D197" t="s">
        <v>602</v>
      </c>
      <c r="E197" t="s">
        <v>603</v>
      </c>
      <c r="F197">
        <f>VLOOKUP(A197,Classifications!$A:$E,5,FALSE)</f>
        <v>3</v>
      </c>
      <c r="G197">
        <f>VLOOKUP(A197,Classifications!$A:$F,6,FALSE)</f>
        <v>2</v>
      </c>
      <c r="H197">
        <f>VLOOKUP(A197,Classifications!$A:$G,7,FALSE)</f>
        <v>43</v>
      </c>
      <c r="I197" t="s">
        <v>188</v>
      </c>
      <c r="J197" s="2">
        <v>44235.042118055557</v>
      </c>
    </row>
    <row r="198" spans="1:10" ht="12.75" customHeight="1" x14ac:dyDescent="0.3">
      <c r="A198">
        <v>1359871</v>
      </c>
      <c r="B198" t="s">
        <v>7</v>
      </c>
      <c r="C198" t="s">
        <v>107</v>
      </c>
      <c r="D198" t="s">
        <v>604</v>
      </c>
      <c r="E198" t="s">
        <v>461</v>
      </c>
      <c r="F198">
        <f>VLOOKUP(A198,Classifications!$A:$E,5,FALSE)</f>
        <v>1</v>
      </c>
      <c r="G198">
        <f>VLOOKUP(A198,Classifications!$A:$F,6,FALSE)</f>
        <v>1</v>
      </c>
      <c r="H198">
        <f>VLOOKUP(A198,Classifications!$A:$G,7,FALSE)</f>
        <v>36</v>
      </c>
      <c r="I198" t="s">
        <v>462</v>
      </c>
      <c r="J198" s="2">
        <v>44234.7500462963</v>
      </c>
    </row>
    <row r="199" spans="1:10" ht="12.75" customHeight="1" x14ac:dyDescent="0.3">
      <c r="A199">
        <v>1359870</v>
      </c>
      <c r="B199" t="s">
        <v>7</v>
      </c>
      <c r="C199" t="s">
        <v>107</v>
      </c>
      <c r="D199" t="s">
        <v>605</v>
      </c>
      <c r="E199" t="s">
        <v>461</v>
      </c>
      <c r="F199">
        <f>VLOOKUP(A199,Classifications!$A:$E,5,FALSE)</f>
        <v>1</v>
      </c>
      <c r="G199">
        <f>VLOOKUP(A199,Classifications!$A:$F,6,FALSE)</f>
        <v>1</v>
      </c>
      <c r="H199">
        <f>VLOOKUP(A199,Classifications!$A:$G,7,FALSE)</f>
        <v>36</v>
      </c>
      <c r="I199" t="s">
        <v>462</v>
      </c>
      <c r="J199" s="2">
        <v>44234.750034722223</v>
      </c>
    </row>
    <row r="200" spans="1:10" ht="12.75" customHeight="1" x14ac:dyDescent="0.3">
      <c r="A200">
        <v>1359857</v>
      </c>
      <c r="B200" t="s">
        <v>606</v>
      </c>
      <c r="C200" t="s">
        <v>158</v>
      </c>
      <c r="D200" t="s">
        <v>607</v>
      </c>
      <c r="E200" s="1" t="s">
        <v>608</v>
      </c>
      <c r="F200">
        <f>VLOOKUP(A200,Classifications!$A:$E,5,FALSE)</f>
        <v>1</v>
      </c>
      <c r="G200">
        <f>VLOOKUP(A200,Classifications!$A:$F,6,FALSE)</f>
        <v>1</v>
      </c>
      <c r="H200">
        <f>VLOOKUP(A200,Classifications!$A:$G,7,FALSE)</f>
        <v>41</v>
      </c>
      <c r="I200" t="s">
        <v>11</v>
      </c>
      <c r="J200" s="2">
        <v>44234.713692129626</v>
      </c>
    </row>
    <row r="201" spans="1:10" ht="12.75" customHeight="1" x14ac:dyDescent="0.3">
      <c r="A201">
        <v>1359838</v>
      </c>
      <c r="B201" t="s">
        <v>53</v>
      </c>
      <c r="C201" t="s">
        <v>609</v>
      </c>
      <c r="D201" t="s">
        <v>610</v>
      </c>
      <c r="E201" s="1" t="s">
        <v>611</v>
      </c>
      <c r="F201">
        <f>VLOOKUP(A201,Classifications!$A:$E,5,FALSE)</f>
        <v>1</v>
      </c>
      <c r="G201">
        <f>VLOOKUP(A201,Classifications!$A:$F,6,FALSE)</f>
        <v>1</v>
      </c>
      <c r="H201">
        <f>VLOOKUP(A201,Classifications!$A:$G,7,FALSE)</f>
        <v>43</v>
      </c>
      <c r="I201" t="s">
        <v>11</v>
      </c>
      <c r="J201" s="2">
        <v>44234.569293981483</v>
      </c>
    </row>
    <row r="202" spans="1:10" ht="12.75" customHeight="1" x14ac:dyDescent="0.3">
      <c r="A202">
        <v>1359297</v>
      </c>
      <c r="B202" t="s">
        <v>7</v>
      </c>
      <c r="C202" t="s">
        <v>158</v>
      </c>
      <c r="D202" t="s">
        <v>612</v>
      </c>
      <c r="E202" s="1" t="s">
        <v>613</v>
      </c>
      <c r="F202">
        <f>VLOOKUP(A202,Classifications!$A:$E,5,FALSE)</f>
        <v>2</v>
      </c>
      <c r="G202">
        <f>VLOOKUP(A202,Classifications!$A:$F,6,FALSE)</f>
        <v>2</v>
      </c>
      <c r="H202">
        <f>VLOOKUP(A202,Classifications!$A:$G,7,FALSE)</f>
        <v>41</v>
      </c>
      <c r="I202" t="s">
        <v>11</v>
      </c>
      <c r="J202" s="2">
        <v>44233.093333333331</v>
      </c>
    </row>
    <row r="203" spans="1:10" ht="12.75" customHeight="1" x14ac:dyDescent="0.3">
      <c r="A203">
        <v>1359134</v>
      </c>
      <c r="B203" t="s">
        <v>614</v>
      </c>
      <c r="C203" t="s">
        <v>158</v>
      </c>
      <c r="D203" t="s">
        <v>615</v>
      </c>
      <c r="E203" s="1" t="s">
        <v>616</v>
      </c>
      <c r="F203">
        <f>VLOOKUP(A203,Classifications!$A:$E,5,FALSE)</f>
        <v>1</v>
      </c>
      <c r="G203">
        <f>VLOOKUP(A203,Classifications!$A:$F,6,FALSE)</f>
        <v>3</v>
      </c>
      <c r="H203">
        <f>VLOOKUP(A203,Classifications!$A:$G,7,FALSE)</f>
        <v>41</v>
      </c>
      <c r="I203" t="s">
        <v>11</v>
      </c>
      <c r="J203" s="2">
        <v>44232.882986111108</v>
      </c>
    </row>
    <row r="204" spans="1:10" ht="12.75" customHeight="1" x14ac:dyDescent="0.3">
      <c r="A204">
        <v>1359040</v>
      </c>
      <c r="B204" t="s">
        <v>16</v>
      </c>
      <c r="C204" t="s">
        <v>181</v>
      </c>
      <c r="D204" t="s">
        <v>617</v>
      </c>
      <c r="E204" t="s">
        <v>461</v>
      </c>
      <c r="F204">
        <f>VLOOKUP(A204,Classifications!$A:$E,5,FALSE)</f>
        <v>1</v>
      </c>
      <c r="G204">
        <f>VLOOKUP(A204,Classifications!$A:$F,6,FALSE)</f>
        <v>1</v>
      </c>
      <c r="H204">
        <f>VLOOKUP(A204,Classifications!$A:$G,7,FALSE)</f>
        <v>36</v>
      </c>
      <c r="I204" t="s">
        <v>462</v>
      </c>
      <c r="J204" s="2">
        <v>44232.750034722223</v>
      </c>
    </row>
    <row r="205" spans="1:10" ht="12.75" customHeight="1" x14ac:dyDescent="0.3">
      <c r="A205">
        <v>1359039</v>
      </c>
      <c r="B205" t="s">
        <v>618</v>
      </c>
      <c r="C205" t="s">
        <v>619</v>
      </c>
      <c r="D205" t="s">
        <v>620</v>
      </c>
      <c r="E205" t="s">
        <v>461</v>
      </c>
      <c r="F205">
        <f>VLOOKUP(A205,Classifications!$A:$E,5,FALSE)</f>
        <v>1</v>
      </c>
      <c r="G205">
        <f>VLOOKUP(A205,Classifications!$A:$F,6,FALSE)</f>
        <v>1</v>
      </c>
      <c r="H205">
        <f>VLOOKUP(A205,Classifications!$A:$G,7,FALSE)</f>
        <v>36</v>
      </c>
      <c r="I205" t="s">
        <v>462</v>
      </c>
      <c r="J205" s="2">
        <v>44232.750011574077</v>
      </c>
    </row>
    <row r="206" spans="1:10" ht="12.75" customHeight="1" x14ac:dyDescent="0.3">
      <c r="A206">
        <v>1359028</v>
      </c>
      <c r="B206" t="s">
        <v>621</v>
      </c>
      <c r="C206" t="s">
        <v>622</v>
      </c>
      <c r="D206" t="s">
        <v>623</v>
      </c>
      <c r="E206" s="1" t="s">
        <v>624</v>
      </c>
      <c r="F206">
        <f>VLOOKUP(A206,Classifications!$A:$E,5,FALSE)</f>
        <v>1</v>
      </c>
      <c r="G206">
        <f>VLOOKUP(A206,Classifications!$A:$F,6,FALSE)</f>
        <v>1</v>
      </c>
      <c r="H206">
        <f>VLOOKUP(A206,Classifications!$A:$G,7,FALSE)</f>
        <v>36</v>
      </c>
      <c r="I206" t="s">
        <v>11</v>
      </c>
      <c r="J206" s="2">
        <v>44232.727905092594</v>
      </c>
    </row>
    <row r="207" spans="1:10" ht="12.75" customHeight="1" x14ac:dyDescent="0.3">
      <c r="A207">
        <v>1359013</v>
      </c>
      <c r="B207" t="s">
        <v>503</v>
      </c>
      <c r="D207" t="s">
        <v>625</v>
      </c>
      <c r="E207" s="1" t="s">
        <v>626</v>
      </c>
      <c r="F207">
        <f>VLOOKUP(A207,Classifications!$A:$E,5,FALSE)</f>
        <v>1</v>
      </c>
      <c r="G207">
        <f>VLOOKUP(A207,Classifications!$A:$F,6,FALSE)</f>
        <v>1</v>
      </c>
      <c r="H207">
        <f>VLOOKUP(A207,Classifications!$A:$G,7,FALSE)</f>
        <v>36</v>
      </c>
      <c r="I207" t="s">
        <v>11</v>
      </c>
      <c r="J207" s="2">
        <v>44232.701921296299</v>
      </c>
    </row>
    <row r="208" spans="1:10" ht="12.75" customHeight="1" x14ac:dyDescent="0.3">
      <c r="A208">
        <v>1359008</v>
      </c>
      <c r="B208" t="s">
        <v>157</v>
      </c>
      <c r="C208" t="s">
        <v>627</v>
      </c>
      <c r="D208" t="s">
        <v>628</v>
      </c>
      <c r="E208" s="1" t="s">
        <v>629</v>
      </c>
      <c r="F208">
        <f>VLOOKUP(A208,Classifications!$A:$E,5,FALSE)</f>
        <v>1</v>
      </c>
      <c r="G208">
        <f>VLOOKUP(A208,Classifications!$A:$F,6,FALSE)</f>
        <v>2</v>
      </c>
      <c r="H208">
        <f>VLOOKUP(A208,Classifications!$A:$G,7,FALSE)</f>
        <v>43</v>
      </c>
      <c r="I208" t="s">
        <v>24</v>
      </c>
      <c r="J208" s="2">
        <v>44232.679965277777</v>
      </c>
    </row>
    <row r="209" spans="1:10" ht="12.75" customHeight="1" x14ac:dyDescent="0.3">
      <c r="A209">
        <v>1359007</v>
      </c>
      <c r="B209" t="s">
        <v>16</v>
      </c>
      <c r="C209" t="s">
        <v>181</v>
      </c>
      <c r="D209" t="s">
        <v>625</v>
      </c>
      <c r="E209" s="1" t="s">
        <v>630</v>
      </c>
      <c r="F209">
        <f>VLOOKUP(A209,Classifications!$A:$E,5,FALSE)</f>
        <v>1</v>
      </c>
      <c r="G209">
        <f>VLOOKUP(A209,Classifications!$A:$F,6,FALSE)</f>
        <v>1</v>
      </c>
      <c r="H209">
        <f>VLOOKUP(A209,Classifications!$A:$G,7,FALSE)</f>
        <v>36</v>
      </c>
      <c r="I209" t="s">
        <v>11</v>
      </c>
      <c r="J209" s="2">
        <v>44232.678159722222</v>
      </c>
    </row>
    <row r="210" spans="1:10" ht="12.75" customHeight="1" x14ac:dyDescent="0.3">
      <c r="A210">
        <v>1359004</v>
      </c>
      <c r="B210" t="s">
        <v>20</v>
      </c>
      <c r="C210" t="s">
        <v>136</v>
      </c>
      <c r="D210" t="s">
        <v>631</v>
      </c>
      <c r="E210" s="1" t="s">
        <v>632</v>
      </c>
      <c r="F210">
        <f>VLOOKUP(A210,Classifications!$A:$E,5,FALSE)</f>
        <v>1</v>
      </c>
      <c r="G210">
        <f>VLOOKUP(A210,Classifications!$A:$F,6,FALSE)</f>
        <v>1</v>
      </c>
      <c r="H210">
        <f>VLOOKUP(A210,Classifications!$A:$G,7,FALSE)</f>
        <v>43</v>
      </c>
      <c r="I210" t="s">
        <v>11</v>
      </c>
      <c r="J210" s="2">
        <v>44232.672766203701</v>
      </c>
    </row>
    <row r="211" spans="1:10" ht="12.75" customHeight="1" x14ac:dyDescent="0.3">
      <c r="A211">
        <v>1358999</v>
      </c>
      <c r="B211" t="s">
        <v>20</v>
      </c>
      <c r="C211" t="s">
        <v>78</v>
      </c>
      <c r="D211" t="s">
        <v>633</v>
      </c>
      <c r="E211" s="1" t="s">
        <v>634</v>
      </c>
      <c r="F211">
        <f>VLOOKUP(A211,Classifications!$A:$E,5,FALSE)</f>
        <v>1</v>
      </c>
      <c r="G211">
        <f>VLOOKUP(A211,Classifications!$A:$F,6,FALSE)</f>
        <v>1</v>
      </c>
      <c r="H211">
        <f>VLOOKUP(A211,Classifications!$A:$G,7,FALSE)</f>
        <v>43</v>
      </c>
      <c r="I211" t="s">
        <v>11</v>
      </c>
      <c r="J211" s="2">
        <v>44232.669687499998</v>
      </c>
    </row>
    <row r="212" spans="1:10" ht="12.75" customHeight="1" x14ac:dyDescent="0.3">
      <c r="A212">
        <v>1358997</v>
      </c>
      <c r="B212" t="s">
        <v>20</v>
      </c>
      <c r="C212" t="s">
        <v>78</v>
      </c>
      <c r="D212" t="s">
        <v>635</v>
      </c>
      <c r="E212" s="1" t="s">
        <v>636</v>
      </c>
      <c r="F212">
        <f>VLOOKUP(A212,Classifications!$A:$E,5,FALSE)</f>
        <v>1</v>
      </c>
      <c r="G212">
        <f>VLOOKUP(A212,Classifications!$A:$F,6,FALSE)</f>
        <v>1</v>
      </c>
      <c r="H212">
        <f>VLOOKUP(A212,Classifications!$A:$G,7,FALSE)</f>
        <v>43</v>
      </c>
      <c r="I212" t="s">
        <v>11</v>
      </c>
      <c r="J212" s="2">
        <v>44232.669085648151</v>
      </c>
    </row>
    <row r="213" spans="1:10" ht="12.75" customHeight="1" x14ac:dyDescent="0.3">
      <c r="A213">
        <v>1358996</v>
      </c>
      <c r="B213" t="s">
        <v>20</v>
      </c>
      <c r="C213" t="s">
        <v>136</v>
      </c>
      <c r="D213" t="s">
        <v>637</v>
      </c>
      <c r="E213" s="1" t="s">
        <v>638</v>
      </c>
      <c r="F213">
        <f>VLOOKUP(A213,Classifications!$A:$E,5,FALSE)</f>
        <v>1</v>
      </c>
      <c r="G213">
        <f>VLOOKUP(A213,Classifications!$A:$F,6,FALSE)</f>
        <v>3</v>
      </c>
      <c r="H213">
        <f>VLOOKUP(A213,Classifications!$A:$G,7,FALSE)</f>
        <v>43</v>
      </c>
      <c r="I213" t="s">
        <v>11</v>
      </c>
      <c r="J213" s="2">
        <v>44232.668715277781</v>
      </c>
    </row>
    <row r="214" spans="1:10" ht="12.75" customHeight="1" x14ac:dyDescent="0.3">
      <c r="A214">
        <v>1358994</v>
      </c>
      <c r="B214" t="s">
        <v>20</v>
      </c>
      <c r="C214" t="s">
        <v>136</v>
      </c>
      <c r="D214" t="s">
        <v>639</v>
      </c>
      <c r="E214" s="1" t="s">
        <v>640</v>
      </c>
      <c r="F214">
        <f>VLOOKUP(A214,Classifications!$A:$E,5,FALSE)</f>
        <v>1</v>
      </c>
      <c r="G214">
        <f>VLOOKUP(A214,Classifications!$A:$F,6,FALSE)</f>
        <v>3</v>
      </c>
      <c r="H214">
        <f>VLOOKUP(A214,Classifications!$A:$G,7,FALSE)</f>
        <v>43</v>
      </c>
      <c r="I214" t="s">
        <v>11</v>
      </c>
      <c r="J214" s="2">
        <v>44232.66846064815</v>
      </c>
    </row>
    <row r="215" spans="1:10" ht="12.75" customHeight="1" x14ac:dyDescent="0.3">
      <c r="A215">
        <v>1358993</v>
      </c>
      <c r="B215" t="s">
        <v>20</v>
      </c>
      <c r="C215" t="s">
        <v>78</v>
      </c>
      <c r="D215" t="s">
        <v>641</v>
      </c>
      <c r="E215" s="1" t="s">
        <v>642</v>
      </c>
      <c r="F215">
        <f>VLOOKUP(A215,Classifications!$A:$E,5,FALSE)</f>
        <v>1</v>
      </c>
      <c r="G215">
        <f>VLOOKUP(A215,Classifications!$A:$F,6,FALSE)</f>
        <v>1</v>
      </c>
      <c r="H215">
        <f>VLOOKUP(A215,Classifications!$A:$G,7,FALSE)</f>
        <v>43</v>
      </c>
      <c r="I215" t="s">
        <v>11</v>
      </c>
      <c r="J215" s="2">
        <v>44232.664814814816</v>
      </c>
    </row>
    <row r="216" spans="1:10" ht="12.75" customHeight="1" x14ac:dyDescent="0.3">
      <c r="A216">
        <v>1358990</v>
      </c>
      <c r="B216" t="s">
        <v>177</v>
      </c>
      <c r="C216" t="s">
        <v>643</v>
      </c>
      <c r="D216" t="s">
        <v>644</v>
      </c>
      <c r="E216" s="1" t="s">
        <v>645</v>
      </c>
      <c r="F216">
        <f>VLOOKUP(A216,Classifications!$A:$E,5,FALSE)</f>
        <v>1</v>
      </c>
      <c r="G216">
        <f>VLOOKUP(A216,Classifications!$A:$F,6,FALSE)</f>
        <v>1</v>
      </c>
      <c r="H216">
        <f>VLOOKUP(A216,Classifications!$A:$G,7,FALSE)</f>
        <v>36</v>
      </c>
      <c r="I216" t="s">
        <v>24</v>
      </c>
      <c r="J216" s="2">
        <v>44232.66128472222</v>
      </c>
    </row>
    <row r="217" spans="1:10" ht="12.75" customHeight="1" x14ac:dyDescent="0.3">
      <c r="A217">
        <v>1358986</v>
      </c>
      <c r="B217" t="s">
        <v>36</v>
      </c>
      <c r="C217" t="s">
        <v>646</v>
      </c>
      <c r="D217" t="s">
        <v>647</v>
      </c>
      <c r="E217" s="1" t="s">
        <v>648</v>
      </c>
      <c r="F217">
        <f>VLOOKUP(A217,Classifications!$A:$E,5,FALSE)</f>
        <v>1</v>
      </c>
      <c r="G217">
        <f>VLOOKUP(A217,Classifications!$A:$F,6,FALSE)</f>
        <v>1</v>
      </c>
      <c r="H217">
        <f>VLOOKUP(A217,Classifications!$A:$G,7,FALSE)</f>
        <v>36</v>
      </c>
      <c r="I217" t="s">
        <v>11</v>
      </c>
      <c r="J217" s="2">
        <v>44232.651516203703</v>
      </c>
    </row>
    <row r="218" spans="1:10" ht="12.75" customHeight="1" x14ac:dyDescent="0.3">
      <c r="A218">
        <v>1358985</v>
      </c>
      <c r="B218" t="s">
        <v>16</v>
      </c>
      <c r="C218" t="s">
        <v>649</v>
      </c>
      <c r="D218" t="s">
        <v>650</v>
      </c>
      <c r="E218" s="1" t="s">
        <v>651</v>
      </c>
      <c r="F218">
        <f>VLOOKUP(A218,Classifications!$A:$E,5,FALSE)</f>
        <v>1</v>
      </c>
      <c r="G218">
        <f>VLOOKUP(A218,Classifications!$A:$F,6,FALSE)</f>
        <v>3</v>
      </c>
      <c r="H218">
        <f>VLOOKUP(A218,Classifications!$A:$G,7,FALSE)</f>
        <v>43</v>
      </c>
      <c r="I218" t="s">
        <v>11</v>
      </c>
      <c r="J218" s="2">
        <v>44232.646168981482</v>
      </c>
    </row>
    <row r="219" spans="1:10" ht="12.75" customHeight="1" x14ac:dyDescent="0.3">
      <c r="A219">
        <v>1358983</v>
      </c>
      <c r="B219" t="s">
        <v>20</v>
      </c>
      <c r="C219" t="s">
        <v>78</v>
      </c>
      <c r="D219" t="s">
        <v>652</v>
      </c>
      <c r="E219" s="1" t="s">
        <v>653</v>
      </c>
      <c r="F219">
        <f>VLOOKUP(A219,Classifications!$A:$E,5,FALSE)</f>
        <v>1</v>
      </c>
      <c r="G219">
        <f>VLOOKUP(A219,Classifications!$A:$F,6,FALSE)</f>
        <v>1</v>
      </c>
      <c r="H219">
        <f>VLOOKUP(A219,Classifications!$A:$G,7,FALSE)</f>
        <v>43</v>
      </c>
      <c r="I219" t="s">
        <v>11</v>
      </c>
      <c r="J219" s="2">
        <v>44232.645335648151</v>
      </c>
    </row>
    <row r="220" spans="1:10" ht="12.75" customHeight="1" x14ac:dyDescent="0.3">
      <c r="A220">
        <v>1358982</v>
      </c>
      <c r="B220" t="s">
        <v>20</v>
      </c>
      <c r="C220" t="s">
        <v>78</v>
      </c>
      <c r="D220" t="s">
        <v>654</v>
      </c>
      <c r="E220" s="1" t="s">
        <v>655</v>
      </c>
      <c r="F220">
        <f>VLOOKUP(A220,Classifications!$A:$E,5,FALSE)</f>
        <v>1</v>
      </c>
      <c r="G220">
        <f>VLOOKUP(A220,Classifications!$A:$F,6,FALSE)</f>
        <v>1</v>
      </c>
      <c r="H220">
        <f>VLOOKUP(A220,Classifications!$A:$G,7,FALSE)</f>
        <v>43</v>
      </c>
      <c r="I220" t="s">
        <v>11</v>
      </c>
      <c r="J220" s="2">
        <v>44232.645069444443</v>
      </c>
    </row>
    <row r="221" spans="1:10" ht="12.75" customHeight="1" x14ac:dyDescent="0.3">
      <c r="A221">
        <v>1358974</v>
      </c>
      <c r="B221" t="s">
        <v>350</v>
      </c>
      <c r="C221" t="s">
        <v>351</v>
      </c>
      <c r="D221" t="s">
        <v>656</v>
      </c>
      <c r="E221" s="1" t="s">
        <v>657</v>
      </c>
      <c r="F221">
        <f>VLOOKUP(A221,Classifications!$A:$E,5,FALSE)</f>
        <v>1</v>
      </c>
      <c r="G221">
        <f>VLOOKUP(A221,Classifications!$A:$F,6,FALSE)</f>
        <v>1</v>
      </c>
      <c r="H221">
        <f>VLOOKUP(A221,Classifications!$A:$G,7,FALSE)</f>
        <v>43</v>
      </c>
      <c r="I221" t="s">
        <v>24</v>
      </c>
      <c r="J221" s="2">
        <v>44232.615868055553</v>
      </c>
    </row>
    <row r="222" spans="1:10" ht="12.75" customHeight="1" x14ac:dyDescent="0.3">
      <c r="A222">
        <v>1358966</v>
      </c>
      <c r="B222" t="s">
        <v>53</v>
      </c>
      <c r="C222" t="s">
        <v>54</v>
      </c>
      <c r="D222" t="s">
        <v>658</v>
      </c>
      <c r="E222" s="1" t="s">
        <v>659</v>
      </c>
      <c r="F222">
        <f>VLOOKUP(A222,Classifications!$A:$E,5,FALSE)</f>
        <v>1</v>
      </c>
      <c r="G222">
        <f>VLOOKUP(A222,Classifications!$A:$F,6,FALSE)</f>
        <v>3</v>
      </c>
      <c r="H222">
        <f>VLOOKUP(A222,Classifications!$A:$G,7,FALSE)</f>
        <v>43</v>
      </c>
      <c r="I222" t="s">
        <v>11</v>
      </c>
      <c r="J222" s="2">
        <v>44232.587199074071</v>
      </c>
    </row>
    <row r="223" spans="1:10" ht="12.75" customHeight="1" x14ac:dyDescent="0.3">
      <c r="A223">
        <v>1358956</v>
      </c>
      <c r="B223" t="s">
        <v>70</v>
      </c>
      <c r="C223" t="s">
        <v>660</v>
      </c>
      <c r="D223" t="s">
        <v>661</v>
      </c>
      <c r="E223" s="1" t="s">
        <v>662</v>
      </c>
      <c r="F223">
        <f>VLOOKUP(A223,Classifications!$A:$E,5,FALSE)</f>
        <v>1</v>
      </c>
      <c r="G223">
        <f>VLOOKUP(A223,Classifications!$A:$F,6,FALSE)</f>
        <v>1</v>
      </c>
      <c r="H223">
        <f>VLOOKUP(A223,Classifications!$A:$G,7,FALSE)</f>
        <v>43</v>
      </c>
      <c r="I223" t="s">
        <v>11</v>
      </c>
      <c r="J223" s="2">
        <v>44232.565254629626</v>
      </c>
    </row>
    <row r="224" spans="1:10" ht="12.75" customHeight="1" x14ac:dyDescent="0.3">
      <c r="A224">
        <v>1358952</v>
      </c>
      <c r="B224" t="s">
        <v>374</v>
      </c>
      <c r="C224" t="s">
        <v>663</v>
      </c>
      <c r="D224" t="s">
        <v>664</v>
      </c>
      <c r="E224" s="1" t="s">
        <v>665</v>
      </c>
      <c r="F224">
        <f>VLOOKUP(A224,Classifications!$A:$E,5,FALSE)</f>
        <v>1</v>
      </c>
      <c r="G224">
        <f>VLOOKUP(A224,Classifications!$A:$F,6,FALSE)</f>
        <v>2</v>
      </c>
      <c r="H224">
        <f>VLOOKUP(A224,Classifications!$A:$G,7,FALSE)</f>
        <v>43</v>
      </c>
      <c r="I224" t="s">
        <v>11</v>
      </c>
      <c r="J224" s="2">
        <v>44232.556770833333</v>
      </c>
    </row>
    <row r="225" spans="1:10" ht="12.75" customHeight="1" x14ac:dyDescent="0.3">
      <c r="A225">
        <v>1358951</v>
      </c>
      <c r="B225" t="s">
        <v>222</v>
      </c>
      <c r="C225" t="s">
        <v>522</v>
      </c>
      <c r="D225" t="s">
        <v>666</v>
      </c>
      <c r="E225" s="1" t="s">
        <v>667</v>
      </c>
      <c r="F225">
        <f>VLOOKUP(A225,Classifications!$A:$E,5,FALSE)</f>
        <v>3</v>
      </c>
      <c r="G225">
        <f>VLOOKUP(A225,Classifications!$A:$F,6,FALSE)</f>
        <v>3</v>
      </c>
      <c r="H225">
        <f>VLOOKUP(A225,Classifications!$A:$G,7,FALSE)</f>
        <v>36</v>
      </c>
      <c r="I225" t="s">
        <v>24</v>
      </c>
      <c r="J225" s="2">
        <v>44232.553553240738</v>
      </c>
    </row>
    <row r="226" spans="1:10" ht="12.75" customHeight="1" x14ac:dyDescent="0.3">
      <c r="A226">
        <v>1358949</v>
      </c>
      <c r="B226" t="s">
        <v>95</v>
      </c>
      <c r="C226" t="s">
        <v>668</v>
      </c>
      <c r="D226" t="s">
        <v>669</v>
      </c>
      <c r="E226" s="1" t="s">
        <v>670</v>
      </c>
      <c r="F226">
        <f>VLOOKUP(A226,Classifications!$A:$E,5,FALSE)</f>
        <v>3</v>
      </c>
      <c r="G226">
        <f>VLOOKUP(A226,Classifications!$A:$F,6,FALSE)</f>
        <v>3</v>
      </c>
      <c r="H226">
        <f>VLOOKUP(A226,Classifications!$A:$G,7,FALSE)</f>
        <v>43</v>
      </c>
      <c r="I226" t="s">
        <v>11</v>
      </c>
      <c r="J226" s="2">
        <v>44232.548761574071</v>
      </c>
    </row>
    <row r="227" spans="1:10" ht="12.75" customHeight="1" x14ac:dyDescent="0.3">
      <c r="A227">
        <v>1358945</v>
      </c>
      <c r="B227" t="s">
        <v>435</v>
      </c>
      <c r="C227" t="s">
        <v>436</v>
      </c>
      <c r="D227" t="s">
        <v>671</v>
      </c>
      <c r="E227" s="1" t="s">
        <v>672</v>
      </c>
      <c r="F227">
        <f>VLOOKUP(A227,Classifications!$A:$E,5,FALSE)</f>
        <v>1</v>
      </c>
      <c r="G227">
        <f>VLOOKUP(A227,Classifications!$A:$F,6,FALSE)</f>
        <v>1</v>
      </c>
      <c r="H227">
        <f>VLOOKUP(A227,Classifications!$A:$G,7,FALSE)</f>
        <v>43</v>
      </c>
      <c r="I227" t="s">
        <v>11</v>
      </c>
      <c r="J227" s="2">
        <v>44232.545555555553</v>
      </c>
    </row>
    <row r="228" spans="1:10" ht="12.75" customHeight="1" x14ac:dyDescent="0.3">
      <c r="A228">
        <v>1358944</v>
      </c>
      <c r="B228" t="s">
        <v>36</v>
      </c>
      <c r="C228" t="s">
        <v>673</v>
      </c>
      <c r="D228" t="s">
        <v>674</v>
      </c>
      <c r="E228" s="1" t="s">
        <v>675</v>
      </c>
      <c r="F228">
        <f>VLOOKUP(A228,Classifications!$A:$E,5,FALSE)</f>
        <v>1</v>
      </c>
      <c r="G228">
        <f>VLOOKUP(A228,Classifications!$A:$F,6,FALSE)</f>
        <v>1</v>
      </c>
      <c r="H228">
        <f>VLOOKUP(A228,Classifications!$A:$G,7,FALSE)</f>
        <v>43</v>
      </c>
      <c r="I228" t="s">
        <v>24</v>
      </c>
      <c r="J228" s="2">
        <v>44232.543113425927</v>
      </c>
    </row>
    <row r="229" spans="1:10" ht="12.75" customHeight="1" x14ac:dyDescent="0.3">
      <c r="A229">
        <v>1358940</v>
      </c>
      <c r="B229" t="s">
        <v>53</v>
      </c>
      <c r="C229" t="s">
        <v>676</v>
      </c>
      <c r="D229" t="s">
        <v>677</v>
      </c>
      <c r="E229" s="1" t="s">
        <v>678</v>
      </c>
      <c r="F229">
        <f>VLOOKUP(A229,Classifications!$A:$E,5,FALSE)</f>
        <v>1</v>
      </c>
      <c r="G229">
        <f>VLOOKUP(A229,Classifications!$A:$F,6,FALSE)</f>
        <v>3</v>
      </c>
      <c r="H229">
        <f>VLOOKUP(A229,Classifications!$A:$G,7,FALSE)</f>
        <v>43</v>
      </c>
      <c r="I229" t="s">
        <v>11</v>
      </c>
      <c r="J229" s="2">
        <v>44232.536423611113</v>
      </c>
    </row>
    <row r="230" spans="1:10" ht="12.75" customHeight="1" x14ac:dyDescent="0.3">
      <c r="A230">
        <v>1358937</v>
      </c>
      <c r="B230" t="s">
        <v>95</v>
      </c>
      <c r="C230" t="s">
        <v>129</v>
      </c>
      <c r="D230" t="s">
        <v>679</v>
      </c>
      <c r="E230" s="1" t="s">
        <v>680</v>
      </c>
      <c r="F230">
        <f>VLOOKUP(A230,Classifications!$A:$E,5,FALSE)</f>
        <v>2</v>
      </c>
      <c r="G230">
        <f>VLOOKUP(A230,Classifications!$A:$F,6,FALSE)</f>
        <v>2</v>
      </c>
      <c r="H230">
        <f>VLOOKUP(A230,Classifications!$A:$G,7,FALSE)</f>
        <v>43</v>
      </c>
      <c r="I230" t="s">
        <v>11</v>
      </c>
      <c r="J230" s="2">
        <v>44232.521319444444</v>
      </c>
    </row>
    <row r="231" spans="1:10" ht="12.75" customHeight="1" x14ac:dyDescent="0.3">
      <c r="A231">
        <v>1358919</v>
      </c>
      <c r="B231" t="s">
        <v>222</v>
      </c>
      <c r="C231" t="s">
        <v>681</v>
      </c>
      <c r="D231" t="s">
        <v>682</v>
      </c>
      <c r="E231" s="1" t="s">
        <v>683</v>
      </c>
      <c r="F231">
        <f>VLOOKUP(A231,Classifications!$A:$E,5,FALSE)</f>
        <v>1</v>
      </c>
      <c r="G231">
        <f>VLOOKUP(A231,Classifications!$A:$F,6,FALSE)</f>
        <v>2</v>
      </c>
      <c r="H231">
        <f>VLOOKUP(A231,Classifications!$A:$G,7,FALSE)</f>
        <v>43</v>
      </c>
      <c r="I231" t="s">
        <v>24</v>
      </c>
      <c r="J231" s="2">
        <v>44232.493020833332</v>
      </c>
    </row>
    <row r="232" spans="1:10" ht="12.75" customHeight="1" x14ac:dyDescent="0.3">
      <c r="A232">
        <v>1358917</v>
      </c>
      <c r="B232" t="s">
        <v>49</v>
      </c>
      <c r="C232" t="s">
        <v>684</v>
      </c>
      <c r="D232" t="s">
        <v>685</v>
      </c>
      <c r="E232" s="1" t="s">
        <v>686</v>
      </c>
      <c r="F232">
        <f>VLOOKUP(A232,Classifications!$A:$E,5,FALSE)</f>
        <v>1</v>
      </c>
      <c r="G232">
        <f>VLOOKUP(A232,Classifications!$A:$F,6,FALSE)</f>
        <v>1</v>
      </c>
      <c r="H232">
        <f>VLOOKUP(A232,Classifications!$A:$G,7,FALSE)</f>
        <v>41</v>
      </c>
      <c r="I232" t="s">
        <v>11</v>
      </c>
      <c r="J232" s="2">
        <v>44232.491354166668</v>
      </c>
    </row>
    <row r="233" spans="1:10" ht="12.75" customHeight="1" x14ac:dyDescent="0.3">
      <c r="A233">
        <v>1358907</v>
      </c>
      <c r="B233" t="s">
        <v>230</v>
      </c>
      <c r="C233" t="s">
        <v>687</v>
      </c>
      <c r="D233" t="s">
        <v>688</v>
      </c>
      <c r="E233" s="1" t="s">
        <v>689</v>
      </c>
      <c r="F233">
        <f>VLOOKUP(A233,Classifications!$A:$E,5,FALSE)</f>
        <v>1</v>
      </c>
      <c r="G233">
        <f>VLOOKUP(A233,Classifications!$A:$F,6,FALSE)</f>
        <v>2</v>
      </c>
      <c r="H233">
        <f>VLOOKUP(A233,Classifications!$A:$G,7,FALSE)</f>
        <v>43</v>
      </c>
      <c r="I233" t="s">
        <v>24</v>
      </c>
      <c r="J233" s="2">
        <v>44232.475219907406</v>
      </c>
    </row>
    <row r="234" spans="1:10" ht="12.75" customHeight="1" x14ac:dyDescent="0.3">
      <c r="A234">
        <v>1358891</v>
      </c>
      <c r="B234" t="s">
        <v>503</v>
      </c>
      <c r="D234" t="s">
        <v>690</v>
      </c>
      <c r="E234" s="1" t="s">
        <v>691</v>
      </c>
      <c r="F234">
        <f>VLOOKUP(A234,Classifications!$A:$E,5,FALSE)</f>
        <v>1</v>
      </c>
      <c r="G234">
        <f>VLOOKUP(A234,Classifications!$A:$F,6,FALSE)</f>
        <v>1</v>
      </c>
      <c r="H234">
        <f>VLOOKUP(A234,Classifications!$A:$G,7,FALSE)</f>
        <v>36</v>
      </c>
      <c r="I234" t="s">
        <v>11</v>
      </c>
      <c r="J234" s="2">
        <v>44232.43855324074</v>
      </c>
    </row>
    <row r="235" spans="1:10" ht="12.75" customHeight="1" x14ac:dyDescent="0.3">
      <c r="A235">
        <v>1358887</v>
      </c>
      <c r="B235" t="s">
        <v>20</v>
      </c>
      <c r="C235" t="s">
        <v>692</v>
      </c>
      <c r="D235" t="s">
        <v>693</v>
      </c>
      <c r="E235" s="1" t="s">
        <v>694</v>
      </c>
      <c r="F235">
        <f>VLOOKUP(A235,Classifications!$A:$E,5,FALSE)</f>
        <v>1</v>
      </c>
      <c r="G235">
        <f>VLOOKUP(A235,Classifications!$A:$F,6,FALSE)</f>
        <v>2</v>
      </c>
      <c r="H235">
        <f>VLOOKUP(A235,Classifications!$A:$G,7,FALSE)</f>
        <v>41</v>
      </c>
      <c r="I235" t="s">
        <v>11</v>
      </c>
      <c r="J235" s="2">
        <v>44232.43346064815</v>
      </c>
    </row>
    <row r="236" spans="1:10" ht="12.75" customHeight="1" x14ac:dyDescent="0.3">
      <c r="A236">
        <v>1358886</v>
      </c>
      <c r="B236" t="s">
        <v>36</v>
      </c>
      <c r="C236" t="s">
        <v>343</v>
      </c>
      <c r="D236" t="s">
        <v>695</v>
      </c>
      <c r="E236" s="1" t="s">
        <v>696</v>
      </c>
      <c r="F236">
        <f>VLOOKUP(A236,Classifications!$A:$E,5,FALSE)</f>
        <v>1</v>
      </c>
      <c r="G236">
        <f>VLOOKUP(A236,Classifications!$A:$F,6,FALSE)</f>
        <v>2</v>
      </c>
      <c r="H236">
        <f>VLOOKUP(A236,Classifications!$A:$G,7,FALSE)</f>
        <v>41</v>
      </c>
      <c r="I236" t="s">
        <v>11</v>
      </c>
      <c r="J236" s="2">
        <v>44232.431921296295</v>
      </c>
    </row>
    <row r="237" spans="1:10" ht="12.75" customHeight="1" x14ac:dyDescent="0.3">
      <c r="A237">
        <v>1358851</v>
      </c>
      <c r="B237" t="s">
        <v>53</v>
      </c>
      <c r="C237" t="s">
        <v>697</v>
      </c>
      <c r="D237" t="s">
        <v>698</v>
      </c>
      <c r="E237" s="1" t="s">
        <v>699</v>
      </c>
      <c r="F237">
        <f>VLOOKUP(A237,Classifications!$A:$E,5,FALSE)</f>
        <v>1</v>
      </c>
      <c r="G237">
        <f>VLOOKUP(A237,Classifications!$A:$F,6,FALSE)</f>
        <v>3</v>
      </c>
      <c r="H237">
        <f>VLOOKUP(A237,Classifications!$A:$G,7,FALSE)</f>
        <v>41</v>
      </c>
      <c r="I237" t="s">
        <v>11</v>
      </c>
      <c r="J237" s="2">
        <v>44232.413124999999</v>
      </c>
    </row>
    <row r="238" spans="1:10" ht="12.75" customHeight="1" x14ac:dyDescent="0.3">
      <c r="A238">
        <v>1358848</v>
      </c>
      <c r="B238" t="s">
        <v>36</v>
      </c>
      <c r="C238" t="s">
        <v>700</v>
      </c>
      <c r="D238" t="s">
        <v>701</v>
      </c>
      <c r="E238" s="1" t="s">
        <v>702</v>
      </c>
      <c r="F238">
        <f>VLOOKUP(A238,Classifications!$A:$E,5,FALSE)</f>
        <v>1</v>
      </c>
      <c r="G238">
        <f>VLOOKUP(A238,Classifications!$A:$F,6,FALSE)</f>
        <v>1</v>
      </c>
      <c r="H238">
        <f>VLOOKUP(A238,Classifications!$A:$G,7,FALSE)</f>
        <v>43</v>
      </c>
      <c r="I238" t="s">
        <v>24</v>
      </c>
      <c r="J238" s="2">
        <v>44232.409722222219</v>
      </c>
    </row>
    <row r="239" spans="1:10" ht="12.75" customHeight="1" x14ac:dyDescent="0.3">
      <c r="A239">
        <v>1358847</v>
      </c>
      <c r="B239" t="s">
        <v>91</v>
      </c>
      <c r="C239" t="s">
        <v>305</v>
      </c>
      <c r="D239" t="s">
        <v>703</v>
      </c>
      <c r="E239" s="1" t="s">
        <v>704</v>
      </c>
      <c r="F239">
        <f>VLOOKUP(A239,Classifications!$A:$E,5,FALSE)</f>
        <v>1</v>
      </c>
      <c r="G239">
        <f>VLOOKUP(A239,Classifications!$A:$F,6,FALSE)</f>
        <v>2</v>
      </c>
      <c r="H239">
        <f>VLOOKUP(A239,Classifications!$A:$G,7,FALSE)</f>
        <v>41</v>
      </c>
      <c r="I239" t="s">
        <v>11</v>
      </c>
      <c r="J239" s="2">
        <v>44232.408425925925</v>
      </c>
    </row>
    <row r="240" spans="1:10" ht="12.75" customHeight="1" x14ac:dyDescent="0.3">
      <c r="A240">
        <v>1358846</v>
      </c>
      <c r="B240" t="s">
        <v>16</v>
      </c>
      <c r="C240" t="s">
        <v>705</v>
      </c>
      <c r="D240" t="s">
        <v>706</v>
      </c>
      <c r="E240" s="1" t="s">
        <v>707</v>
      </c>
      <c r="F240">
        <f>VLOOKUP(A240,Classifications!$A:$E,5,FALSE)</f>
        <v>1</v>
      </c>
      <c r="G240">
        <f>VLOOKUP(A240,Classifications!$A:$F,6,FALSE)</f>
        <v>3</v>
      </c>
      <c r="H240">
        <f>VLOOKUP(A240,Classifications!$A:$G,7,FALSE)</f>
        <v>41</v>
      </c>
      <c r="I240" t="s">
        <v>24</v>
      </c>
      <c r="J240" s="2">
        <v>44232.407847222225</v>
      </c>
    </row>
    <row r="241" spans="1:10" ht="12.75" customHeight="1" x14ac:dyDescent="0.3">
      <c r="A241">
        <v>1358813</v>
      </c>
      <c r="B241" t="s">
        <v>157</v>
      </c>
      <c r="C241" t="s">
        <v>708</v>
      </c>
      <c r="D241" t="s">
        <v>709</v>
      </c>
      <c r="E241" s="1" t="s">
        <v>710</v>
      </c>
      <c r="F241">
        <f>VLOOKUP(A241,Classifications!$A:$E,5,FALSE)</f>
        <v>1</v>
      </c>
      <c r="G241">
        <f>VLOOKUP(A241,Classifications!$A:$F,6,FALSE)</f>
        <v>3</v>
      </c>
      <c r="H241">
        <f>VLOOKUP(A241,Classifications!$A:$G,7,FALSE)</f>
        <v>41</v>
      </c>
      <c r="I241" t="s">
        <v>24</v>
      </c>
      <c r="J241" s="2">
        <v>44232.359652777777</v>
      </c>
    </row>
    <row r="242" spans="1:10" ht="12.75" customHeight="1" x14ac:dyDescent="0.3">
      <c r="A242">
        <v>1358732</v>
      </c>
      <c r="B242" t="s">
        <v>384</v>
      </c>
      <c r="C242" t="s">
        <v>385</v>
      </c>
      <c r="D242" t="s">
        <v>711</v>
      </c>
      <c r="E242" s="1" t="s">
        <v>712</v>
      </c>
      <c r="F242">
        <f>VLOOKUP(A242,Classifications!$A:$E,5,FALSE)</f>
        <v>2</v>
      </c>
      <c r="G242">
        <f>VLOOKUP(A242,Classifications!$A:$F,6,FALSE)</f>
        <v>2</v>
      </c>
      <c r="H242">
        <f>VLOOKUP(A242,Classifications!$A:$G,7,FALSE)</f>
        <v>36</v>
      </c>
      <c r="I242" t="s">
        <v>11</v>
      </c>
      <c r="J242" s="2">
        <v>44232.208564814813</v>
      </c>
    </row>
    <row r="243" spans="1:10" ht="12.75" customHeight="1" x14ac:dyDescent="0.3">
      <c r="A243">
        <v>1358545</v>
      </c>
      <c r="B243" t="s">
        <v>157</v>
      </c>
      <c r="C243" t="s">
        <v>713</v>
      </c>
      <c r="D243" t="s">
        <v>714</v>
      </c>
      <c r="E243" s="1" t="s">
        <v>715</v>
      </c>
      <c r="F243">
        <f>VLOOKUP(A243,Classifications!$A:$E,5,FALSE)</f>
        <v>2</v>
      </c>
      <c r="G243">
        <f>VLOOKUP(A243,Classifications!$A:$F,6,FALSE)</f>
        <v>2</v>
      </c>
      <c r="H243">
        <f>VLOOKUP(A243,Classifications!$A:$G,7,FALSE)</f>
        <v>43</v>
      </c>
      <c r="I243" t="s">
        <v>11</v>
      </c>
      <c r="J243" s="2">
        <v>44231.8903125</v>
      </c>
    </row>
    <row r="244" spans="1:10" ht="12.75" customHeight="1" x14ac:dyDescent="0.3">
      <c r="A244">
        <v>1358442</v>
      </c>
      <c r="B244" t="s">
        <v>177</v>
      </c>
      <c r="C244" t="s">
        <v>643</v>
      </c>
      <c r="D244" t="s">
        <v>716</v>
      </c>
      <c r="E244" t="s">
        <v>461</v>
      </c>
      <c r="F244">
        <f>VLOOKUP(A244,Classifications!$A:$E,5,FALSE)</f>
        <v>1</v>
      </c>
      <c r="G244">
        <f>VLOOKUP(A244,Classifications!$A:$F,6,FALSE)</f>
        <v>1</v>
      </c>
      <c r="H244">
        <f>VLOOKUP(A244,Classifications!$A:$G,7,FALSE)</f>
        <v>36</v>
      </c>
      <c r="I244" t="s">
        <v>462</v>
      </c>
      <c r="J244" s="2">
        <v>44231.750034722223</v>
      </c>
    </row>
    <row r="245" spans="1:10" ht="12.75" customHeight="1" x14ac:dyDescent="0.3">
      <c r="A245">
        <v>1358426</v>
      </c>
      <c r="B245" t="s">
        <v>16</v>
      </c>
      <c r="C245" t="s">
        <v>394</v>
      </c>
      <c r="D245" t="s">
        <v>717</v>
      </c>
      <c r="E245" s="1" t="s">
        <v>718</v>
      </c>
      <c r="F245">
        <f>VLOOKUP(A245,Classifications!$A:$E,5,FALSE)</f>
        <v>1</v>
      </c>
      <c r="G245">
        <f>VLOOKUP(A245,Classifications!$A:$F,6,FALSE)</f>
        <v>1</v>
      </c>
      <c r="H245">
        <f>VLOOKUP(A245,Classifications!$A:$G,7,FALSE)</f>
        <v>43</v>
      </c>
      <c r="I245" t="s">
        <v>11</v>
      </c>
      <c r="J245" s="2">
        <v>44231.715763888889</v>
      </c>
    </row>
    <row r="246" spans="1:10" ht="12.75" customHeight="1" x14ac:dyDescent="0.3">
      <c r="A246">
        <v>1358413</v>
      </c>
      <c r="B246" t="s">
        <v>435</v>
      </c>
      <c r="C246" t="s">
        <v>436</v>
      </c>
      <c r="D246">
        <v>1352780</v>
      </c>
      <c r="E246" s="1" t="s">
        <v>719</v>
      </c>
      <c r="F246">
        <f>VLOOKUP(A246,Classifications!$A:$E,5,FALSE)</f>
        <v>1</v>
      </c>
      <c r="G246">
        <f>VLOOKUP(A246,Classifications!$A:$F,6,FALSE)</f>
        <v>1</v>
      </c>
      <c r="H246">
        <f>VLOOKUP(A246,Classifications!$A:$G,7,FALSE)</f>
        <v>41</v>
      </c>
      <c r="I246" t="s">
        <v>11</v>
      </c>
      <c r="J246" s="2">
        <v>44231.690150462964</v>
      </c>
    </row>
    <row r="247" spans="1:10" ht="12.75" customHeight="1" x14ac:dyDescent="0.3">
      <c r="A247">
        <v>1358412</v>
      </c>
      <c r="B247" t="s">
        <v>350</v>
      </c>
      <c r="C247" t="s">
        <v>351</v>
      </c>
      <c r="D247" t="s">
        <v>720</v>
      </c>
      <c r="E247" s="1" t="s">
        <v>721</v>
      </c>
      <c r="F247">
        <f>VLOOKUP(A247,Classifications!$A:$E,5,FALSE)</f>
        <v>1</v>
      </c>
      <c r="G247">
        <f>VLOOKUP(A247,Classifications!$A:$F,6,FALSE)</f>
        <v>2</v>
      </c>
      <c r="H247">
        <f>VLOOKUP(A247,Classifications!$A:$G,7,FALSE)</f>
        <v>43</v>
      </c>
      <c r="I247" t="s">
        <v>24</v>
      </c>
      <c r="J247" s="2">
        <v>44231.6875</v>
      </c>
    </row>
    <row r="248" spans="1:10" ht="12.75" customHeight="1" x14ac:dyDescent="0.3">
      <c r="A248">
        <v>1358401</v>
      </c>
      <c r="B248" t="s">
        <v>157</v>
      </c>
      <c r="C248" t="s">
        <v>158</v>
      </c>
      <c r="D248" t="s">
        <v>722</v>
      </c>
      <c r="E248" s="1" t="s">
        <v>723</v>
      </c>
      <c r="F248">
        <f>VLOOKUP(A248,Classifications!$A:$E,5,FALSE)</f>
        <v>1</v>
      </c>
      <c r="G248">
        <f>VLOOKUP(A248,Classifications!$A:$F,6,FALSE)</f>
        <v>1</v>
      </c>
      <c r="H248">
        <f>VLOOKUP(A248,Classifications!$A:$G,7,FALSE)</f>
        <v>43</v>
      </c>
      <c r="I248" t="s">
        <v>11</v>
      </c>
      <c r="J248" s="2">
        <v>44231.657118055555</v>
      </c>
    </row>
    <row r="249" spans="1:10" ht="12.75" customHeight="1" x14ac:dyDescent="0.3">
      <c r="A249">
        <v>1358399</v>
      </c>
      <c r="B249" t="s">
        <v>25</v>
      </c>
      <c r="C249" t="s">
        <v>724</v>
      </c>
      <c r="D249" t="s">
        <v>725</v>
      </c>
      <c r="E249" s="1" t="s">
        <v>726</v>
      </c>
      <c r="F249">
        <f>VLOOKUP(A249,Classifications!$A:$E,5,FALSE)</f>
        <v>1</v>
      </c>
      <c r="G249">
        <f>VLOOKUP(A249,Classifications!$A:$F,6,FALSE)</f>
        <v>1</v>
      </c>
      <c r="H249">
        <f>VLOOKUP(A249,Classifications!$A:$G,7,FALSE)</f>
        <v>36</v>
      </c>
      <c r="I249" t="s">
        <v>11</v>
      </c>
      <c r="J249" s="2">
        <v>44231.653032407405</v>
      </c>
    </row>
    <row r="250" spans="1:10" ht="12.75" customHeight="1" x14ac:dyDescent="0.3">
      <c r="A250">
        <v>1358393</v>
      </c>
      <c r="B250" t="s">
        <v>157</v>
      </c>
      <c r="C250" t="s">
        <v>627</v>
      </c>
      <c r="D250" t="s">
        <v>727</v>
      </c>
      <c r="E250" s="1" t="s">
        <v>728</v>
      </c>
      <c r="F250">
        <f>VLOOKUP(A250,Classifications!$A:$E,5,FALSE)</f>
        <v>1</v>
      </c>
      <c r="G250">
        <f>VLOOKUP(A250,Classifications!$A:$F,6,FALSE)</f>
        <v>1</v>
      </c>
      <c r="H250">
        <f>VLOOKUP(A250,Classifications!$A:$G,7,FALSE)</f>
        <v>36</v>
      </c>
      <c r="I250" t="s">
        <v>24</v>
      </c>
      <c r="J250" s="2">
        <v>44231.638437499998</v>
      </c>
    </row>
    <row r="251" spans="1:10" ht="12.75" customHeight="1" x14ac:dyDescent="0.3">
      <c r="A251">
        <v>1358387</v>
      </c>
      <c r="B251" t="s">
        <v>473</v>
      </c>
      <c r="C251" t="s">
        <v>729</v>
      </c>
      <c r="D251" t="s">
        <v>730</v>
      </c>
      <c r="E251" s="1" t="s">
        <v>731</v>
      </c>
      <c r="F251">
        <f>VLOOKUP(A251,Classifications!$A:$E,5,FALSE)</f>
        <v>1</v>
      </c>
      <c r="G251">
        <f>VLOOKUP(A251,Classifications!$A:$F,6,FALSE)</f>
        <v>1</v>
      </c>
      <c r="H251">
        <f>VLOOKUP(A251,Classifications!$A:$G,7,FALSE)</f>
        <v>43</v>
      </c>
      <c r="I251" t="s">
        <v>11</v>
      </c>
      <c r="J251" s="2">
        <v>44231.629479166666</v>
      </c>
    </row>
    <row r="252" spans="1:10" ht="12.75" customHeight="1" x14ac:dyDescent="0.3">
      <c r="A252">
        <v>1358386</v>
      </c>
      <c r="B252" t="s">
        <v>70</v>
      </c>
      <c r="C252" t="s">
        <v>732</v>
      </c>
      <c r="D252" t="s">
        <v>733</v>
      </c>
      <c r="E252" s="1" t="s">
        <v>734</v>
      </c>
      <c r="F252">
        <f>VLOOKUP(A252,Classifications!$A:$E,5,FALSE)</f>
        <v>1</v>
      </c>
      <c r="G252">
        <f>VLOOKUP(A252,Classifications!$A:$F,6,FALSE)</f>
        <v>2</v>
      </c>
      <c r="H252">
        <f>VLOOKUP(A252,Classifications!$A:$G,7,FALSE)</f>
        <v>43</v>
      </c>
      <c r="I252" t="s">
        <v>24</v>
      </c>
      <c r="J252" s="2">
        <v>44231.628946759258</v>
      </c>
    </row>
    <row r="253" spans="1:10" ht="12.75" customHeight="1" x14ac:dyDescent="0.3">
      <c r="A253">
        <v>1358385</v>
      </c>
      <c r="B253" t="s">
        <v>36</v>
      </c>
      <c r="C253" t="s">
        <v>646</v>
      </c>
      <c r="D253" t="s">
        <v>735</v>
      </c>
      <c r="E253" s="1" t="s">
        <v>736</v>
      </c>
      <c r="F253">
        <f>VLOOKUP(A253,Classifications!$A:$E,5,FALSE)</f>
        <v>1</v>
      </c>
      <c r="G253">
        <f>VLOOKUP(A253,Classifications!$A:$F,6,FALSE)</f>
        <v>1</v>
      </c>
      <c r="H253">
        <f>VLOOKUP(A253,Classifications!$A:$G,7,FALSE)</f>
        <v>36</v>
      </c>
      <c r="I253" t="s">
        <v>11</v>
      </c>
      <c r="J253" s="2">
        <v>44231.628831018519</v>
      </c>
    </row>
    <row r="254" spans="1:10" ht="12.75" customHeight="1" x14ac:dyDescent="0.3">
      <c r="A254">
        <v>1358382</v>
      </c>
      <c r="B254" t="s">
        <v>7</v>
      </c>
      <c r="C254" t="s">
        <v>158</v>
      </c>
      <c r="D254" t="s">
        <v>737</v>
      </c>
      <c r="E254" s="1" t="s">
        <v>738</v>
      </c>
      <c r="F254">
        <f>VLOOKUP(A254,Classifications!$A:$E,5,FALSE)</f>
        <v>1</v>
      </c>
      <c r="G254">
        <f>VLOOKUP(A254,Classifications!$A:$F,6,FALSE)</f>
        <v>1</v>
      </c>
      <c r="H254">
        <f>VLOOKUP(A254,Classifications!$A:$G,7,FALSE)</f>
        <v>41</v>
      </c>
      <c r="I254" t="s">
        <v>11</v>
      </c>
      <c r="J254" s="2">
        <v>44231.6175</v>
      </c>
    </row>
    <row r="255" spans="1:10" ht="12.75" customHeight="1" x14ac:dyDescent="0.3">
      <c r="A255">
        <v>1358379</v>
      </c>
      <c r="B255" t="s">
        <v>20</v>
      </c>
      <c r="C255" t="s">
        <v>739</v>
      </c>
      <c r="D255" t="s">
        <v>740</v>
      </c>
      <c r="E255" s="1" t="s">
        <v>741</v>
      </c>
      <c r="F255">
        <f>VLOOKUP(A255,Classifications!$A:$E,5,FALSE)</f>
        <v>1</v>
      </c>
      <c r="G255">
        <f>VLOOKUP(A255,Classifications!$A:$F,6,FALSE)</f>
        <v>1</v>
      </c>
      <c r="H255">
        <f>VLOOKUP(A255,Classifications!$A:$G,7,FALSE)</f>
        <v>43</v>
      </c>
      <c r="I255" t="s">
        <v>24</v>
      </c>
      <c r="J255" s="2">
        <v>44231.608530092592</v>
      </c>
    </row>
    <row r="256" spans="1:10" ht="12.75" customHeight="1" x14ac:dyDescent="0.3">
      <c r="A256">
        <v>1358372</v>
      </c>
      <c r="B256" t="s">
        <v>20</v>
      </c>
      <c r="C256" t="s">
        <v>742</v>
      </c>
      <c r="D256" t="s">
        <v>743</v>
      </c>
      <c r="E256" s="1" t="s">
        <v>744</v>
      </c>
      <c r="F256">
        <f>VLOOKUP(A256,Classifications!$A:$E,5,FALSE)</f>
        <v>1</v>
      </c>
      <c r="G256">
        <f>VLOOKUP(A256,Classifications!$A:$F,6,FALSE)</f>
        <v>2</v>
      </c>
      <c r="H256">
        <f>VLOOKUP(A256,Classifications!$A:$G,7,FALSE)</f>
        <v>41</v>
      </c>
      <c r="I256" t="s">
        <v>24</v>
      </c>
      <c r="J256" s="2">
        <v>44231.587361111109</v>
      </c>
    </row>
    <row r="257" spans="1:10" ht="12.75" customHeight="1" x14ac:dyDescent="0.3">
      <c r="A257">
        <v>1358367</v>
      </c>
      <c r="B257" t="s">
        <v>435</v>
      </c>
      <c r="C257" t="s">
        <v>436</v>
      </c>
      <c r="D257">
        <v>1358359</v>
      </c>
      <c r="E257" s="1" t="s">
        <v>745</v>
      </c>
      <c r="F257">
        <f>VLOOKUP(A257,Classifications!$A:$E,5,FALSE)</f>
        <v>1</v>
      </c>
      <c r="G257">
        <f>VLOOKUP(A257,Classifications!$A:$F,6,FALSE)</f>
        <v>1</v>
      </c>
      <c r="H257">
        <f>VLOOKUP(A257,Classifications!$A:$G,7,FALSE)</f>
        <v>43</v>
      </c>
      <c r="I257" t="s">
        <v>11</v>
      </c>
      <c r="J257" s="2">
        <v>44231.577847222223</v>
      </c>
    </row>
    <row r="258" spans="1:10" ht="12.75" customHeight="1" x14ac:dyDescent="0.3">
      <c r="A258">
        <v>1358362</v>
      </c>
      <c r="B258" t="s">
        <v>746</v>
      </c>
      <c r="C258" t="s">
        <v>747</v>
      </c>
      <c r="D258">
        <v>1273041</v>
      </c>
      <c r="E258" s="1" t="s">
        <v>748</v>
      </c>
      <c r="F258">
        <f>VLOOKUP(A258,Classifications!$A:$E,5,FALSE)</f>
        <v>1</v>
      </c>
      <c r="G258">
        <f>VLOOKUP(A258,Classifications!$A:$F,6,FALSE)</f>
        <v>1</v>
      </c>
      <c r="H258">
        <f>VLOOKUP(A258,Classifications!$A:$G,7,FALSE)</f>
        <v>41</v>
      </c>
      <c r="I258" t="s">
        <v>11</v>
      </c>
      <c r="J258" s="2">
        <v>44231.57309027778</v>
      </c>
    </row>
    <row r="259" spans="1:10" ht="12.75" customHeight="1" x14ac:dyDescent="0.3">
      <c r="A259">
        <v>1358358</v>
      </c>
      <c r="B259" t="s">
        <v>749</v>
      </c>
      <c r="C259" t="s">
        <v>158</v>
      </c>
      <c r="D259" t="s">
        <v>750</v>
      </c>
      <c r="E259" s="1" t="s">
        <v>751</v>
      </c>
      <c r="F259">
        <f>VLOOKUP(A259,Classifications!$A:$E,5,FALSE)</f>
        <v>1</v>
      </c>
      <c r="G259">
        <f>VLOOKUP(A259,Classifications!$A:$F,6,FALSE)</f>
        <v>1</v>
      </c>
      <c r="H259">
        <f>VLOOKUP(A259,Classifications!$A:$G,7,FALSE)</f>
        <v>36</v>
      </c>
      <c r="I259" t="s">
        <v>11</v>
      </c>
      <c r="J259" s="2">
        <v>44231.555115740739</v>
      </c>
    </row>
    <row r="260" spans="1:10" ht="12.75" customHeight="1" x14ac:dyDescent="0.3">
      <c r="A260">
        <v>1358357</v>
      </c>
      <c r="B260" t="s">
        <v>36</v>
      </c>
      <c r="C260" t="s">
        <v>752</v>
      </c>
      <c r="D260">
        <v>1357016</v>
      </c>
      <c r="E260" s="1" t="s">
        <v>753</v>
      </c>
      <c r="F260">
        <f>VLOOKUP(A260,Classifications!$A:$E,5,FALSE)</f>
        <v>1</v>
      </c>
      <c r="G260">
        <f>VLOOKUP(A260,Classifications!$A:$F,6,FALSE)</f>
        <v>1</v>
      </c>
      <c r="H260">
        <f>VLOOKUP(A260,Classifications!$A:$G,7,FALSE)</f>
        <v>41</v>
      </c>
      <c r="I260" t="s">
        <v>24</v>
      </c>
      <c r="J260" s="2">
        <v>44231.552870370368</v>
      </c>
    </row>
    <row r="261" spans="1:10" ht="12.75" customHeight="1" x14ac:dyDescent="0.3">
      <c r="A261">
        <v>1358355</v>
      </c>
      <c r="B261" t="s">
        <v>12</v>
      </c>
      <c r="C261" t="s">
        <v>754</v>
      </c>
      <c r="D261" t="s">
        <v>755</v>
      </c>
      <c r="E261" s="1" t="s">
        <v>756</v>
      </c>
      <c r="F261">
        <f>VLOOKUP(A261,Classifications!$A:$E,5,FALSE)</f>
        <v>1</v>
      </c>
      <c r="G261">
        <f>VLOOKUP(A261,Classifications!$A:$F,6,FALSE)</f>
        <v>2</v>
      </c>
      <c r="H261">
        <f>VLOOKUP(A261,Classifications!$A:$G,7,FALSE)</f>
        <v>41</v>
      </c>
      <c r="I261" t="s">
        <v>11</v>
      </c>
      <c r="J261" s="2">
        <v>44231.54179398148</v>
      </c>
    </row>
    <row r="262" spans="1:10" ht="12.75" customHeight="1" x14ac:dyDescent="0.3">
      <c r="A262">
        <v>1358352</v>
      </c>
      <c r="B262" t="s">
        <v>20</v>
      </c>
      <c r="C262" t="s">
        <v>757</v>
      </c>
      <c r="D262" t="s">
        <v>758</v>
      </c>
      <c r="E262" s="1" t="s">
        <v>759</v>
      </c>
      <c r="F262">
        <f>VLOOKUP(A262,Classifications!$A:$E,5,FALSE)</f>
        <v>1</v>
      </c>
      <c r="G262">
        <f>VLOOKUP(A262,Classifications!$A:$F,6,FALSE)</f>
        <v>2</v>
      </c>
      <c r="H262">
        <f>VLOOKUP(A262,Classifications!$A:$G,7,FALSE)</f>
        <v>41</v>
      </c>
      <c r="I262" t="s">
        <v>11</v>
      </c>
      <c r="J262" s="2">
        <v>44231.522662037038</v>
      </c>
    </row>
    <row r="263" spans="1:10" ht="12.75" customHeight="1" x14ac:dyDescent="0.3">
      <c r="A263">
        <v>1358342</v>
      </c>
      <c r="B263" t="s">
        <v>350</v>
      </c>
      <c r="C263" t="s">
        <v>351</v>
      </c>
      <c r="D263" t="s">
        <v>760</v>
      </c>
      <c r="E263" s="1" t="s">
        <v>761</v>
      </c>
      <c r="F263">
        <f>VLOOKUP(A263,Classifications!$A:$E,5,FALSE)</f>
        <v>1</v>
      </c>
      <c r="G263">
        <f>VLOOKUP(A263,Classifications!$A:$F,6,FALSE)</f>
        <v>1</v>
      </c>
      <c r="H263">
        <f>VLOOKUP(A263,Classifications!$A:$G,7,FALSE)</f>
        <v>43</v>
      </c>
      <c r="I263" t="s">
        <v>24</v>
      </c>
      <c r="J263" s="2">
        <v>44231.496712962966</v>
      </c>
    </row>
    <row r="264" spans="1:10" ht="12.75" customHeight="1" x14ac:dyDescent="0.3">
      <c r="A264">
        <v>1358338</v>
      </c>
      <c r="B264" t="s">
        <v>36</v>
      </c>
      <c r="C264" t="s">
        <v>762</v>
      </c>
      <c r="D264" t="s">
        <v>763</v>
      </c>
      <c r="E264" s="1" t="s">
        <v>764</v>
      </c>
      <c r="F264">
        <f>VLOOKUP(A264,Classifications!$A:$E,5,FALSE)</f>
        <v>1</v>
      </c>
      <c r="G264">
        <f>VLOOKUP(A264,Classifications!$A:$F,6,FALSE)</f>
        <v>3</v>
      </c>
      <c r="H264">
        <f>VLOOKUP(A264,Classifications!$A:$G,7,FALSE)</f>
        <v>43</v>
      </c>
      <c r="I264" t="s">
        <v>11</v>
      </c>
      <c r="J264" s="2">
        <v>44231.486030092594</v>
      </c>
    </row>
    <row r="265" spans="1:10" ht="12.75" customHeight="1" x14ac:dyDescent="0.3">
      <c r="A265">
        <v>1358337</v>
      </c>
      <c r="B265" t="s">
        <v>36</v>
      </c>
      <c r="C265" t="s">
        <v>765</v>
      </c>
      <c r="D265" t="s">
        <v>766</v>
      </c>
      <c r="E265" s="1" t="s">
        <v>767</v>
      </c>
      <c r="F265">
        <f>VLOOKUP(A265,Classifications!$A:$E,5,FALSE)</f>
        <v>1</v>
      </c>
      <c r="G265">
        <f>VLOOKUP(A265,Classifications!$A:$F,6,FALSE)</f>
        <v>1</v>
      </c>
      <c r="H265">
        <f>VLOOKUP(A265,Classifications!$A:$G,7,FALSE)</f>
        <v>36</v>
      </c>
      <c r="I265" t="s">
        <v>24</v>
      </c>
      <c r="J265" s="2">
        <v>44231.4844212963</v>
      </c>
    </row>
    <row r="266" spans="1:10" ht="12.75" customHeight="1" x14ac:dyDescent="0.3">
      <c r="A266">
        <v>1358335</v>
      </c>
      <c r="B266" t="s">
        <v>350</v>
      </c>
      <c r="C266" t="s">
        <v>768</v>
      </c>
      <c r="D266" t="s">
        <v>769</v>
      </c>
      <c r="E266" s="1" t="s">
        <v>770</v>
      </c>
      <c r="F266">
        <f>VLOOKUP(A266,Classifications!$A:$E,5,FALSE)</f>
        <v>1</v>
      </c>
      <c r="G266">
        <f>VLOOKUP(A266,Classifications!$A:$F,6,FALSE)</f>
        <v>1</v>
      </c>
      <c r="H266">
        <f>VLOOKUP(A266,Classifications!$A:$G,7,FALSE)</f>
        <v>43</v>
      </c>
      <c r="I266" t="s">
        <v>24</v>
      </c>
      <c r="J266" s="2">
        <v>44231.477141203701</v>
      </c>
    </row>
    <row r="267" spans="1:10" ht="12.75" customHeight="1" x14ac:dyDescent="0.3">
      <c r="A267">
        <v>1358331</v>
      </c>
      <c r="B267" t="s">
        <v>20</v>
      </c>
      <c r="C267" t="s">
        <v>771</v>
      </c>
      <c r="D267" t="s">
        <v>772</v>
      </c>
      <c r="E267" s="1" t="s">
        <v>773</v>
      </c>
      <c r="F267">
        <f>VLOOKUP(A267,Classifications!$A:$E,5,FALSE)</f>
        <v>1</v>
      </c>
      <c r="G267">
        <f>VLOOKUP(A267,Classifications!$A:$F,6,FALSE)</f>
        <v>2</v>
      </c>
      <c r="H267">
        <f>VLOOKUP(A267,Classifications!$A:$G,7,FALSE)</f>
        <v>43</v>
      </c>
      <c r="I267" t="s">
        <v>24</v>
      </c>
      <c r="J267" s="2">
        <v>44231.469178240739</v>
      </c>
    </row>
    <row r="268" spans="1:10" ht="12.75" customHeight="1" x14ac:dyDescent="0.3">
      <c r="A268">
        <v>1358318</v>
      </c>
      <c r="B268" t="s">
        <v>774</v>
      </c>
      <c r="C268" t="s">
        <v>775</v>
      </c>
      <c r="D268" t="s">
        <v>776</v>
      </c>
      <c r="E268" s="1" t="s">
        <v>777</v>
      </c>
      <c r="F268">
        <f>VLOOKUP(A268,Classifications!$A:$E,5,FALSE)</f>
        <v>1</v>
      </c>
      <c r="G268">
        <f>VLOOKUP(A268,Classifications!$A:$F,6,FALSE)</f>
        <v>1</v>
      </c>
      <c r="H268">
        <f>VLOOKUP(A268,Classifications!$A:$G,7,FALSE)</f>
        <v>36</v>
      </c>
      <c r="I268" t="s">
        <v>11</v>
      </c>
      <c r="J268" s="2">
        <v>44231.455057870371</v>
      </c>
    </row>
    <row r="269" spans="1:10" ht="12.75" customHeight="1" x14ac:dyDescent="0.3">
      <c r="A269">
        <v>1358317</v>
      </c>
      <c r="B269" t="s">
        <v>20</v>
      </c>
      <c r="C269" t="s">
        <v>778</v>
      </c>
      <c r="D269" t="s">
        <v>779</v>
      </c>
      <c r="E269" s="1" t="s">
        <v>780</v>
      </c>
      <c r="F269">
        <f>VLOOKUP(A269,Classifications!$A:$E,5,FALSE)</f>
        <v>1</v>
      </c>
      <c r="G269">
        <f>VLOOKUP(A269,Classifications!$A:$F,6,FALSE)</f>
        <v>1</v>
      </c>
      <c r="H269">
        <f>VLOOKUP(A269,Classifications!$A:$G,7,FALSE)</f>
        <v>43</v>
      </c>
      <c r="I269" t="s">
        <v>24</v>
      </c>
      <c r="J269" s="2">
        <v>44231.454664351855</v>
      </c>
    </row>
    <row r="270" spans="1:10" ht="12.75" customHeight="1" x14ac:dyDescent="0.3">
      <c r="A270">
        <v>1358316</v>
      </c>
      <c r="B270" t="s">
        <v>350</v>
      </c>
      <c r="C270" t="s">
        <v>351</v>
      </c>
      <c r="D270" t="s">
        <v>781</v>
      </c>
      <c r="E270" s="1" t="s">
        <v>782</v>
      </c>
      <c r="F270">
        <f>VLOOKUP(A270,Classifications!$A:$E,5,FALSE)</f>
        <v>1</v>
      </c>
      <c r="G270">
        <f>VLOOKUP(A270,Classifications!$A:$F,6,FALSE)</f>
        <v>1</v>
      </c>
      <c r="H270">
        <f>VLOOKUP(A270,Classifications!$A:$G,7,FALSE)</f>
        <v>36</v>
      </c>
      <c r="I270" t="s">
        <v>24</v>
      </c>
      <c r="J270" s="2">
        <v>44231.4530787037</v>
      </c>
    </row>
    <row r="271" spans="1:10" ht="12.75" customHeight="1" x14ac:dyDescent="0.3">
      <c r="A271">
        <v>1358314</v>
      </c>
      <c r="B271" t="s">
        <v>290</v>
      </c>
      <c r="C271" t="s">
        <v>308</v>
      </c>
      <c r="D271" t="s">
        <v>783</v>
      </c>
      <c r="E271" s="1" t="s">
        <v>784</v>
      </c>
      <c r="F271">
        <f>VLOOKUP(A271,Classifications!$A:$E,5,FALSE)</f>
        <v>1</v>
      </c>
      <c r="G271">
        <f>VLOOKUP(A271,Classifications!$A:$F,6,FALSE)</f>
        <v>1</v>
      </c>
      <c r="H271">
        <f>VLOOKUP(A271,Classifications!$A:$G,7,FALSE)</f>
        <v>43</v>
      </c>
      <c r="I271" t="s">
        <v>11</v>
      </c>
      <c r="J271" s="2">
        <v>44231.451145833336</v>
      </c>
    </row>
    <row r="272" spans="1:10" ht="12.75" customHeight="1" x14ac:dyDescent="0.3">
      <c r="A272">
        <v>1358274</v>
      </c>
      <c r="B272" t="s">
        <v>785</v>
      </c>
      <c r="C272" t="s">
        <v>786</v>
      </c>
      <c r="D272" t="s">
        <v>787</v>
      </c>
      <c r="E272" s="1" t="s">
        <v>788</v>
      </c>
      <c r="F272">
        <f>VLOOKUP(A272,Classifications!$A:$E,5,FALSE)</f>
        <v>2</v>
      </c>
      <c r="G272">
        <f>VLOOKUP(A272,Classifications!$A:$F,6,FALSE)</f>
        <v>1</v>
      </c>
      <c r="H272">
        <f>VLOOKUP(A272,Classifications!$A:$G,7,FALSE)</f>
        <v>43</v>
      </c>
      <c r="I272" t="s">
        <v>11</v>
      </c>
      <c r="J272" s="2">
        <v>44231.412395833337</v>
      </c>
    </row>
    <row r="273" spans="1:10" ht="12.75" customHeight="1" x14ac:dyDescent="0.3">
      <c r="A273">
        <v>1358268</v>
      </c>
      <c r="B273" t="s">
        <v>7</v>
      </c>
      <c r="C273" t="s">
        <v>789</v>
      </c>
      <c r="D273" t="s">
        <v>790</v>
      </c>
      <c r="E273" s="1" t="s">
        <v>791</v>
      </c>
      <c r="F273">
        <f>VLOOKUP(A273,Classifications!$A:$E,5,FALSE)</f>
        <v>1</v>
      </c>
      <c r="G273">
        <f>VLOOKUP(A273,Classifications!$A:$F,6,FALSE)</f>
        <v>2</v>
      </c>
      <c r="H273">
        <f>VLOOKUP(A273,Classifications!$A:$G,7,FALSE)</f>
        <v>43</v>
      </c>
      <c r="I273" t="s">
        <v>11</v>
      </c>
      <c r="J273" s="2">
        <v>44231.391145833331</v>
      </c>
    </row>
    <row r="274" spans="1:10" ht="12.75" customHeight="1" x14ac:dyDescent="0.3">
      <c r="A274">
        <v>1358258</v>
      </c>
      <c r="B274" t="s">
        <v>350</v>
      </c>
      <c r="C274" t="s">
        <v>351</v>
      </c>
      <c r="D274" t="s">
        <v>792</v>
      </c>
      <c r="E274" s="1" t="s">
        <v>793</v>
      </c>
      <c r="F274">
        <f>VLOOKUP(A274,Classifications!$A:$E,5,FALSE)</f>
        <v>2</v>
      </c>
      <c r="G274">
        <f>VLOOKUP(A274,Classifications!$A:$F,6,FALSE)</f>
        <v>3</v>
      </c>
      <c r="H274">
        <f>VLOOKUP(A274,Classifications!$A:$G,7,FALSE)</f>
        <v>41</v>
      </c>
      <c r="I274" t="s">
        <v>24</v>
      </c>
      <c r="J274" s="2">
        <v>44231.381215277775</v>
      </c>
    </row>
    <row r="275" spans="1:10" ht="12.75" customHeight="1" x14ac:dyDescent="0.3">
      <c r="A275">
        <v>1358256</v>
      </c>
      <c r="B275" t="s">
        <v>16</v>
      </c>
      <c r="C275" t="s">
        <v>649</v>
      </c>
      <c r="D275" t="s">
        <v>794</v>
      </c>
      <c r="E275" s="1" t="s">
        <v>795</v>
      </c>
      <c r="F275">
        <f>VLOOKUP(A275,Classifications!$A:$E,5,FALSE)</f>
        <v>1</v>
      </c>
      <c r="G275">
        <f>VLOOKUP(A275,Classifications!$A:$F,6,FALSE)</f>
        <v>1</v>
      </c>
      <c r="H275">
        <f>VLOOKUP(A275,Classifications!$A:$G,7,FALSE)</f>
        <v>43</v>
      </c>
      <c r="I275" t="s">
        <v>11</v>
      </c>
      <c r="J275" s="2">
        <v>44231.379687499997</v>
      </c>
    </row>
    <row r="276" spans="1:10" ht="12.75" customHeight="1" x14ac:dyDescent="0.3">
      <c r="A276">
        <v>1358255</v>
      </c>
      <c r="B276" t="s">
        <v>20</v>
      </c>
      <c r="C276" t="s">
        <v>158</v>
      </c>
      <c r="D276" t="s">
        <v>796</v>
      </c>
      <c r="E276" s="1" t="s">
        <v>797</v>
      </c>
      <c r="F276">
        <f>VLOOKUP(A276,Classifications!$A:$E,5,FALSE)</f>
        <v>1</v>
      </c>
      <c r="G276">
        <f>VLOOKUP(A276,Classifications!$A:$F,6,FALSE)</f>
        <v>1</v>
      </c>
      <c r="H276">
        <f>VLOOKUP(A276,Classifications!$A:$G,7,FALSE)</f>
        <v>36</v>
      </c>
      <c r="I276" t="s">
        <v>11</v>
      </c>
      <c r="J276" s="2">
        <v>44231.379004629627</v>
      </c>
    </row>
    <row r="277" spans="1:10" ht="12.75" customHeight="1" x14ac:dyDescent="0.3">
      <c r="A277">
        <v>1358251</v>
      </c>
      <c r="B277" t="s">
        <v>49</v>
      </c>
      <c r="C277" t="s">
        <v>798</v>
      </c>
      <c r="D277" t="s">
        <v>799</v>
      </c>
      <c r="E277" s="1" t="s">
        <v>800</v>
      </c>
      <c r="F277">
        <f>VLOOKUP(A277,Classifications!$A:$E,5,FALSE)</f>
        <v>1</v>
      </c>
      <c r="G277">
        <f>VLOOKUP(A277,Classifications!$A:$F,6,FALSE)</f>
        <v>1</v>
      </c>
      <c r="H277">
        <f>VLOOKUP(A277,Classifications!$A:$G,7,FALSE)</f>
        <v>43</v>
      </c>
      <c r="I277" t="s">
        <v>11</v>
      </c>
      <c r="J277" s="2">
        <v>44231.368611111109</v>
      </c>
    </row>
    <row r="278" spans="1:10" ht="12.75" customHeight="1" x14ac:dyDescent="0.3">
      <c r="A278">
        <v>1358248</v>
      </c>
      <c r="B278" t="s">
        <v>49</v>
      </c>
      <c r="C278" t="s">
        <v>801</v>
      </c>
      <c r="D278" t="s">
        <v>802</v>
      </c>
      <c r="E278" s="1" t="s">
        <v>803</v>
      </c>
      <c r="F278">
        <f>VLOOKUP(A278,Classifications!$A:$E,5,FALSE)</f>
        <v>1</v>
      </c>
      <c r="G278">
        <f>VLOOKUP(A278,Classifications!$A:$F,6,FALSE)</f>
        <v>1</v>
      </c>
      <c r="H278">
        <f>VLOOKUP(A278,Classifications!$A:$G,7,FALSE)</f>
        <v>41</v>
      </c>
      <c r="I278" t="s">
        <v>11</v>
      </c>
      <c r="J278" s="2">
        <v>44231.360902777778</v>
      </c>
    </row>
    <row r="279" spans="1:10" ht="12.75" customHeight="1" x14ac:dyDescent="0.3">
      <c r="A279">
        <v>1358247</v>
      </c>
      <c r="B279" t="s">
        <v>804</v>
      </c>
      <c r="C279" t="s">
        <v>805</v>
      </c>
      <c r="D279" t="s">
        <v>806</v>
      </c>
      <c r="E279" s="1" t="s">
        <v>807</v>
      </c>
      <c r="F279">
        <f>VLOOKUP(A279,Classifications!$A:$E,5,FALSE)</f>
        <v>1</v>
      </c>
      <c r="G279">
        <f>VLOOKUP(A279,Classifications!$A:$F,6,FALSE)</f>
        <v>1</v>
      </c>
      <c r="H279">
        <f>VLOOKUP(A279,Classifications!$A:$G,7,FALSE)</f>
        <v>36</v>
      </c>
      <c r="I279" t="s">
        <v>11</v>
      </c>
      <c r="J279" s="2">
        <v>44231.360277777778</v>
      </c>
    </row>
    <row r="280" spans="1:10" ht="12.75" customHeight="1" x14ac:dyDescent="0.3">
      <c r="A280">
        <v>1358246</v>
      </c>
      <c r="B280" t="s">
        <v>95</v>
      </c>
      <c r="C280" t="s">
        <v>808</v>
      </c>
      <c r="D280" t="s">
        <v>809</v>
      </c>
      <c r="E280" s="1" t="s">
        <v>810</v>
      </c>
      <c r="F280">
        <f>VLOOKUP(A280,Classifications!$A:$E,5,FALSE)</f>
        <v>1</v>
      </c>
      <c r="G280">
        <f>VLOOKUP(A280,Classifications!$A:$F,6,FALSE)</f>
        <v>1</v>
      </c>
      <c r="H280">
        <f>VLOOKUP(A280,Classifications!$A:$G,7,FALSE)</f>
        <v>43</v>
      </c>
      <c r="I280" t="s">
        <v>11</v>
      </c>
      <c r="J280" s="2">
        <v>44231.351226851853</v>
      </c>
    </row>
    <row r="281" spans="1:10" ht="12.75" customHeight="1" x14ac:dyDescent="0.3">
      <c r="A281">
        <v>1357922</v>
      </c>
      <c r="B281" t="s">
        <v>157</v>
      </c>
      <c r="C281" t="s">
        <v>158</v>
      </c>
      <c r="D281" t="s">
        <v>811</v>
      </c>
      <c r="E281" s="1" t="s">
        <v>812</v>
      </c>
      <c r="F281">
        <f>VLOOKUP(A281,Classifications!$A:$E,5,FALSE)</f>
        <v>1</v>
      </c>
      <c r="G281">
        <f>VLOOKUP(A281,Classifications!$A:$F,6,FALSE)</f>
        <v>2</v>
      </c>
      <c r="H281">
        <f>VLOOKUP(A281,Classifications!$A:$G,7,FALSE)</f>
        <v>43</v>
      </c>
      <c r="I281" t="s">
        <v>11</v>
      </c>
      <c r="J281" s="2">
        <v>44230.783148148148</v>
      </c>
    </row>
    <row r="282" spans="1:10" ht="12.75" customHeight="1" x14ac:dyDescent="0.3">
      <c r="A282">
        <v>1357892</v>
      </c>
      <c r="B282" t="s">
        <v>813</v>
      </c>
      <c r="C282" t="s">
        <v>814</v>
      </c>
      <c r="D282" t="s">
        <v>815</v>
      </c>
      <c r="E282" t="s">
        <v>461</v>
      </c>
      <c r="F282">
        <f>VLOOKUP(A282,Classifications!$A:$E,5,FALSE)</f>
        <v>1</v>
      </c>
      <c r="G282">
        <f>VLOOKUP(A282,Classifications!$A:$F,6,FALSE)</f>
        <v>1</v>
      </c>
      <c r="H282">
        <f>VLOOKUP(A282,Classifications!$A:$G,7,FALSE)</f>
        <v>36</v>
      </c>
      <c r="I282" t="s">
        <v>462</v>
      </c>
      <c r="J282" s="2">
        <v>44230.7500462963</v>
      </c>
    </row>
    <row r="283" spans="1:10" ht="12.75" customHeight="1" x14ac:dyDescent="0.3">
      <c r="A283">
        <v>1357891</v>
      </c>
      <c r="B283" t="s">
        <v>277</v>
      </c>
      <c r="C283" t="s">
        <v>816</v>
      </c>
      <c r="D283" t="s">
        <v>817</v>
      </c>
      <c r="E283" t="s">
        <v>461</v>
      </c>
      <c r="F283">
        <f>VLOOKUP(A283,Classifications!$A:$E,5,FALSE)</f>
        <v>1</v>
      </c>
      <c r="G283">
        <f>VLOOKUP(A283,Classifications!$A:$F,6,FALSE)</f>
        <v>1</v>
      </c>
      <c r="H283">
        <f>VLOOKUP(A283,Classifications!$A:$G,7,FALSE)</f>
        <v>36</v>
      </c>
      <c r="I283" t="s">
        <v>462</v>
      </c>
      <c r="J283" s="2">
        <v>44230.750023148146</v>
      </c>
    </row>
    <row r="284" spans="1:10" ht="12.75" customHeight="1" x14ac:dyDescent="0.3">
      <c r="A284">
        <v>1357885</v>
      </c>
      <c r="B284" t="s">
        <v>191</v>
      </c>
      <c r="C284" t="s">
        <v>192</v>
      </c>
      <c r="D284" t="s">
        <v>818</v>
      </c>
      <c r="E284" s="1" t="s">
        <v>819</v>
      </c>
      <c r="F284">
        <f>VLOOKUP(A284,Classifications!$A:$E,5,FALSE)</f>
        <v>1</v>
      </c>
      <c r="G284">
        <f>VLOOKUP(A284,Classifications!$A:$F,6,FALSE)</f>
        <v>1</v>
      </c>
      <c r="H284">
        <f>VLOOKUP(A284,Classifications!$A:$G,7,FALSE)</f>
        <v>41</v>
      </c>
      <c r="I284" t="s">
        <v>11</v>
      </c>
      <c r="J284" s="2">
        <v>44230.741701388892</v>
      </c>
    </row>
    <row r="285" spans="1:10" ht="12.75" customHeight="1" x14ac:dyDescent="0.3">
      <c r="A285">
        <v>1357867</v>
      </c>
      <c r="B285" t="s">
        <v>177</v>
      </c>
      <c r="C285" t="s">
        <v>178</v>
      </c>
      <c r="D285" t="s">
        <v>820</v>
      </c>
      <c r="E285" s="1" t="s">
        <v>821</v>
      </c>
      <c r="F285">
        <f>VLOOKUP(A285,Classifications!$A:$E,5,FALSE)</f>
        <v>1</v>
      </c>
      <c r="G285">
        <f>VLOOKUP(A285,Classifications!$A:$F,6,FALSE)</f>
        <v>2</v>
      </c>
      <c r="H285">
        <f>VLOOKUP(A285,Classifications!$A:$G,7,FALSE)</f>
        <v>43</v>
      </c>
      <c r="I285" t="s">
        <v>11</v>
      </c>
      <c r="J285" s="2">
        <v>44230.700532407405</v>
      </c>
    </row>
    <row r="286" spans="1:10" ht="12.75" customHeight="1" x14ac:dyDescent="0.3">
      <c r="A286">
        <v>1357860</v>
      </c>
      <c r="B286" t="s">
        <v>36</v>
      </c>
      <c r="C286" t="s">
        <v>822</v>
      </c>
      <c r="D286" t="s">
        <v>823</v>
      </c>
      <c r="E286" s="1" t="s">
        <v>824</v>
      </c>
      <c r="F286">
        <f>VLOOKUP(A286,Classifications!$A:$E,5,FALSE)</f>
        <v>1</v>
      </c>
      <c r="G286">
        <f>VLOOKUP(A286,Classifications!$A:$F,6,FALSE)</f>
        <v>1</v>
      </c>
      <c r="H286">
        <f>VLOOKUP(A286,Classifications!$A:$G,7,FALSE)</f>
        <v>43</v>
      </c>
      <c r="I286" t="s">
        <v>24</v>
      </c>
      <c r="J286" s="2">
        <v>44230.680902777778</v>
      </c>
    </row>
    <row r="287" spans="1:10" ht="12.75" customHeight="1" x14ac:dyDescent="0.3">
      <c r="A287">
        <v>1357859</v>
      </c>
      <c r="B287" t="s">
        <v>184</v>
      </c>
      <c r="C287" t="s">
        <v>825</v>
      </c>
      <c r="D287" t="s">
        <v>826</v>
      </c>
      <c r="E287" s="1" t="s">
        <v>827</v>
      </c>
      <c r="F287">
        <f>VLOOKUP(A287,Classifications!$A:$E,5,FALSE)</f>
        <v>1</v>
      </c>
      <c r="G287">
        <f>VLOOKUP(A287,Classifications!$A:$F,6,FALSE)</f>
        <v>2</v>
      </c>
      <c r="H287">
        <f>VLOOKUP(A287,Classifications!$A:$G,7,FALSE)</f>
        <v>43</v>
      </c>
      <c r="I287" t="s">
        <v>188</v>
      </c>
      <c r="J287" s="2">
        <v>44230.680069444446</v>
      </c>
    </row>
    <row r="288" spans="1:10" ht="12.75" customHeight="1" x14ac:dyDescent="0.3">
      <c r="A288">
        <v>1357857</v>
      </c>
      <c r="B288" t="s">
        <v>53</v>
      </c>
      <c r="C288" t="s">
        <v>54</v>
      </c>
      <c r="D288" t="s">
        <v>828</v>
      </c>
      <c r="E288" s="1" t="s">
        <v>829</v>
      </c>
      <c r="F288">
        <f>VLOOKUP(A288,Classifications!$A:$E,5,FALSE)</f>
        <v>1</v>
      </c>
      <c r="G288">
        <f>VLOOKUP(A288,Classifications!$A:$F,6,FALSE)</f>
        <v>1</v>
      </c>
      <c r="H288">
        <f>VLOOKUP(A288,Classifications!$A:$G,7,FALSE)</f>
        <v>43</v>
      </c>
      <c r="I288" t="s">
        <v>11</v>
      </c>
      <c r="J288" s="2">
        <v>44230.680023148147</v>
      </c>
    </row>
    <row r="289" spans="1:10" ht="12.75" customHeight="1" x14ac:dyDescent="0.3">
      <c r="A289">
        <v>1357856</v>
      </c>
      <c r="B289" t="s">
        <v>53</v>
      </c>
      <c r="C289" t="s">
        <v>54</v>
      </c>
      <c r="D289" t="s">
        <v>830</v>
      </c>
      <c r="E289" s="1" t="s">
        <v>831</v>
      </c>
      <c r="F289">
        <f>VLOOKUP(A289,Classifications!$A:$E,5,FALSE)</f>
        <v>1</v>
      </c>
      <c r="G289">
        <f>VLOOKUP(A289,Classifications!$A:$F,6,FALSE)</f>
        <v>1</v>
      </c>
      <c r="H289">
        <f>VLOOKUP(A289,Classifications!$A:$G,7,FALSE)</f>
        <v>43</v>
      </c>
      <c r="I289" t="s">
        <v>11</v>
      </c>
      <c r="J289" s="2">
        <v>44230.679907407408</v>
      </c>
    </row>
    <row r="290" spans="1:10" ht="12.75" customHeight="1" x14ac:dyDescent="0.3">
      <c r="A290">
        <v>1357850</v>
      </c>
      <c r="B290" t="s">
        <v>157</v>
      </c>
      <c r="C290" t="s">
        <v>414</v>
      </c>
      <c r="D290" t="s">
        <v>832</v>
      </c>
      <c r="E290" s="1" t="s">
        <v>833</v>
      </c>
      <c r="F290">
        <f>VLOOKUP(A290,Classifications!$A:$E,5,FALSE)</f>
        <v>1</v>
      </c>
      <c r="G290">
        <f>VLOOKUP(A290,Classifications!$A:$F,6,FALSE)</f>
        <v>3</v>
      </c>
      <c r="H290">
        <f>VLOOKUP(A290,Classifications!$A:$G,7,FALSE)</f>
        <v>43</v>
      </c>
      <c r="I290" t="s">
        <v>11</v>
      </c>
      <c r="J290" s="2">
        <v>44230.667858796296</v>
      </c>
    </row>
    <row r="291" spans="1:10" ht="12.75" customHeight="1" x14ac:dyDescent="0.3">
      <c r="A291">
        <v>1357847</v>
      </c>
      <c r="B291" t="s">
        <v>214</v>
      </c>
      <c r="C291" t="s">
        <v>215</v>
      </c>
      <c r="D291" t="s">
        <v>834</v>
      </c>
      <c r="E291" s="1" t="s">
        <v>835</v>
      </c>
      <c r="F291">
        <f>VLOOKUP(A291,Classifications!$A:$E,5,FALSE)</f>
        <v>2</v>
      </c>
      <c r="G291">
        <f>VLOOKUP(A291,Classifications!$A:$F,6,FALSE)</f>
        <v>2</v>
      </c>
      <c r="H291">
        <f>VLOOKUP(A291,Classifications!$A:$G,7,FALSE)</f>
        <v>43</v>
      </c>
      <c r="I291" t="s">
        <v>11</v>
      </c>
      <c r="J291" s="2">
        <v>44230.658680555556</v>
      </c>
    </row>
    <row r="292" spans="1:10" ht="12.75" customHeight="1" x14ac:dyDescent="0.3">
      <c r="A292">
        <v>1357846</v>
      </c>
      <c r="B292" t="s">
        <v>401</v>
      </c>
      <c r="C292" t="s">
        <v>836</v>
      </c>
      <c r="D292">
        <v>1357846</v>
      </c>
      <c r="E292" s="1" t="s">
        <v>837</v>
      </c>
      <c r="F292">
        <f>VLOOKUP(A292,Classifications!$A:$E,5,FALSE)</f>
        <v>1</v>
      </c>
      <c r="G292">
        <f>VLOOKUP(A292,Classifications!$A:$F,6,FALSE)</f>
        <v>1</v>
      </c>
      <c r="H292">
        <f>VLOOKUP(A292,Classifications!$A:$G,7,FALSE)</f>
        <v>43</v>
      </c>
      <c r="I292" t="s">
        <v>11</v>
      </c>
      <c r="J292" s="2">
        <v>44230.64980324074</v>
      </c>
    </row>
    <row r="293" spans="1:10" ht="12.75" customHeight="1" x14ac:dyDescent="0.3">
      <c r="A293">
        <v>1357844</v>
      </c>
      <c r="B293" t="s">
        <v>290</v>
      </c>
      <c r="C293" t="s">
        <v>308</v>
      </c>
      <c r="D293" t="s">
        <v>838</v>
      </c>
      <c r="E293" s="1" t="s">
        <v>839</v>
      </c>
      <c r="F293">
        <f>VLOOKUP(A293,Classifications!$A:$E,5,FALSE)</f>
        <v>1</v>
      </c>
      <c r="G293">
        <f>VLOOKUP(A293,Classifications!$A:$F,6,FALSE)</f>
        <v>3</v>
      </c>
      <c r="H293">
        <f>VLOOKUP(A293,Classifications!$A:$G,7,FALSE)</f>
        <v>36</v>
      </c>
      <c r="I293" t="s">
        <v>24</v>
      </c>
      <c r="J293" s="2">
        <v>44230.643703703703</v>
      </c>
    </row>
    <row r="294" spans="1:10" ht="12.75" customHeight="1" x14ac:dyDescent="0.3">
      <c r="A294">
        <v>1357839</v>
      </c>
      <c r="B294" t="s">
        <v>435</v>
      </c>
      <c r="C294" t="s">
        <v>436</v>
      </c>
      <c r="D294">
        <v>1352780</v>
      </c>
      <c r="E294" s="1" t="s">
        <v>840</v>
      </c>
      <c r="F294">
        <f>VLOOKUP(A294,Classifications!$A:$E,5,FALSE)</f>
        <v>1</v>
      </c>
      <c r="G294">
        <f>VLOOKUP(A294,Classifications!$A:$F,6,FALSE)</f>
        <v>1</v>
      </c>
      <c r="H294">
        <f>VLOOKUP(A294,Classifications!$A:$G,7,FALSE)</f>
        <v>43</v>
      </c>
      <c r="I294" t="s">
        <v>11</v>
      </c>
      <c r="J294" s="2">
        <v>44230.638541666667</v>
      </c>
    </row>
    <row r="295" spans="1:10" ht="12.75" customHeight="1" x14ac:dyDescent="0.3">
      <c r="A295">
        <v>1357837</v>
      </c>
      <c r="B295" t="s">
        <v>16</v>
      </c>
      <c r="C295" t="s">
        <v>649</v>
      </c>
      <c r="D295" t="s">
        <v>841</v>
      </c>
      <c r="E295" s="1" t="s">
        <v>842</v>
      </c>
      <c r="F295">
        <f>VLOOKUP(A295,Classifications!$A:$E,5,FALSE)</f>
        <v>1</v>
      </c>
      <c r="G295">
        <f>VLOOKUP(A295,Classifications!$A:$F,6,FALSE)</f>
        <v>2</v>
      </c>
      <c r="H295">
        <f>VLOOKUP(A295,Classifications!$A:$G,7,FALSE)</f>
        <v>43</v>
      </c>
      <c r="I295" t="s">
        <v>11</v>
      </c>
      <c r="J295" s="2">
        <v>44230.636770833335</v>
      </c>
    </row>
    <row r="296" spans="1:10" ht="12.75" customHeight="1" x14ac:dyDescent="0.3">
      <c r="A296">
        <v>1357834</v>
      </c>
      <c r="B296" t="s">
        <v>843</v>
      </c>
      <c r="C296" t="s">
        <v>844</v>
      </c>
      <c r="D296" t="s">
        <v>845</v>
      </c>
      <c r="E296" s="1" t="s">
        <v>846</v>
      </c>
      <c r="F296">
        <f>VLOOKUP(A296,Classifications!$A:$E,5,FALSE)</f>
        <v>2</v>
      </c>
      <c r="G296">
        <f>VLOOKUP(A296,Classifications!$A:$F,6,FALSE)</f>
        <v>1</v>
      </c>
      <c r="H296">
        <f>VLOOKUP(A296,Classifications!$A:$G,7,FALSE)</f>
        <v>43</v>
      </c>
      <c r="I296" t="s">
        <v>188</v>
      </c>
      <c r="J296" s="2">
        <v>44230.631331018521</v>
      </c>
    </row>
    <row r="297" spans="1:10" ht="12.75" customHeight="1" x14ac:dyDescent="0.3">
      <c r="A297">
        <v>1357827</v>
      </c>
      <c r="B297" t="s">
        <v>139</v>
      </c>
      <c r="C297" t="s">
        <v>140</v>
      </c>
      <c r="D297" t="s">
        <v>847</v>
      </c>
      <c r="E297" s="1" t="s">
        <v>848</v>
      </c>
      <c r="F297">
        <f>VLOOKUP(A297,Classifications!$A:$E,5,FALSE)</f>
        <v>1</v>
      </c>
      <c r="G297">
        <f>VLOOKUP(A297,Classifications!$A:$F,6,FALSE)</f>
        <v>1</v>
      </c>
      <c r="H297">
        <f>VLOOKUP(A297,Classifications!$A:$G,7,FALSE)</f>
        <v>43</v>
      </c>
      <c r="I297" t="s">
        <v>11</v>
      </c>
      <c r="J297" s="2">
        <v>44230.619004629632</v>
      </c>
    </row>
    <row r="298" spans="1:10" ht="12.75" customHeight="1" x14ac:dyDescent="0.3">
      <c r="A298">
        <v>1357821</v>
      </c>
      <c r="B298" t="s">
        <v>118</v>
      </c>
      <c r="C298" t="s">
        <v>849</v>
      </c>
      <c r="D298" t="s">
        <v>850</v>
      </c>
      <c r="E298" s="1" t="s">
        <v>851</v>
      </c>
      <c r="F298">
        <f>VLOOKUP(A298,Classifications!$A:$E,5,FALSE)</f>
        <v>1</v>
      </c>
      <c r="G298">
        <f>VLOOKUP(A298,Classifications!$A:$F,6,FALSE)</f>
        <v>2</v>
      </c>
      <c r="H298">
        <f>VLOOKUP(A298,Classifications!$A:$G,7,FALSE)</f>
        <v>43</v>
      </c>
      <c r="I298" t="s">
        <v>24</v>
      </c>
      <c r="J298" s="2">
        <v>44230.597812499997</v>
      </c>
    </row>
    <row r="299" spans="1:10" ht="12.75" customHeight="1" x14ac:dyDescent="0.3">
      <c r="A299">
        <v>1357820</v>
      </c>
      <c r="B299" t="s">
        <v>852</v>
      </c>
      <c r="C299" t="s">
        <v>853</v>
      </c>
      <c r="D299" t="s">
        <v>854</v>
      </c>
      <c r="E299" s="1" t="s">
        <v>855</v>
      </c>
      <c r="F299">
        <f>VLOOKUP(A299,Classifications!$A:$E,5,FALSE)</f>
        <v>2</v>
      </c>
      <c r="G299">
        <f>VLOOKUP(A299,Classifications!$A:$F,6,FALSE)</f>
        <v>2</v>
      </c>
      <c r="H299">
        <f>VLOOKUP(A299,Classifications!$A:$G,7,FALSE)</f>
        <v>43</v>
      </c>
      <c r="I299" t="s">
        <v>11</v>
      </c>
      <c r="J299" s="2">
        <v>44230.595856481479</v>
      </c>
    </row>
    <row r="300" spans="1:10" ht="12.75" customHeight="1" x14ac:dyDescent="0.3">
      <c r="A300">
        <v>1357819</v>
      </c>
      <c r="B300" t="s">
        <v>503</v>
      </c>
      <c r="D300" t="s">
        <v>856</v>
      </c>
      <c r="E300" s="1" t="s">
        <v>857</v>
      </c>
      <c r="F300">
        <f>VLOOKUP(A300,Classifications!$A:$E,5,FALSE)</f>
        <v>1</v>
      </c>
      <c r="G300">
        <f>VLOOKUP(A300,Classifications!$A:$F,6,FALSE)</f>
        <v>2</v>
      </c>
      <c r="H300">
        <f>VLOOKUP(A300,Classifications!$A:$G,7,FALSE)</f>
        <v>43</v>
      </c>
      <c r="I300" t="s">
        <v>11</v>
      </c>
      <c r="J300" s="2">
        <v>44230.594490740739</v>
      </c>
    </row>
    <row r="301" spans="1:10" ht="12.75" customHeight="1" x14ac:dyDescent="0.3">
      <c r="A301">
        <v>1357817</v>
      </c>
      <c r="B301" t="s">
        <v>214</v>
      </c>
      <c r="C301" t="s">
        <v>215</v>
      </c>
      <c r="D301" t="s">
        <v>858</v>
      </c>
      <c r="E301" s="1" t="s">
        <v>859</v>
      </c>
      <c r="F301">
        <f>VLOOKUP(A301,Classifications!$A:$E,5,FALSE)</f>
        <v>1</v>
      </c>
      <c r="G301">
        <f>VLOOKUP(A301,Classifications!$A:$F,6,FALSE)</f>
        <v>1</v>
      </c>
      <c r="H301">
        <f>VLOOKUP(A301,Classifications!$A:$G,7,FALSE)</f>
        <v>36</v>
      </c>
      <c r="I301" t="s">
        <v>11</v>
      </c>
      <c r="J301" s="2">
        <v>44230.587384259263</v>
      </c>
    </row>
    <row r="302" spans="1:10" ht="12.75" customHeight="1" x14ac:dyDescent="0.3">
      <c r="A302">
        <v>1357814</v>
      </c>
      <c r="B302" t="s">
        <v>860</v>
      </c>
      <c r="C302" t="s">
        <v>861</v>
      </c>
      <c r="D302" t="s">
        <v>862</v>
      </c>
      <c r="E302" s="1" t="s">
        <v>863</v>
      </c>
      <c r="F302">
        <f>VLOOKUP(A302,Classifications!$A:$E,5,FALSE)</f>
        <v>1</v>
      </c>
      <c r="G302">
        <f>VLOOKUP(A302,Classifications!$A:$F,6,FALSE)</f>
        <v>1</v>
      </c>
      <c r="H302">
        <f>VLOOKUP(A302,Classifications!$A:$G,7,FALSE)</f>
        <v>43</v>
      </c>
      <c r="I302" t="s">
        <v>11</v>
      </c>
      <c r="J302" s="2">
        <v>44230.572824074072</v>
      </c>
    </row>
    <row r="303" spans="1:10" ht="12.75" customHeight="1" x14ac:dyDescent="0.3">
      <c r="A303">
        <v>1357812</v>
      </c>
      <c r="B303" t="s">
        <v>214</v>
      </c>
      <c r="C303" t="s">
        <v>215</v>
      </c>
      <c r="D303" t="s">
        <v>864</v>
      </c>
      <c r="E303" s="1" t="s">
        <v>865</v>
      </c>
      <c r="F303">
        <f>VLOOKUP(A303,Classifications!$A:$E,5,FALSE)</f>
        <v>1</v>
      </c>
      <c r="G303">
        <f>VLOOKUP(A303,Classifications!$A:$F,6,FALSE)</f>
        <v>3</v>
      </c>
      <c r="H303">
        <f>VLOOKUP(A303,Classifications!$A:$G,7,FALSE)</f>
        <v>43</v>
      </c>
      <c r="I303" t="s">
        <v>11</v>
      </c>
      <c r="J303" s="2">
        <v>44230.571296296293</v>
      </c>
    </row>
    <row r="304" spans="1:10" ht="12.75" customHeight="1" x14ac:dyDescent="0.3">
      <c r="A304">
        <v>1357811</v>
      </c>
      <c r="B304" t="s">
        <v>20</v>
      </c>
      <c r="C304" t="s">
        <v>692</v>
      </c>
      <c r="D304" t="s">
        <v>866</v>
      </c>
      <c r="E304" s="1" t="s">
        <v>867</v>
      </c>
      <c r="F304">
        <f>VLOOKUP(A304,Classifications!$A:$E,5,FALSE)</f>
        <v>1</v>
      </c>
      <c r="G304">
        <f>VLOOKUP(A304,Classifications!$A:$F,6,FALSE)</f>
        <v>2</v>
      </c>
      <c r="H304">
        <f>VLOOKUP(A304,Classifications!$A:$G,7,FALSE)</f>
        <v>41</v>
      </c>
      <c r="I304" t="s">
        <v>11</v>
      </c>
      <c r="J304" s="2">
        <v>44230.571284722224</v>
      </c>
    </row>
    <row r="305" spans="1:10" ht="12.75" customHeight="1" x14ac:dyDescent="0.3">
      <c r="A305">
        <v>1357809</v>
      </c>
      <c r="B305" t="s">
        <v>401</v>
      </c>
      <c r="C305" t="s">
        <v>836</v>
      </c>
      <c r="D305" t="s">
        <v>868</v>
      </c>
      <c r="E305" s="1" t="s">
        <v>869</v>
      </c>
      <c r="F305">
        <f>VLOOKUP(A305,Classifications!$A:$E,5,FALSE)</f>
        <v>1</v>
      </c>
      <c r="G305">
        <f>VLOOKUP(A305,Classifications!$A:$F,6,FALSE)</f>
        <v>1</v>
      </c>
      <c r="H305">
        <f>VLOOKUP(A305,Classifications!$A:$G,7,FALSE)</f>
        <v>43</v>
      </c>
      <c r="I305" t="s">
        <v>11</v>
      </c>
      <c r="J305" s="2">
        <v>44230.561631944445</v>
      </c>
    </row>
    <row r="306" spans="1:10" ht="12.75" customHeight="1" x14ac:dyDescent="0.3">
      <c r="A306">
        <v>1357784</v>
      </c>
      <c r="B306" t="s">
        <v>118</v>
      </c>
      <c r="C306" t="s">
        <v>200</v>
      </c>
      <c r="D306" t="s">
        <v>870</v>
      </c>
      <c r="E306" s="1" t="s">
        <v>871</v>
      </c>
      <c r="F306">
        <f>VLOOKUP(A306,Classifications!$A:$E,5,FALSE)</f>
        <v>2</v>
      </c>
      <c r="G306">
        <f>VLOOKUP(A306,Classifications!$A:$F,6,FALSE)</f>
        <v>3</v>
      </c>
      <c r="H306">
        <f>VLOOKUP(A306,Classifications!$A:$G,7,FALSE)</f>
        <v>43</v>
      </c>
      <c r="I306" t="s">
        <v>11</v>
      </c>
      <c r="J306" s="2">
        <v>44230.520682870374</v>
      </c>
    </row>
    <row r="307" spans="1:10" ht="12.75" customHeight="1" x14ac:dyDescent="0.3">
      <c r="A307">
        <v>1357783</v>
      </c>
      <c r="B307" t="s">
        <v>36</v>
      </c>
      <c r="C307" t="s">
        <v>578</v>
      </c>
      <c r="D307" t="s">
        <v>872</v>
      </c>
      <c r="E307" s="1" t="s">
        <v>873</v>
      </c>
      <c r="F307">
        <f>VLOOKUP(A307,Classifications!$A:$E,5,FALSE)</f>
        <v>1</v>
      </c>
      <c r="G307">
        <f>VLOOKUP(A307,Classifications!$A:$F,6,FALSE)</f>
        <v>2</v>
      </c>
      <c r="H307">
        <f>VLOOKUP(A307,Classifications!$A:$G,7,FALSE)</f>
        <v>41</v>
      </c>
      <c r="I307" t="s">
        <v>24</v>
      </c>
      <c r="J307" s="2">
        <v>44230.51803240741</v>
      </c>
    </row>
    <row r="308" spans="1:10" ht="12.75" customHeight="1" x14ac:dyDescent="0.3">
      <c r="A308">
        <v>1357771</v>
      </c>
      <c r="B308" t="s">
        <v>350</v>
      </c>
      <c r="C308" t="s">
        <v>351</v>
      </c>
      <c r="D308" t="s">
        <v>874</v>
      </c>
      <c r="E308" s="1" t="s">
        <v>875</v>
      </c>
      <c r="F308">
        <f>VLOOKUP(A308,Classifications!$A:$E,5,FALSE)</f>
        <v>1</v>
      </c>
      <c r="G308">
        <f>VLOOKUP(A308,Classifications!$A:$F,6,FALSE)</f>
        <v>1</v>
      </c>
      <c r="H308">
        <f>VLOOKUP(A308,Classifications!$A:$G,7,FALSE)</f>
        <v>43</v>
      </c>
      <c r="I308" t="s">
        <v>24</v>
      </c>
      <c r="J308" s="2">
        <v>44230.493541666663</v>
      </c>
    </row>
    <row r="309" spans="1:10" ht="12.75" customHeight="1" x14ac:dyDescent="0.3">
      <c r="A309">
        <v>1357768</v>
      </c>
      <c r="B309" t="s">
        <v>435</v>
      </c>
      <c r="C309" t="s">
        <v>436</v>
      </c>
      <c r="D309">
        <v>1357669</v>
      </c>
      <c r="E309" s="1" t="s">
        <v>876</v>
      </c>
      <c r="F309">
        <f>VLOOKUP(A309,Classifications!$A:$E,5,FALSE)</f>
        <v>1</v>
      </c>
      <c r="G309">
        <f>VLOOKUP(A309,Classifications!$A:$F,6,FALSE)</f>
        <v>2</v>
      </c>
      <c r="H309">
        <f>VLOOKUP(A309,Classifications!$A:$G,7,FALSE)</f>
        <v>41</v>
      </c>
      <c r="I309" t="s">
        <v>11</v>
      </c>
      <c r="J309" s="2">
        <v>44230.491435185184</v>
      </c>
    </row>
    <row r="310" spans="1:10" ht="12.75" customHeight="1" x14ac:dyDescent="0.3">
      <c r="A310">
        <v>1357765</v>
      </c>
      <c r="B310" t="s">
        <v>401</v>
      </c>
      <c r="C310" t="s">
        <v>402</v>
      </c>
      <c r="D310" t="s">
        <v>877</v>
      </c>
      <c r="E310" s="1" t="s">
        <v>878</v>
      </c>
      <c r="F310">
        <f>VLOOKUP(A310,Classifications!$A:$E,5,FALSE)</f>
        <v>1</v>
      </c>
      <c r="G310">
        <f>VLOOKUP(A310,Classifications!$A:$F,6,FALSE)</f>
        <v>1</v>
      </c>
      <c r="H310">
        <f>VLOOKUP(A310,Classifications!$A:$G,7,FALSE)</f>
        <v>36</v>
      </c>
      <c r="I310" t="s">
        <v>11</v>
      </c>
      <c r="J310" s="2">
        <v>44230.484398148146</v>
      </c>
    </row>
    <row r="311" spans="1:10" ht="12.75" customHeight="1" x14ac:dyDescent="0.3">
      <c r="A311">
        <v>1357764</v>
      </c>
      <c r="B311" t="s">
        <v>157</v>
      </c>
      <c r="C311" t="s">
        <v>414</v>
      </c>
      <c r="D311" t="s">
        <v>879</v>
      </c>
      <c r="E311" s="1" t="s">
        <v>880</v>
      </c>
      <c r="F311">
        <f>VLOOKUP(A311,Classifications!$A:$E,5,FALSE)</f>
        <v>1</v>
      </c>
      <c r="G311">
        <f>VLOOKUP(A311,Classifications!$A:$F,6,FALSE)</f>
        <v>2</v>
      </c>
      <c r="H311">
        <f>VLOOKUP(A311,Classifications!$A:$G,7,FALSE)</f>
        <v>43</v>
      </c>
      <c r="I311" t="s">
        <v>11</v>
      </c>
      <c r="J311" s="2">
        <v>44230.484282407408</v>
      </c>
    </row>
    <row r="312" spans="1:10" ht="12.75" customHeight="1" x14ac:dyDescent="0.3">
      <c r="A312">
        <v>1357763</v>
      </c>
      <c r="B312" t="s">
        <v>7</v>
      </c>
      <c r="C312" t="s">
        <v>107</v>
      </c>
      <c r="D312" t="s">
        <v>881</v>
      </c>
      <c r="E312" s="1" t="s">
        <v>882</v>
      </c>
      <c r="F312">
        <f>VLOOKUP(A312,Classifications!$A:$E,5,FALSE)</f>
        <v>3</v>
      </c>
      <c r="G312">
        <f>VLOOKUP(A312,Classifications!$A:$F,6,FALSE)</f>
        <v>3</v>
      </c>
      <c r="H312">
        <f>VLOOKUP(A312,Classifications!$A:$G,7,FALSE)</f>
        <v>43</v>
      </c>
      <c r="I312" t="s">
        <v>11</v>
      </c>
      <c r="J312" s="2">
        <v>44230.483831018515</v>
      </c>
    </row>
    <row r="313" spans="1:10" ht="12.75" customHeight="1" x14ac:dyDescent="0.3">
      <c r="A313">
        <v>1357762</v>
      </c>
      <c r="B313" t="s">
        <v>16</v>
      </c>
      <c r="C313" t="s">
        <v>883</v>
      </c>
      <c r="D313" t="s">
        <v>884</v>
      </c>
      <c r="E313" s="1" t="s">
        <v>885</v>
      </c>
      <c r="F313">
        <f>VLOOKUP(A313,Classifications!$A:$E,5,FALSE)</f>
        <v>1</v>
      </c>
      <c r="G313">
        <f>VLOOKUP(A313,Classifications!$A:$F,6,FALSE)</f>
        <v>1</v>
      </c>
      <c r="H313">
        <f>VLOOKUP(A313,Classifications!$A:$G,7,FALSE)</f>
        <v>43</v>
      </c>
      <c r="I313" t="s">
        <v>11</v>
      </c>
      <c r="J313" s="2">
        <v>44230.48369212963</v>
      </c>
    </row>
    <row r="314" spans="1:10" ht="12.75" customHeight="1" x14ac:dyDescent="0.3">
      <c r="A314">
        <v>1357757</v>
      </c>
      <c r="B314" t="s">
        <v>139</v>
      </c>
      <c r="C314" t="s">
        <v>140</v>
      </c>
      <c r="D314" t="s">
        <v>886</v>
      </c>
      <c r="E314" s="1" t="s">
        <v>887</v>
      </c>
      <c r="F314">
        <f>VLOOKUP(A314,Classifications!$A:$E,5,FALSE)</f>
        <v>1</v>
      </c>
      <c r="G314">
        <f>VLOOKUP(A314,Classifications!$A:$F,6,FALSE)</f>
        <v>1</v>
      </c>
      <c r="H314">
        <f>VLOOKUP(A314,Classifications!$A:$G,7,FALSE)</f>
        <v>43</v>
      </c>
      <c r="I314" t="s">
        <v>24</v>
      </c>
      <c r="J314" s="2">
        <v>44230.47556712963</v>
      </c>
    </row>
    <row r="315" spans="1:10" ht="12.75" customHeight="1" x14ac:dyDescent="0.3">
      <c r="A315">
        <v>1357755</v>
      </c>
      <c r="B315" t="s">
        <v>746</v>
      </c>
      <c r="C315" t="s">
        <v>888</v>
      </c>
      <c r="D315" t="s">
        <v>889</v>
      </c>
      <c r="E315" s="1" t="s">
        <v>890</v>
      </c>
      <c r="F315">
        <f>VLOOKUP(A315,Classifications!$A:$E,5,FALSE)</f>
        <v>1</v>
      </c>
      <c r="G315">
        <f>VLOOKUP(A315,Classifications!$A:$F,6,FALSE)</f>
        <v>2</v>
      </c>
      <c r="H315">
        <f>VLOOKUP(A315,Classifications!$A:$G,7,FALSE)</f>
        <v>41</v>
      </c>
      <c r="I315" t="s">
        <v>11</v>
      </c>
      <c r="J315" s="2">
        <v>44230.461724537039</v>
      </c>
    </row>
    <row r="316" spans="1:10" ht="12.75" customHeight="1" x14ac:dyDescent="0.3">
      <c r="A316">
        <v>1357752</v>
      </c>
      <c r="B316" t="s">
        <v>25</v>
      </c>
      <c r="C316" t="s">
        <v>26</v>
      </c>
      <c r="D316" t="s">
        <v>891</v>
      </c>
      <c r="E316" s="1" t="s">
        <v>892</v>
      </c>
      <c r="F316">
        <f>VLOOKUP(A316,Classifications!$A:$E,5,FALSE)</f>
        <v>1</v>
      </c>
      <c r="G316">
        <f>VLOOKUP(A316,Classifications!$A:$F,6,FALSE)</f>
        <v>1</v>
      </c>
      <c r="H316">
        <f>VLOOKUP(A316,Classifications!$A:$G,7,FALSE)</f>
        <v>36</v>
      </c>
      <c r="I316" t="s">
        <v>11</v>
      </c>
      <c r="J316" s="2">
        <v>44230.457106481481</v>
      </c>
    </row>
    <row r="317" spans="1:10" ht="12.75" customHeight="1" x14ac:dyDescent="0.3">
      <c r="A317">
        <v>1357734</v>
      </c>
      <c r="B317" t="s">
        <v>545</v>
      </c>
      <c r="C317" t="s">
        <v>893</v>
      </c>
      <c r="D317" t="s">
        <v>894</v>
      </c>
      <c r="E317" s="1" t="s">
        <v>895</v>
      </c>
      <c r="F317">
        <f>VLOOKUP(A317,Classifications!$A:$E,5,FALSE)</f>
        <v>1</v>
      </c>
      <c r="G317">
        <f>VLOOKUP(A317,Classifications!$A:$F,6,FALSE)</f>
        <v>2</v>
      </c>
      <c r="H317">
        <f>VLOOKUP(A317,Classifications!$A:$G,7,FALSE)</f>
        <v>41</v>
      </c>
      <c r="I317" t="s">
        <v>24</v>
      </c>
      <c r="J317" s="2">
        <v>44230.450636574074</v>
      </c>
    </row>
    <row r="318" spans="1:10" ht="12.75" customHeight="1" x14ac:dyDescent="0.3">
      <c r="A318">
        <v>1357733</v>
      </c>
      <c r="B318" t="s">
        <v>184</v>
      </c>
      <c r="C318" t="s">
        <v>825</v>
      </c>
      <c r="D318" t="s">
        <v>896</v>
      </c>
      <c r="E318" s="1" t="s">
        <v>827</v>
      </c>
      <c r="F318">
        <f>VLOOKUP(A318,Classifications!$A:$E,5,FALSE)</f>
        <v>1</v>
      </c>
      <c r="G318">
        <f>VLOOKUP(A318,Classifications!$A:$F,6,FALSE)</f>
        <v>2</v>
      </c>
      <c r="H318">
        <f>VLOOKUP(A318,Classifications!$A:$G,7,FALSE)</f>
        <v>43</v>
      </c>
      <c r="I318" t="s">
        <v>11</v>
      </c>
      <c r="J318" s="2">
        <v>44230.447604166664</v>
      </c>
    </row>
    <row r="319" spans="1:10" ht="12.75" customHeight="1" x14ac:dyDescent="0.3">
      <c r="A319">
        <v>1357718</v>
      </c>
      <c r="B319" t="s">
        <v>214</v>
      </c>
      <c r="C319" t="s">
        <v>215</v>
      </c>
      <c r="D319" t="s">
        <v>897</v>
      </c>
      <c r="E319" s="1" t="s">
        <v>898</v>
      </c>
      <c r="F319">
        <f>VLOOKUP(A319,Classifications!$A:$E,5,FALSE)</f>
        <v>1</v>
      </c>
      <c r="G319">
        <f>VLOOKUP(A319,Classifications!$A:$F,6,FALSE)</f>
        <v>1</v>
      </c>
      <c r="H319">
        <f>VLOOKUP(A319,Classifications!$A:$G,7,FALSE)</f>
        <v>36</v>
      </c>
      <c r="I319" t="s">
        <v>11</v>
      </c>
      <c r="J319" s="2">
        <v>44230.4296412037</v>
      </c>
    </row>
    <row r="320" spans="1:10" ht="12.75" customHeight="1" x14ac:dyDescent="0.3">
      <c r="A320">
        <v>1357717</v>
      </c>
      <c r="B320" t="s">
        <v>157</v>
      </c>
      <c r="C320" t="s">
        <v>627</v>
      </c>
      <c r="D320" t="s">
        <v>899</v>
      </c>
      <c r="E320" s="1" t="s">
        <v>900</v>
      </c>
      <c r="F320">
        <f>VLOOKUP(A320,Classifications!$A:$E,5,FALSE)</f>
        <v>1</v>
      </c>
      <c r="G320">
        <f>VLOOKUP(A320,Classifications!$A:$F,6,FALSE)</f>
        <v>2</v>
      </c>
      <c r="H320">
        <f>VLOOKUP(A320,Classifications!$A:$G,7,FALSE)</f>
        <v>43</v>
      </c>
      <c r="I320" t="s">
        <v>24</v>
      </c>
      <c r="J320" s="2">
        <v>44230.428773148145</v>
      </c>
    </row>
    <row r="321" spans="1:10" ht="12.75" customHeight="1" x14ac:dyDescent="0.3">
      <c r="A321">
        <v>1357716</v>
      </c>
      <c r="B321" t="s">
        <v>350</v>
      </c>
      <c r="C321" t="s">
        <v>351</v>
      </c>
      <c r="D321" t="s">
        <v>901</v>
      </c>
      <c r="E321" s="1" t="s">
        <v>902</v>
      </c>
      <c r="F321">
        <f>VLOOKUP(A321,Classifications!$A:$E,5,FALSE)</f>
        <v>1</v>
      </c>
      <c r="G321">
        <f>VLOOKUP(A321,Classifications!$A:$F,6,FALSE)</f>
        <v>1</v>
      </c>
      <c r="H321">
        <f>VLOOKUP(A321,Classifications!$A:$G,7,FALSE)</f>
        <v>36</v>
      </c>
      <c r="I321" t="s">
        <v>11</v>
      </c>
      <c r="J321" s="2">
        <v>44230.427256944444</v>
      </c>
    </row>
    <row r="322" spans="1:10" ht="12.75" customHeight="1" x14ac:dyDescent="0.3">
      <c r="A322">
        <v>1357715</v>
      </c>
      <c r="B322" t="s">
        <v>20</v>
      </c>
      <c r="C322" t="s">
        <v>84</v>
      </c>
      <c r="D322" t="s">
        <v>903</v>
      </c>
      <c r="E322" s="1" t="s">
        <v>904</v>
      </c>
      <c r="F322">
        <f>VLOOKUP(A322,Classifications!$A:$E,5,FALSE)</f>
        <v>1</v>
      </c>
      <c r="G322">
        <f>VLOOKUP(A322,Classifications!$A:$F,6,FALSE)</f>
        <v>2</v>
      </c>
      <c r="H322">
        <f>VLOOKUP(A322,Classifications!$A:$G,7,FALSE)</f>
        <v>41</v>
      </c>
      <c r="I322" t="s">
        <v>11</v>
      </c>
      <c r="J322" s="2">
        <v>44230.426886574074</v>
      </c>
    </row>
    <row r="323" spans="1:10" ht="12.75" customHeight="1" x14ac:dyDescent="0.3">
      <c r="A323">
        <v>1357710</v>
      </c>
      <c r="B323" t="s">
        <v>503</v>
      </c>
      <c r="D323" t="s">
        <v>905</v>
      </c>
      <c r="E323" s="1" t="s">
        <v>906</v>
      </c>
      <c r="F323">
        <f>VLOOKUP(A323,Classifications!$A:$E,5,FALSE)</f>
        <v>2</v>
      </c>
      <c r="G323">
        <f>VLOOKUP(A323,Classifications!$A:$F,6,FALSE)</f>
        <v>2</v>
      </c>
      <c r="H323">
        <f>VLOOKUP(A323,Classifications!$A:$G,7,FALSE)</f>
        <v>36</v>
      </c>
      <c r="I323" t="s">
        <v>11</v>
      </c>
      <c r="J323" s="2">
        <v>44230.420775462961</v>
      </c>
    </row>
    <row r="324" spans="1:10" ht="12.75" customHeight="1" x14ac:dyDescent="0.3">
      <c r="A324">
        <v>1357709</v>
      </c>
      <c r="B324" t="s">
        <v>16</v>
      </c>
      <c r="C324" t="s">
        <v>907</v>
      </c>
      <c r="D324">
        <v>1357703</v>
      </c>
      <c r="E324" s="1" t="s">
        <v>908</v>
      </c>
      <c r="F324">
        <f>VLOOKUP(A324,Classifications!$A:$E,5,FALSE)</f>
        <v>1</v>
      </c>
      <c r="G324">
        <f>VLOOKUP(A324,Classifications!$A:$F,6,FALSE)</f>
        <v>2</v>
      </c>
      <c r="H324">
        <f>VLOOKUP(A324,Classifications!$A:$G,7,FALSE)</f>
        <v>43</v>
      </c>
      <c r="I324" t="s">
        <v>11</v>
      </c>
      <c r="J324" s="2">
        <v>44230.420613425929</v>
      </c>
    </row>
    <row r="325" spans="1:10" ht="12.75" customHeight="1" x14ac:dyDescent="0.3">
      <c r="A325">
        <v>1357703</v>
      </c>
      <c r="B325" t="s">
        <v>16</v>
      </c>
      <c r="C325" t="s">
        <v>394</v>
      </c>
      <c r="D325" t="s">
        <v>909</v>
      </c>
      <c r="E325" s="1" t="s">
        <v>910</v>
      </c>
      <c r="F325">
        <f>VLOOKUP(A325,Classifications!$A:$E,5,FALSE)</f>
        <v>1</v>
      </c>
      <c r="G325">
        <f>VLOOKUP(A325,Classifications!$A:$F,6,FALSE)</f>
        <v>1</v>
      </c>
      <c r="H325">
        <f>VLOOKUP(A325,Classifications!$A:$G,7,FALSE)</f>
        <v>43</v>
      </c>
      <c r="I325" t="s">
        <v>11</v>
      </c>
      <c r="J325" s="2">
        <v>44230.418067129627</v>
      </c>
    </row>
    <row r="326" spans="1:10" ht="12.75" customHeight="1" x14ac:dyDescent="0.3">
      <c r="A326">
        <v>1357677</v>
      </c>
      <c r="B326" t="s">
        <v>32</v>
      </c>
      <c r="C326" t="s">
        <v>158</v>
      </c>
      <c r="D326" t="s">
        <v>388</v>
      </c>
      <c r="E326" s="1" t="s">
        <v>911</v>
      </c>
      <c r="F326">
        <f>VLOOKUP(A326,Classifications!$A:$E,5,FALSE)</f>
        <v>1</v>
      </c>
      <c r="G326">
        <f>VLOOKUP(A326,Classifications!$A:$F,6,FALSE)</f>
        <v>1</v>
      </c>
      <c r="H326">
        <f>VLOOKUP(A326,Classifications!$A:$G,7,FALSE)</f>
        <v>41</v>
      </c>
      <c r="I326" t="s">
        <v>11</v>
      </c>
      <c r="J326" s="2">
        <v>44230.412002314813</v>
      </c>
    </row>
    <row r="327" spans="1:10" ht="12.75" customHeight="1" x14ac:dyDescent="0.3">
      <c r="A327">
        <v>1357673</v>
      </c>
      <c r="B327" t="s">
        <v>318</v>
      </c>
      <c r="C327" t="s">
        <v>319</v>
      </c>
      <c r="D327" t="s">
        <v>912</v>
      </c>
      <c r="E327" s="1" t="s">
        <v>913</v>
      </c>
      <c r="F327">
        <f>VLOOKUP(A327,Classifications!$A:$E,5,FALSE)</f>
        <v>2</v>
      </c>
      <c r="G327">
        <f>VLOOKUP(A327,Classifications!$A:$F,6,FALSE)</f>
        <v>1</v>
      </c>
      <c r="H327">
        <f>VLOOKUP(A327,Classifications!$A:$G,7,FALSE)</f>
        <v>41</v>
      </c>
      <c r="I327" t="s">
        <v>11</v>
      </c>
      <c r="J327" s="2">
        <v>44230.409849537034</v>
      </c>
    </row>
    <row r="328" spans="1:10" ht="12.75" customHeight="1" x14ac:dyDescent="0.3">
      <c r="A328">
        <v>1357672</v>
      </c>
      <c r="B328" t="s">
        <v>746</v>
      </c>
      <c r="C328" t="s">
        <v>914</v>
      </c>
      <c r="D328" t="s">
        <v>915</v>
      </c>
      <c r="E328" s="1" t="s">
        <v>916</v>
      </c>
      <c r="F328">
        <f>VLOOKUP(A328,Classifications!$A:$E,5,FALSE)</f>
        <v>1</v>
      </c>
      <c r="G328">
        <f>VLOOKUP(A328,Classifications!$A:$F,6,FALSE)</f>
        <v>2</v>
      </c>
      <c r="H328">
        <f>VLOOKUP(A328,Classifications!$A:$G,7,FALSE)</f>
        <v>43</v>
      </c>
      <c r="I328" t="s">
        <v>11</v>
      </c>
      <c r="J328" s="2">
        <v>44230.409826388888</v>
      </c>
    </row>
    <row r="329" spans="1:10" ht="12.75" customHeight="1" x14ac:dyDescent="0.3">
      <c r="A329">
        <v>1357665</v>
      </c>
      <c r="B329" t="s">
        <v>917</v>
      </c>
      <c r="C329" t="s">
        <v>918</v>
      </c>
      <c r="D329" t="s">
        <v>919</v>
      </c>
      <c r="E329" s="1" t="s">
        <v>920</v>
      </c>
      <c r="F329">
        <f>VLOOKUP(A329,Classifications!$A:$E,5,FALSE)</f>
        <v>2</v>
      </c>
      <c r="G329">
        <f>VLOOKUP(A329,Classifications!$A:$F,6,FALSE)</f>
        <v>2</v>
      </c>
      <c r="H329">
        <f>VLOOKUP(A329,Classifications!$A:$G,7,FALSE)</f>
        <v>43</v>
      </c>
      <c r="I329" t="s">
        <v>24</v>
      </c>
      <c r="J329" s="2">
        <v>44230.392905092594</v>
      </c>
    </row>
    <row r="330" spans="1:10" ht="12.75" customHeight="1" x14ac:dyDescent="0.3">
      <c r="A330">
        <v>1357664</v>
      </c>
      <c r="B330" t="s">
        <v>16</v>
      </c>
      <c r="C330" t="s">
        <v>649</v>
      </c>
      <c r="D330" t="s">
        <v>921</v>
      </c>
      <c r="E330" s="1" t="s">
        <v>922</v>
      </c>
      <c r="F330">
        <f>VLOOKUP(A330,Classifications!$A:$E,5,FALSE)</f>
        <v>1</v>
      </c>
      <c r="G330">
        <f>VLOOKUP(A330,Classifications!$A:$F,6,FALSE)</f>
        <v>1</v>
      </c>
      <c r="H330">
        <f>VLOOKUP(A330,Classifications!$A:$G,7,FALSE)</f>
        <v>43</v>
      </c>
      <c r="I330" t="s">
        <v>11</v>
      </c>
      <c r="J330" s="2">
        <v>44230.390300925923</v>
      </c>
    </row>
    <row r="331" spans="1:10" ht="12.75" customHeight="1" x14ac:dyDescent="0.3">
      <c r="A331">
        <v>1357653</v>
      </c>
      <c r="B331" t="s">
        <v>7</v>
      </c>
      <c r="C331" t="s">
        <v>923</v>
      </c>
      <c r="D331" t="s">
        <v>924</v>
      </c>
      <c r="E331" s="1" t="s">
        <v>925</v>
      </c>
      <c r="F331">
        <f>VLOOKUP(A331,Classifications!$A:$E,5,FALSE)</f>
        <v>2</v>
      </c>
      <c r="G331">
        <f>VLOOKUP(A331,Classifications!$A:$F,6,FALSE)</f>
        <v>2</v>
      </c>
      <c r="H331">
        <f>VLOOKUP(A331,Classifications!$A:$G,7,FALSE)</f>
        <v>43</v>
      </c>
      <c r="I331" t="s">
        <v>24</v>
      </c>
      <c r="J331" s="2">
        <v>44230.374062499999</v>
      </c>
    </row>
    <row r="332" spans="1:10" ht="12.75" customHeight="1" x14ac:dyDescent="0.3">
      <c r="A332">
        <v>1357649</v>
      </c>
      <c r="B332" t="s">
        <v>70</v>
      </c>
      <c r="C332" t="s">
        <v>660</v>
      </c>
      <c r="D332" t="s">
        <v>926</v>
      </c>
      <c r="E332" s="1" t="s">
        <v>927</v>
      </c>
      <c r="F332">
        <f>VLOOKUP(A332,Classifications!$A:$E,5,FALSE)</f>
        <v>1</v>
      </c>
      <c r="G332">
        <f>VLOOKUP(A332,Classifications!$A:$F,6,FALSE)</f>
        <v>2</v>
      </c>
      <c r="H332">
        <f>VLOOKUP(A332,Classifications!$A:$G,7,FALSE)</f>
        <v>43</v>
      </c>
      <c r="I332" t="s">
        <v>11</v>
      </c>
      <c r="J332" s="2">
        <v>44230.370717592596</v>
      </c>
    </row>
    <row r="333" spans="1:10" ht="12.75" customHeight="1" x14ac:dyDescent="0.3">
      <c r="A333">
        <v>1357646</v>
      </c>
      <c r="B333" t="s">
        <v>157</v>
      </c>
      <c r="C333" t="s">
        <v>627</v>
      </c>
      <c r="D333" t="s">
        <v>928</v>
      </c>
      <c r="E333" s="1" t="s">
        <v>929</v>
      </c>
      <c r="F333">
        <f>VLOOKUP(A333,Classifications!$A:$E,5,FALSE)</f>
        <v>1</v>
      </c>
      <c r="G333">
        <f>VLOOKUP(A333,Classifications!$A:$F,6,FALSE)</f>
        <v>2</v>
      </c>
      <c r="H333">
        <f>VLOOKUP(A333,Classifications!$A:$G,7,FALSE)</f>
        <v>43</v>
      </c>
      <c r="I333" t="s">
        <v>24</v>
      </c>
      <c r="J333" s="2">
        <v>44230.367592592593</v>
      </c>
    </row>
    <row r="334" spans="1:10" ht="12.75" customHeight="1" x14ac:dyDescent="0.3">
      <c r="A334">
        <v>1357641</v>
      </c>
      <c r="B334" t="s">
        <v>431</v>
      </c>
      <c r="C334" t="s">
        <v>432</v>
      </c>
      <c r="D334" t="s">
        <v>930</v>
      </c>
      <c r="E334" s="1" t="s">
        <v>931</v>
      </c>
      <c r="F334">
        <f>VLOOKUP(A334,Classifications!$A:$E,5,FALSE)</f>
        <v>2</v>
      </c>
      <c r="G334">
        <f>VLOOKUP(A334,Classifications!$A:$F,6,FALSE)</f>
        <v>1</v>
      </c>
      <c r="H334">
        <f>VLOOKUP(A334,Classifications!$A:$G,7,FALSE)</f>
        <v>41</v>
      </c>
      <c r="I334" t="s">
        <v>11</v>
      </c>
      <c r="J334" s="2">
        <v>44230.354629629626</v>
      </c>
    </row>
    <row r="335" spans="1:10" ht="12.75" customHeight="1" x14ac:dyDescent="0.3">
      <c r="A335">
        <v>1357640</v>
      </c>
      <c r="B335" t="s">
        <v>16</v>
      </c>
      <c r="C335" t="s">
        <v>181</v>
      </c>
      <c r="D335" t="s">
        <v>932</v>
      </c>
      <c r="E335" s="1" t="s">
        <v>933</v>
      </c>
      <c r="F335">
        <f>VLOOKUP(A335,Classifications!$A:$E,5,FALSE)</f>
        <v>1</v>
      </c>
      <c r="G335">
        <f>VLOOKUP(A335,Classifications!$A:$F,6,FALSE)</f>
        <v>1</v>
      </c>
      <c r="H335">
        <f>VLOOKUP(A335,Classifications!$A:$G,7,FALSE)</f>
        <v>43</v>
      </c>
      <c r="I335" t="s">
        <v>11</v>
      </c>
      <c r="J335" s="2">
        <v>44230.353194444448</v>
      </c>
    </row>
    <row r="336" spans="1:10" ht="12.75" customHeight="1" x14ac:dyDescent="0.3">
      <c r="A336">
        <v>1357639</v>
      </c>
      <c r="B336" t="s">
        <v>934</v>
      </c>
      <c r="C336" t="s">
        <v>935</v>
      </c>
      <c r="D336" t="s">
        <v>936</v>
      </c>
      <c r="E336" t="s">
        <v>461</v>
      </c>
      <c r="F336">
        <f>VLOOKUP(A336,Classifications!$A:$E,5,FALSE)</f>
        <v>1</v>
      </c>
      <c r="G336">
        <f>VLOOKUP(A336,Classifications!$A:$F,6,FALSE)</f>
        <v>1</v>
      </c>
      <c r="H336">
        <f>VLOOKUP(A336,Classifications!$A:$G,7,FALSE)</f>
        <v>36</v>
      </c>
      <c r="I336" t="s">
        <v>462</v>
      </c>
      <c r="J336" s="2">
        <v>44230.350868055553</v>
      </c>
    </row>
    <row r="337" spans="1:10" ht="12.75" customHeight="1" x14ac:dyDescent="0.3">
      <c r="A337">
        <v>1357618</v>
      </c>
      <c r="B337" t="s">
        <v>435</v>
      </c>
      <c r="C337" t="s">
        <v>436</v>
      </c>
      <c r="D337">
        <v>1354861</v>
      </c>
      <c r="E337" s="1" t="s">
        <v>937</v>
      </c>
      <c r="F337">
        <f>VLOOKUP(A337,Classifications!$A:$E,5,FALSE)</f>
        <v>1</v>
      </c>
      <c r="G337">
        <f>VLOOKUP(A337,Classifications!$A:$F,6,FALSE)</f>
        <v>1</v>
      </c>
      <c r="H337">
        <f>VLOOKUP(A337,Classifications!$A:$G,7,FALSE)</f>
        <v>43</v>
      </c>
      <c r="I337" t="s">
        <v>11</v>
      </c>
      <c r="J337" s="2">
        <v>44230.326979166668</v>
      </c>
    </row>
    <row r="338" spans="1:10" ht="12.75" customHeight="1" x14ac:dyDescent="0.3">
      <c r="A338">
        <v>1357613</v>
      </c>
      <c r="B338" t="s">
        <v>25</v>
      </c>
      <c r="C338" t="s">
        <v>26</v>
      </c>
      <c r="D338" t="s">
        <v>938</v>
      </c>
      <c r="E338" s="1" t="s">
        <v>939</v>
      </c>
      <c r="F338">
        <f>VLOOKUP(A338,Classifications!$A:$E,5,FALSE)</f>
        <v>1</v>
      </c>
      <c r="G338">
        <f>VLOOKUP(A338,Classifications!$A:$F,6,FALSE)</f>
        <v>3</v>
      </c>
      <c r="H338">
        <f>VLOOKUP(A338,Classifications!$A:$G,7,FALSE)</f>
        <v>41</v>
      </c>
      <c r="I338" t="s">
        <v>11</v>
      </c>
      <c r="J338" s="2">
        <v>44230.317800925928</v>
      </c>
    </row>
    <row r="339" spans="1:10" ht="12.75" customHeight="1" x14ac:dyDescent="0.3">
      <c r="A339">
        <v>1357608</v>
      </c>
      <c r="B339" t="s">
        <v>32</v>
      </c>
      <c r="C339" t="s">
        <v>940</v>
      </c>
      <c r="D339" t="s">
        <v>941</v>
      </c>
      <c r="E339" s="1" t="s">
        <v>942</v>
      </c>
      <c r="F339">
        <f>VLOOKUP(A339,Classifications!$A:$E,5,FALSE)</f>
        <v>2</v>
      </c>
      <c r="G339">
        <f>VLOOKUP(A339,Classifications!$A:$F,6,FALSE)</f>
        <v>2</v>
      </c>
      <c r="H339">
        <f>VLOOKUP(A339,Classifications!$A:$G,7,FALSE)</f>
        <v>43</v>
      </c>
      <c r="I339" t="s">
        <v>11</v>
      </c>
      <c r="J339" s="2">
        <v>44230.284710648149</v>
      </c>
    </row>
    <row r="340" spans="1:10" ht="12.75" customHeight="1" x14ac:dyDescent="0.3">
      <c r="A340">
        <v>1357570</v>
      </c>
      <c r="B340" t="s">
        <v>32</v>
      </c>
      <c r="C340" t="s">
        <v>158</v>
      </c>
      <c r="D340" t="s">
        <v>943</v>
      </c>
      <c r="E340" s="1" t="s">
        <v>944</v>
      </c>
      <c r="F340">
        <f>VLOOKUP(A340,Classifications!$A:$E,5,FALSE)</f>
        <v>1</v>
      </c>
      <c r="G340">
        <f>VLOOKUP(A340,Classifications!$A:$F,6,FALSE)</f>
        <v>1</v>
      </c>
      <c r="H340">
        <f>VLOOKUP(A340,Classifications!$A:$G,7,FALSE)</f>
        <v>36</v>
      </c>
      <c r="I340" t="s">
        <v>11</v>
      </c>
      <c r="J340" s="2">
        <v>44230.132210648146</v>
      </c>
    </row>
    <row r="341" spans="1:10" ht="12.75" customHeight="1" x14ac:dyDescent="0.3">
      <c r="A341">
        <v>1357403</v>
      </c>
      <c r="B341" t="s">
        <v>177</v>
      </c>
      <c r="C341" t="s">
        <v>178</v>
      </c>
      <c r="D341" t="s">
        <v>945</v>
      </c>
      <c r="E341" s="1" t="s">
        <v>946</v>
      </c>
      <c r="F341">
        <f>VLOOKUP(A341,Classifications!$A:$E,5,FALSE)</f>
        <v>1</v>
      </c>
      <c r="G341">
        <f>VLOOKUP(A341,Classifications!$A:$F,6,FALSE)</f>
        <v>1</v>
      </c>
      <c r="H341">
        <f>VLOOKUP(A341,Classifications!$A:$G,7,FALSE)</f>
        <v>43</v>
      </c>
      <c r="I341" t="s">
        <v>11</v>
      </c>
      <c r="J341" s="2">
        <v>44229.888067129628</v>
      </c>
    </row>
    <row r="342" spans="1:10" ht="12.75" customHeight="1" x14ac:dyDescent="0.3">
      <c r="A342">
        <v>1357296</v>
      </c>
      <c r="B342" t="s">
        <v>36</v>
      </c>
      <c r="C342" t="s">
        <v>752</v>
      </c>
      <c r="D342" t="s">
        <v>947</v>
      </c>
      <c r="E342" s="1" t="s">
        <v>948</v>
      </c>
      <c r="F342">
        <f>VLOOKUP(A342,Classifications!$A:$E,5,FALSE)</f>
        <v>1</v>
      </c>
      <c r="G342">
        <f>VLOOKUP(A342,Classifications!$A:$F,6,FALSE)</f>
        <v>1</v>
      </c>
      <c r="H342">
        <f>VLOOKUP(A342,Classifications!$A:$G,7,FALSE)</f>
        <v>41</v>
      </c>
      <c r="I342" t="s">
        <v>24</v>
      </c>
      <c r="J342" s="2">
        <v>44229.728692129633</v>
      </c>
    </row>
    <row r="343" spans="1:10" ht="12.75" customHeight="1" x14ac:dyDescent="0.3">
      <c r="A343">
        <v>1357281</v>
      </c>
      <c r="B343" t="s">
        <v>74</v>
      </c>
      <c r="C343" t="s">
        <v>450</v>
      </c>
      <c r="D343" t="s">
        <v>949</v>
      </c>
      <c r="E343" s="1" t="s">
        <v>950</v>
      </c>
      <c r="F343">
        <f>VLOOKUP(A343,Classifications!$A:$E,5,FALSE)</f>
        <v>2</v>
      </c>
      <c r="G343">
        <f>VLOOKUP(A343,Classifications!$A:$F,6,FALSE)</f>
        <v>3</v>
      </c>
      <c r="H343">
        <f>VLOOKUP(A343,Classifications!$A:$G,7,FALSE)</f>
        <v>41</v>
      </c>
      <c r="I343" t="s">
        <v>11</v>
      </c>
      <c r="J343" s="2">
        <v>44229.707465277781</v>
      </c>
    </row>
    <row r="344" spans="1:10" ht="12.75" customHeight="1" x14ac:dyDescent="0.3">
      <c r="A344">
        <v>1357262</v>
      </c>
      <c r="B344" t="s">
        <v>553</v>
      </c>
      <c r="C344" t="s">
        <v>951</v>
      </c>
      <c r="D344" t="s">
        <v>952</v>
      </c>
      <c r="E344" s="1" t="s">
        <v>953</v>
      </c>
      <c r="F344">
        <f>VLOOKUP(A344,Classifications!$A:$E,5,FALSE)</f>
        <v>2</v>
      </c>
      <c r="G344">
        <f>VLOOKUP(A344,Classifications!$A:$F,6,FALSE)</f>
        <v>2</v>
      </c>
      <c r="H344">
        <f>VLOOKUP(A344,Classifications!$A:$G,7,FALSE)</f>
        <v>41</v>
      </c>
      <c r="I344" t="s">
        <v>11</v>
      </c>
      <c r="J344" s="2">
        <v>44229.663935185185</v>
      </c>
    </row>
    <row r="345" spans="1:10" ht="12.75" customHeight="1" x14ac:dyDescent="0.3">
      <c r="A345">
        <v>1357260</v>
      </c>
      <c r="B345" t="s">
        <v>91</v>
      </c>
      <c r="C345" t="s">
        <v>954</v>
      </c>
      <c r="D345" t="s">
        <v>955</v>
      </c>
      <c r="E345" s="1" t="s">
        <v>956</v>
      </c>
      <c r="F345">
        <f>VLOOKUP(A345,Classifications!$A:$E,5,FALSE)</f>
        <v>1</v>
      </c>
      <c r="G345">
        <f>VLOOKUP(A345,Classifications!$A:$F,6,FALSE)</f>
        <v>2</v>
      </c>
      <c r="H345">
        <f>VLOOKUP(A345,Classifications!$A:$G,7,FALSE)</f>
        <v>43</v>
      </c>
      <c r="I345" t="s">
        <v>11</v>
      </c>
      <c r="J345" s="2">
        <v>44229.659571759257</v>
      </c>
    </row>
    <row r="346" spans="1:10" ht="12.75" customHeight="1" x14ac:dyDescent="0.3">
      <c r="A346">
        <v>1357257</v>
      </c>
      <c r="B346" t="s">
        <v>477</v>
      </c>
      <c r="C346" t="s">
        <v>512</v>
      </c>
      <c r="D346">
        <v>1357256</v>
      </c>
      <c r="E346" s="1" t="s">
        <v>957</v>
      </c>
      <c r="F346">
        <f>VLOOKUP(A346,Classifications!$A:$E,5,FALSE)</f>
        <v>1</v>
      </c>
      <c r="G346">
        <f>VLOOKUP(A346,Classifications!$A:$F,6,FALSE)</f>
        <v>1</v>
      </c>
      <c r="H346">
        <f>VLOOKUP(A346,Classifications!$A:$G,7,FALSE)</f>
        <v>43</v>
      </c>
      <c r="I346" t="s">
        <v>11</v>
      </c>
      <c r="J346" s="2">
        <v>44229.654374999998</v>
      </c>
    </row>
    <row r="347" spans="1:10" ht="12.75" customHeight="1" x14ac:dyDescent="0.3">
      <c r="A347">
        <v>1357256</v>
      </c>
      <c r="B347" t="s">
        <v>477</v>
      </c>
      <c r="C347" t="s">
        <v>512</v>
      </c>
      <c r="D347" t="s">
        <v>958</v>
      </c>
      <c r="E347" s="1" t="s">
        <v>959</v>
      </c>
      <c r="F347">
        <f>VLOOKUP(A347,Classifications!$A:$E,5,FALSE)</f>
        <v>1</v>
      </c>
      <c r="G347">
        <f>VLOOKUP(A347,Classifications!$A:$F,6,FALSE)</f>
        <v>1</v>
      </c>
      <c r="H347">
        <f>VLOOKUP(A347,Classifications!$A:$G,7,FALSE)</f>
        <v>43</v>
      </c>
      <c r="I347" t="s">
        <v>11</v>
      </c>
      <c r="J347" s="2">
        <v>44229.653784722221</v>
      </c>
    </row>
    <row r="348" spans="1:10" ht="12.75" customHeight="1" x14ac:dyDescent="0.3">
      <c r="A348">
        <v>1357247</v>
      </c>
      <c r="B348" t="s">
        <v>74</v>
      </c>
      <c r="C348" t="s">
        <v>450</v>
      </c>
      <c r="D348" t="s">
        <v>960</v>
      </c>
      <c r="E348" s="1" t="s">
        <v>961</v>
      </c>
      <c r="F348">
        <f>VLOOKUP(A348,Classifications!$A:$E,5,FALSE)</f>
        <v>2</v>
      </c>
      <c r="G348">
        <f>VLOOKUP(A348,Classifications!$A:$F,6,FALSE)</f>
        <v>2</v>
      </c>
      <c r="H348">
        <f>VLOOKUP(A348,Classifications!$A:$G,7,FALSE)</f>
        <v>43</v>
      </c>
      <c r="I348" t="s">
        <v>11</v>
      </c>
      <c r="J348" s="2">
        <v>44229.636122685188</v>
      </c>
    </row>
    <row r="349" spans="1:10" ht="12.75" customHeight="1" x14ac:dyDescent="0.3">
      <c r="A349">
        <v>1357234</v>
      </c>
      <c r="B349" t="s">
        <v>70</v>
      </c>
      <c r="C349" t="s">
        <v>581</v>
      </c>
      <c r="D349" t="s">
        <v>962</v>
      </c>
      <c r="E349" s="1" t="s">
        <v>963</v>
      </c>
      <c r="F349">
        <f>VLOOKUP(A349,Classifications!$A:$E,5,FALSE)</f>
        <v>3</v>
      </c>
      <c r="G349">
        <f>VLOOKUP(A349,Classifications!$A:$F,6,FALSE)</f>
        <v>2</v>
      </c>
      <c r="H349">
        <f>VLOOKUP(A349,Classifications!$A:$G,7,FALSE)</f>
        <v>41</v>
      </c>
      <c r="I349" t="s">
        <v>11</v>
      </c>
      <c r="J349" s="2">
        <v>44229.623506944445</v>
      </c>
    </row>
    <row r="350" spans="1:10" ht="12.75" customHeight="1" x14ac:dyDescent="0.3">
      <c r="A350">
        <v>1357227</v>
      </c>
      <c r="B350" t="s">
        <v>70</v>
      </c>
      <c r="C350" t="s">
        <v>369</v>
      </c>
      <c r="D350" t="s">
        <v>964</v>
      </c>
      <c r="E350" s="1" t="s">
        <v>965</v>
      </c>
      <c r="F350">
        <f>VLOOKUP(A350,Classifications!$A:$E,5,FALSE)</f>
        <v>1</v>
      </c>
      <c r="G350">
        <f>VLOOKUP(A350,Classifications!$A:$F,6,FALSE)</f>
        <v>3</v>
      </c>
      <c r="H350">
        <f>VLOOKUP(A350,Classifications!$A:$G,7,FALSE)</f>
        <v>43</v>
      </c>
      <c r="I350" t="s">
        <v>11</v>
      </c>
      <c r="J350" s="2">
        <v>44229.615856481483</v>
      </c>
    </row>
    <row r="351" spans="1:10" ht="12.75" customHeight="1" x14ac:dyDescent="0.3">
      <c r="A351">
        <v>1357224</v>
      </c>
      <c r="B351" t="s">
        <v>350</v>
      </c>
      <c r="C351" t="s">
        <v>351</v>
      </c>
      <c r="D351" t="s">
        <v>966</v>
      </c>
      <c r="E351" s="1" t="s">
        <v>967</v>
      </c>
      <c r="F351">
        <f>VLOOKUP(A351,Classifications!$A:$E,5,FALSE)</f>
        <v>2</v>
      </c>
      <c r="G351">
        <f>VLOOKUP(A351,Classifications!$A:$F,6,FALSE)</f>
        <v>3</v>
      </c>
      <c r="H351">
        <f>VLOOKUP(A351,Classifications!$A:$G,7,FALSE)</f>
        <v>41</v>
      </c>
      <c r="I351" t="s">
        <v>24</v>
      </c>
      <c r="J351" s="2">
        <v>44229.612534722219</v>
      </c>
    </row>
    <row r="352" spans="1:10" ht="12.75" customHeight="1" x14ac:dyDescent="0.3">
      <c r="A352">
        <v>1357220</v>
      </c>
      <c r="B352" t="s">
        <v>20</v>
      </c>
      <c r="C352" t="s">
        <v>136</v>
      </c>
      <c r="D352" t="s">
        <v>968</v>
      </c>
      <c r="E352" s="1" t="s">
        <v>969</v>
      </c>
      <c r="F352">
        <f>VLOOKUP(A352,Classifications!$A:$E,5,FALSE)</f>
        <v>1</v>
      </c>
      <c r="G352">
        <f>VLOOKUP(A352,Classifications!$A:$F,6,FALSE)</f>
        <v>1</v>
      </c>
      <c r="H352">
        <f>VLOOKUP(A352,Classifications!$A:$G,7,FALSE)</f>
        <v>36</v>
      </c>
      <c r="I352" t="s">
        <v>11</v>
      </c>
      <c r="J352" s="2">
        <v>44229.60665509259</v>
      </c>
    </row>
    <row r="353" spans="1:10" ht="12.75" customHeight="1" x14ac:dyDescent="0.3">
      <c r="A353">
        <v>1357211</v>
      </c>
      <c r="B353" t="s">
        <v>20</v>
      </c>
      <c r="C353" t="s">
        <v>136</v>
      </c>
      <c r="D353" t="s">
        <v>970</v>
      </c>
      <c r="E353" s="1" t="s">
        <v>971</v>
      </c>
      <c r="F353">
        <f>VLOOKUP(A353,Classifications!$A:$E,5,FALSE)</f>
        <v>1</v>
      </c>
      <c r="G353">
        <f>VLOOKUP(A353,Classifications!$A:$F,6,FALSE)</f>
        <v>1</v>
      </c>
      <c r="H353">
        <f>VLOOKUP(A353,Classifications!$A:$G,7,FALSE)</f>
        <v>43</v>
      </c>
      <c r="I353" t="s">
        <v>11</v>
      </c>
      <c r="J353" s="2">
        <v>44229.594583333332</v>
      </c>
    </row>
    <row r="354" spans="1:10" ht="12.75" customHeight="1" x14ac:dyDescent="0.3">
      <c r="A354">
        <v>1357201</v>
      </c>
      <c r="B354" t="s">
        <v>184</v>
      </c>
      <c r="D354" t="s">
        <v>972</v>
      </c>
      <c r="E354" s="1" t="s">
        <v>973</v>
      </c>
      <c r="F354">
        <f>VLOOKUP(A354,Classifications!$A:$E,5,FALSE)</f>
        <v>1</v>
      </c>
      <c r="G354">
        <f>VLOOKUP(A354,Classifications!$A:$F,6,FALSE)</f>
        <v>2</v>
      </c>
      <c r="H354">
        <f>VLOOKUP(A354,Classifications!$A:$G,7,FALSE)</f>
        <v>43</v>
      </c>
      <c r="I354" t="s">
        <v>11</v>
      </c>
      <c r="J354" s="2">
        <v>44229.575462962966</v>
      </c>
    </row>
    <row r="355" spans="1:10" ht="12.75" customHeight="1" x14ac:dyDescent="0.3">
      <c r="A355">
        <v>1357199</v>
      </c>
      <c r="B355" t="s">
        <v>36</v>
      </c>
      <c r="C355" t="s">
        <v>974</v>
      </c>
      <c r="D355" t="s">
        <v>975</v>
      </c>
      <c r="E355" s="1" t="s">
        <v>976</v>
      </c>
      <c r="F355">
        <f>VLOOKUP(A355,Classifications!$A:$E,5,FALSE)</f>
        <v>1</v>
      </c>
      <c r="G355">
        <f>VLOOKUP(A355,Classifications!$A:$F,6,FALSE)</f>
        <v>2</v>
      </c>
      <c r="H355">
        <f>VLOOKUP(A355,Classifications!$A:$G,7,FALSE)</f>
        <v>43</v>
      </c>
      <c r="I355" t="s">
        <v>24</v>
      </c>
      <c r="J355" s="2">
        <v>44229.572708333333</v>
      </c>
    </row>
    <row r="356" spans="1:10" ht="12.75" customHeight="1" x14ac:dyDescent="0.3">
      <c r="A356">
        <v>1357198</v>
      </c>
      <c r="B356" t="s">
        <v>230</v>
      </c>
      <c r="C356" t="s">
        <v>977</v>
      </c>
      <c r="D356" t="s">
        <v>978</v>
      </c>
      <c r="E356" s="1" t="s">
        <v>979</v>
      </c>
      <c r="F356">
        <f>VLOOKUP(A356,Classifications!$A:$E,5,FALSE)</f>
        <v>1</v>
      </c>
      <c r="G356">
        <f>VLOOKUP(A356,Classifications!$A:$F,6,FALSE)</f>
        <v>1</v>
      </c>
      <c r="H356">
        <f>VLOOKUP(A356,Classifications!$A:$G,7,FALSE)</f>
        <v>36</v>
      </c>
      <c r="I356" t="s">
        <v>24</v>
      </c>
      <c r="J356" s="2">
        <v>44229.57</v>
      </c>
    </row>
    <row r="357" spans="1:10" ht="12.75" customHeight="1" x14ac:dyDescent="0.3">
      <c r="A357">
        <v>1357192</v>
      </c>
      <c r="B357" t="s">
        <v>503</v>
      </c>
      <c r="D357" t="s">
        <v>980</v>
      </c>
      <c r="E357" s="1" t="s">
        <v>981</v>
      </c>
      <c r="F357">
        <f>VLOOKUP(A357,Classifications!$A:$E,5,FALSE)</f>
        <v>1</v>
      </c>
      <c r="G357">
        <f>VLOOKUP(A357,Classifications!$A:$F,6,FALSE)</f>
        <v>1</v>
      </c>
      <c r="H357">
        <f>VLOOKUP(A357,Classifications!$A:$G,7,FALSE)</f>
        <v>36</v>
      </c>
      <c r="I357" t="s">
        <v>11</v>
      </c>
      <c r="J357" s="2">
        <v>44229.558032407411</v>
      </c>
    </row>
    <row r="358" spans="1:10" ht="12.75" customHeight="1" x14ac:dyDescent="0.3">
      <c r="A358">
        <v>1357189</v>
      </c>
      <c r="B358" t="s">
        <v>982</v>
      </c>
      <c r="C358" t="s">
        <v>983</v>
      </c>
      <c r="D358" t="s">
        <v>984</v>
      </c>
      <c r="E358" s="1" t="s">
        <v>985</v>
      </c>
      <c r="F358">
        <f>VLOOKUP(A358,Classifications!$A:$E,5,FALSE)</f>
        <v>1</v>
      </c>
      <c r="G358">
        <f>VLOOKUP(A358,Classifications!$A:$F,6,FALSE)</f>
        <v>2</v>
      </c>
      <c r="H358">
        <f>VLOOKUP(A358,Classifications!$A:$G,7,FALSE)</f>
        <v>41</v>
      </c>
      <c r="I358" t="s">
        <v>11</v>
      </c>
      <c r="J358" s="2">
        <v>44229.55709490741</v>
      </c>
    </row>
    <row r="359" spans="1:10" ht="12.75" customHeight="1" x14ac:dyDescent="0.3">
      <c r="A359">
        <v>1357187</v>
      </c>
      <c r="B359" t="s">
        <v>16</v>
      </c>
      <c r="C359" t="s">
        <v>986</v>
      </c>
      <c r="D359" t="s">
        <v>987</v>
      </c>
      <c r="E359" s="1" t="s">
        <v>988</v>
      </c>
      <c r="F359">
        <f>VLOOKUP(A359,Classifications!$A:$E,5,FALSE)</f>
        <v>1</v>
      </c>
      <c r="G359">
        <f>VLOOKUP(A359,Classifications!$A:$F,6,FALSE)</f>
        <v>2</v>
      </c>
      <c r="H359">
        <f>VLOOKUP(A359,Classifications!$A:$G,7,FALSE)</f>
        <v>43</v>
      </c>
      <c r="I359" t="s">
        <v>11</v>
      </c>
      <c r="J359" s="2">
        <v>44229.555046296293</v>
      </c>
    </row>
    <row r="360" spans="1:10" ht="12.75" customHeight="1" x14ac:dyDescent="0.3">
      <c r="A360">
        <v>1357185</v>
      </c>
      <c r="B360" t="s">
        <v>36</v>
      </c>
      <c r="C360" t="s">
        <v>989</v>
      </c>
      <c r="D360" t="s">
        <v>990</v>
      </c>
      <c r="E360" s="1" t="s">
        <v>991</v>
      </c>
      <c r="F360">
        <f>VLOOKUP(A360,Classifications!$A:$E,5,FALSE)</f>
        <v>1</v>
      </c>
      <c r="G360">
        <f>VLOOKUP(A360,Classifications!$A:$F,6,FALSE)</f>
        <v>1</v>
      </c>
      <c r="H360">
        <f>VLOOKUP(A360,Classifications!$A:$G,7,FALSE)</f>
        <v>41</v>
      </c>
      <c r="I360" t="s">
        <v>24</v>
      </c>
      <c r="J360" s="2">
        <v>44229.548298611109</v>
      </c>
    </row>
    <row r="361" spans="1:10" ht="12.75" customHeight="1" x14ac:dyDescent="0.3">
      <c r="A361">
        <v>1357178</v>
      </c>
      <c r="B361" t="s">
        <v>36</v>
      </c>
      <c r="C361" t="s">
        <v>765</v>
      </c>
      <c r="D361">
        <v>1356994</v>
      </c>
      <c r="E361" s="1" t="s">
        <v>992</v>
      </c>
      <c r="F361">
        <f>VLOOKUP(A361,Classifications!$A:$E,5,FALSE)</f>
        <v>1</v>
      </c>
      <c r="G361">
        <f>VLOOKUP(A361,Classifications!$A:$F,6,FALSE)</f>
        <v>1</v>
      </c>
      <c r="H361">
        <f>VLOOKUP(A361,Classifications!$A:$G,7,FALSE)</f>
        <v>41</v>
      </c>
      <c r="I361" t="s">
        <v>11</v>
      </c>
      <c r="J361" s="2">
        <v>44229.535451388889</v>
      </c>
    </row>
    <row r="362" spans="1:10" ht="12.75" customHeight="1" x14ac:dyDescent="0.3">
      <c r="A362">
        <v>1357175</v>
      </c>
      <c r="B362" t="s">
        <v>290</v>
      </c>
      <c r="C362" t="s">
        <v>308</v>
      </c>
      <c r="D362" t="s">
        <v>993</v>
      </c>
      <c r="E362" s="1" t="s">
        <v>994</v>
      </c>
      <c r="F362">
        <f>VLOOKUP(A362,Classifications!$A:$E,5,FALSE)</f>
        <v>3</v>
      </c>
      <c r="G362">
        <f>VLOOKUP(A362,Classifications!$A:$F,6,FALSE)</f>
        <v>3</v>
      </c>
      <c r="H362">
        <f>VLOOKUP(A362,Classifications!$A:$G,7,FALSE)</f>
        <v>43</v>
      </c>
      <c r="I362" t="s">
        <v>11</v>
      </c>
      <c r="J362" s="2">
        <v>44229.53020833333</v>
      </c>
    </row>
    <row r="363" spans="1:10" ht="12.75" customHeight="1" x14ac:dyDescent="0.3">
      <c r="A363">
        <v>1357172</v>
      </c>
      <c r="B363" t="s">
        <v>118</v>
      </c>
      <c r="C363" t="s">
        <v>200</v>
      </c>
      <c r="D363" t="s">
        <v>995</v>
      </c>
      <c r="E363" s="1" t="s">
        <v>996</v>
      </c>
      <c r="F363">
        <f>VLOOKUP(A363,Classifications!$A:$E,5,FALSE)</f>
        <v>1</v>
      </c>
      <c r="G363">
        <f>VLOOKUP(A363,Classifications!$A:$F,6,FALSE)</f>
        <v>1</v>
      </c>
      <c r="H363">
        <f>VLOOKUP(A363,Classifications!$A:$G,7,FALSE)</f>
        <v>36</v>
      </c>
      <c r="I363" t="s">
        <v>11</v>
      </c>
      <c r="J363" s="2">
        <v>44229.522349537037</v>
      </c>
    </row>
    <row r="364" spans="1:10" ht="12.75" customHeight="1" x14ac:dyDescent="0.3">
      <c r="A364">
        <v>1357167</v>
      </c>
      <c r="B364" t="s">
        <v>87</v>
      </c>
      <c r="C364" t="s">
        <v>997</v>
      </c>
      <c r="D364" t="s">
        <v>998</v>
      </c>
      <c r="E364" s="1" t="s">
        <v>999</v>
      </c>
      <c r="F364">
        <f>VLOOKUP(A364,Classifications!$A:$E,5,FALSE)</f>
        <v>1</v>
      </c>
      <c r="G364">
        <f>VLOOKUP(A364,Classifications!$A:$F,6,FALSE)</f>
        <v>2</v>
      </c>
      <c r="H364">
        <f>VLOOKUP(A364,Classifications!$A:$G,7,FALSE)</f>
        <v>43</v>
      </c>
      <c r="I364" t="s">
        <v>11</v>
      </c>
      <c r="J364" s="2">
        <v>44229.50984953704</v>
      </c>
    </row>
    <row r="365" spans="1:10" ht="12.75" customHeight="1" x14ac:dyDescent="0.3">
      <c r="A365">
        <v>1357153</v>
      </c>
      <c r="B365" t="s">
        <v>16</v>
      </c>
      <c r="C365" t="s">
        <v>1000</v>
      </c>
      <c r="D365" t="s">
        <v>1001</v>
      </c>
      <c r="E365" s="1" t="s">
        <v>1002</v>
      </c>
      <c r="F365">
        <f>VLOOKUP(A365,Classifications!$A:$E,5,FALSE)</f>
        <v>2</v>
      </c>
      <c r="G365">
        <f>VLOOKUP(A365,Classifications!$A:$F,6,FALSE)</f>
        <v>2</v>
      </c>
      <c r="H365">
        <f>VLOOKUP(A365,Classifications!$A:$G,7,FALSE)</f>
        <v>43</v>
      </c>
      <c r="I365" t="s">
        <v>11</v>
      </c>
      <c r="J365" s="2">
        <v>44229.490532407406</v>
      </c>
    </row>
    <row r="366" spans="1:10" ht="12.75" customHeight="1" x14ac:dyDescent="0.3">
      <c r="A366">
        <v>1357151</v>
      </c>
      <c r="B366" t="s">
        <v>36</v>
      </c>
      <c r="C366" t="s">
        <v>989</v>
      </c>
      <c r="D366" t="s">
        <v>1003</v>
      </c>
      <c r="E366" s="1" t="s">
        <v>1004</v>
      </c>
      <c r="F366">
        <f>VLOOKUP(A366,Classifications!$A:$E,5,FALSE)</f>
        <v>1</v>
      </c>
      <c r="G366">
        <f>VLOOKUP(A366,Classifications!$A:$F,6,FALSE)</f>
        <v>2</v>
      </c>
      <c r="H366">
        <f>VLOOKUP(A366,Classifications!$A:$G,7,FALSE)</f>
        <v>43</v>
      </c>
      <c r="I366" t="s">
        <v>11</v>
      </c>
      <c r="J366" s="2">
        <v>44229.489791666667</v>
      </c>
    </row>
    <row r="367" spans="1:10" ht="12.75" customHeight="1" x14ac:dyDescent="0.3">
      <c r="A367">
        <v>1357138</v>
      </c>
      <c r="B367" t="s">
        <v>473</v>
      </c>
      <c r="C367" t="s">
        <v>1005</v>
      </c>
      <c r="D367" t="s">
        <v>1006</v>
      </c>
      <c r="E367" s="1" t="s">
        <v>1007</v>
      </c>
      <c r="F367">
        <f>VLOOKUP(A367,Classifications!$A:$E,5,FALSE)</f>
        <v>1</v>
      </c>
      <c r="G367">
        <f>VLOOKUP(A367,Classifications!$A:$F,6,FALSE)</f>
        <v>1</v>
      </c>
      <c r="H367">
        <f>VLOOKUP(A367,Classifications!$A:$G,7,FALSE)</f>
        <v>41</v>
      </c>
      <c r="I367" t="s">
        <v>11</v>
      </c>
      <c r="J367" s="2">
        <v>44229.466226851851</v>
      </c>
    </row>
    <row r="368" spans="1:10" ht="12.75" customHeight="1" x14ac:dyDescent="0.3">
      <c r="A368">
        <v>1357134</v>
      </c>
      <c r="B368" t="s">
        <v>226</v>
      </c>
      <c r="C368" t="s">
        <v>1008</v>
      </c>
      <c r="D368" t="s">
        <v>1009</v>
      </c>
      <c r="E368" t="s">
        <v>461</v>
      </c>
      <c r="F368">
        <f>VLOOKUP(A368,Classifications!$A:$E,5,FALSE)</f>
        <v>1</v>
      </c>
      <c r="G368">
        <f>VLOOKUP(A368,Classifications!$A:$F,6,FALSE)</f>
        <v>1</v>
      </c>
      <c r="H368">
        <f>VLOOKUP(A368,Classifications!$A:$G,7,FALSE)</f>
        <v>36</v>
      </c>
      <c r="I368" t="s">
        <v>462</v>
      </c>
      <c r="J368" s="2">
        <v>44229.46020833333</v>
      </c>
    </row>
    <row r="369" spans="1:10" ht="12.75" customHeight="1" x14ac:dyDescent="0.3">
      <c r="A369">
        <v>1357133</v>
      </c>
      <c r="B369" t="s">
        <v>1010</v>
      </c>
      <c r="C369" t="s">
        <v>1011</v>
      </c>
      <c r="D369" t="s">
        <v>1012</v>
      </c>
      <c r="E369" t="s">
        <v>461</v>
      </c>
      <c r="F369">
        <f>VLOOKUP(A369,Classifications!$A:$E,5,FALSE)</f>
        <v>1</v>
      </c>
      <c r="G369">
        <f>VLOOKUP(A369,Classifications!$A:$F,6,FALSE)</f>
        <v>1</v>
      </c>
      <c r="H369">
        <f>VLOOKUP(A369,Classifications!$A:$G,7,FALSE)</f>
        <v>36</v>
      </c>
      <c r="I369" t="s">
        <v>462</v>
      </c>
      <c r="J369" s="2">
        <v>44229.460196759261</v>
      </c>
    </row>
    <row r="370" spans="1:10" ht="12.75" customHeight="1" x14ac:dyDescent="0.3">
      <c r="A370">
        <v>1357132</v>
      </c>
      <c r="B370" t="s">
        <v>1013</v>
      </c>
      <c r="C370" t="s">
        <v>1014</v>
      </c>
      <c r="D370" t="s">
        <v>1015</v>
      </c>
      <c r="E370" t="s">
        <v>461</v>
      </c>
      <c r="F370">
        <f>VLOOKUP(A370,Classifications!$A:$E,5,FALSE)</f>
        <v>1</v>
      </c>
      <c r="G370">
        <f>VLOOKUP(A370,Classifications!$A:$F,6,FALSE)</f>
        <v>1</v>
      </c>
      <c r="H370">
        <f>VLOOKUP(A370,Classifications!$A:$G,7,FALSE)</f>
        <v>36</v>
      </c>
      <c r="I370" t="s">
        <v>462</v>
      </c>
      <c r="J370" s="2">
        <v>44229.460185185184</v>
      </c>
    </row>
    <row r="371" spans="1:10" ht="12.75" customHeight="1" x14ac:dyDescent="0.3">
      <c r="A371">
        <v>1357131</v>
      </c>
      <c r="B371" t="s">
        <v>1016</v>
      </c>
      <c r="C371" t="s">
        <v>1017</v>
      </c>
      <c r="D371" t="s">
        <v>1018</v>
      </c>
      <c r="E371" t="s">
        <v>461</v>
      </c>
      <c r="F371">
        <f>VLOOKUP(A371,Classifications!$A:$E,5,FALSE)</f>
        <v>1</v>
      </c>
      <c r="G371">
        <f>VLOOKUP(A371,Classifications!$A:$F,6,FALSE)</f>
        <v>1</v>
      </c>
      <c r="H371">
        <f>VLOOKUP(A371,Classifications!$A:$G,7,FALSE)</f>
        <v>36</v>
      </c>
      <c r="I371" t="s">
        <v>462</v>
      </c>
      <c r="J371" s="2">
        <v>44229.460173611114</v>
      </c>
    </row>
    <row r="372" spans="1:10" ht="12.75" customHeight="1" x14ac:dyDescent="0.3">
      <c r="A372">
        <v>1357130</v>
      </c>
      <c r="B372" t="s">
        <v>191</v>
      </c>
      <c r="C372" t="s">
        <v>192</v>
      </c>
      <c r="D372" t="s">
        <v>1019</v>
      </c>
      <c r="E372" t="s">
        <v>461</v>
      </c>
      <c r="F372">
        <f>VLOOKUP(A372,Classifications!$A:$E,5,FALSE)</f>
        <v>1</v>
      </c>
      <c r="G372">
        <f>VLOOKUP(A372,Classifications!$A:$F,6,FALSE)</f>
        <v>1</v>
      </c>
      <c r="H372">
        <f>VLOOKUP(A372,Classifications!$A:$G,7,FALSE)</f>
        <v>36</v>
      </c>
      <c r="I372" t="s">
        <v>462</v>
      </c>
      <c r="J372" s="2">
        <v>44229.460162037038</v>
      </c>
    </row>
    <row r="373" spans="1:10" ht="12.75" customHeight="1" x14ac:dyDescent="0.3">
      <c r="A373">
        <v>1357129</v>
      </c>
      <c r="B373" t="s">
        <v>281</v>
      </c>
      <c r="C373" t="s">
        <v>282</v>
      </c>
      <c r="D373" t="s">
        <v>1020</v>
      </c>
      <c r="E373" t="s">
        <v>461</v>
      </c>
      <c r="F373">
        <f>VLOOKUP(A373,Classifications!$A:$E,5,FALSE)</f>
        <v>1</v>
      </c>
      <c r="G373">
        <f>VLOOKUP(A373,Classifications!$A:$F,6,FALSE)</f>
        <v>1</v>
      </c>
      <c r="H373">
        <f>VLOOKUP(A373,Classifications!$A:$G,7,FALSE)</f>
        <v>36</v>
      </c>
      <c r="I373" t="s">
        <v>462</v>
      </c>
      <c r="J373" s="2">
        <v>44229.460162037038</v>
      </c>
    </row>
    <row r="374" spans="1:10" ht="12.75" customHeight="1" x14ac:dyDescent="0.3">
      <c r="A374">
        <v>1357128</v>
      </c>
      <c r="B374" t="s">
        <v>1021</v>
      </c>
      <c r="C374" t="s">
        <v>1022</v>
      </c>
      <c r="D374" t="s">
        <v>1023</v>
      </c>
      <c r="E374" t="s">
        <v>461</v>
      </c>
      <c r="F374">
        <f>VLOOKUP(A374,Classifications!$A:$E,5,FALSE)</f>
        <v>1</v>
      </c>
      <c r="G374">
        <f>VLOOKUP(A374,Classifications!$A:$F,6,FALSE)</f>
        <v>1</v>
      </c>
      <c r="H374">
        <f>VLOOKUP(A374,Classifications!$A:$G,7,FALSE)</f>
        <v>36</v>
      </c>
      <c r="I374" t="s">
        <v>462</v>
      </c>
      <c r="J374" s="2">
        <v>44229.460150462961</v>
      </c>
    </row>
    <row r="375" spans="1:10" ht="12.75" customHeight="1" x14ac:dyDescent="0.3">
      <c r="A375">
        <v>1357127</v>
      </c>
      <c r="B375" t="s">
        <v>7</v>
      </c>
      <c r="C375" t="s">
        <v>107</v>
      </c>
      <c r="D375" t="s">
        <v>1024</v>
      </c>
      <c r="E375" t="s">
        <v>461</v>
      </c>
      <c r="F375">
        <f>VLOOKUP(A375,Classifications!$A:$E,5,FALSE)</f>
        <v>1</v>
      </c>
      <c r="G375">
        <f>VLOOKUP(A375,Classifications!$A:$F,6,FALSE)</f>
        <v>1</v>
      </c>
      <c r="H375">
        <f>VLOOKUP(A375,Classifications!$A:$G,7,FALSE)</f>
        <v>36</v>
      </c>
      <c r="I375" t="s">
        <v>462</v>
      </c>
      <c r="J375" s="2">
        <v>44229.460138888891</v>
      </c>
    </row>
    <row r="376" spans="1:10" ht="12.75" customHeight="1" x14ac:dyDescent="0.3">
      <c r="A376">
        <v>1357126</v>
      </c>
      <c r="B376" t="s">
        <v>1025</v>
      </c>
      <c r="C376" t="s">
        <v>1026</v>
      </c>
      <c r="D376" t="s">
        <v>1019</v>
      </c>
      <c r="E376" t="s">
        <v>461</v>
      </c>
      <c r="F376">
        <f>VLOOKUP(A376,Classifications!$A:$E,5,FALSE)</f>
        <v>1</v>
      </c>
      <c r="G376">
        <f>VLOOKUP(A376,Classifications!$A:$F,6,FALSE)</f>
        <v>1</v>
      </c>
      <c r="H376">
        <f>VLOOKUP(A376,Classifications!$A:$G,7,FALSE)</f>
        <v>36</v>
      </c>
      <c r="I376" t="s">
        <v>462</v>
      </c>
      <c r="J376" s="2">
        <v>44229.460127314815</v>
      </c>
    </row>
    <row r="377" spans="1:10" ht="12.75" customHeight="1" x14ac:dyDescent="0.3">
      <c r="A377">
        <v>1357125</v>
      </c>
      <c r="B377" t="s">
        <v>218</v>
      </c>
      <c r="C377" t="s">
        <v>1027</v>
      </c>
      <c r="D377" t="s">
        <v>1028</v>
      </c>
      <c r="E377" t="s">
        <v>461</v>
      </c>
      <c r="F377">
        <f>VLOOKUP(A377,Classifications!$A:$E,5,FALSE)</f>
        <v>1</v>
      </c>
      <c r="G377">
        <f>VLOOKUP(A377,Classifications!$A:$F,6,FALSE)</f>
        <v>1</v>
      </c>
      <c r="H377">
        <f>VLOOKUP(A377,Classifications!$A:$G,7,FALSE)</f>
        <v>36</v>
      </c>
      <c r="I377" t="s">
        <v>462</v>
      </c>
      <c r="J377" s="2">
        <v>44229.460127314815</v>
      </c>
    </row>
    <row r="378" spans="1:10" ht="12.75" customHeight="1" x14ac:dyDescent="0.3">
      <c r="A378">
        <v>1357124</v>
      </c>
      <c r="B378" t="s">
        <v>1029</v>
      </c>
      <c r="C378" t="s">
        <v>1030</v>
      </c>
      <c r="D378" t="s">
        <v>1018</v>
      </c>
      <c r="E378" t="s">
        <v>461</v>
      </c>
      <c r="F378">
        <f>VLOOKUP(A378,Classifications!$A:$E,5,FALSE)</f>
        <v>1</v>
      </c>
      <c r="G378">
        <f>VLOOKUP(A378,Classifications!$A:$F,6,FALSE)</f>
        <v>1</v>
      </c>
      <c r="H378">
        <f>VLOOKUP(A378,Classifications!$A:$G,7,FALSE)</f>
        <v>36</v>
      </c>
      <c r="I378" t="s">
        <v>462</v>
      </c>
      <c r="J378" s="2">
        <v>44229.460115740738</v>
      </c>
    </row>
    <row r="379" spans="1:10" ht="12.75" customHeight="1" x14ac:dyDescent="0.3">
      <c r="A379">
        <v>1357123</v>
      </c>
      <c r="B379" t="s">
        <v>32</v>
      </c>
      <c r="C379" t="s">
        <v>463</v>
      </c>
      <c r="D379" t="s">
        <v>1031</v>
      </c>
      <c r="E379" t="s">
        <v>461</v>
      </c>
      <c r="F379">
        <f>VLOOKUP(A379,Classifications!$A:$E,5,FALSE)</f>
        <v>1</v>
      </c>
      <c r="G379">
        <f>VLOOKUP(A379,Classifications!$A:$F,6,FALSE)</f>
        <v>1</v>
      </c>
      <c r="H379">
        <f>VLOOKUP(A379,Classifications!$A:$G,7,FALSE)</f>
        <v>36</v>
      </c>
      <c r="I379" t="s">
        <v>462</v>
      </c>
      <c r="J379" s="2">
        <v>44229.460092592592</v>
      </c>
    </row>
    <row r="380" spans="1:10" ht="12.75" customHeight="1" x14ac:dyDescent="0.3">
      <c r="A380">
        <v>1357122</v>
      </c>
      <c r="B380" t="s">
        <v>1032</v>
      </c>
      <c r="C380" t="s">
        <v>1033</v>
      </c>
      <c r="D380" t="s">
        <v>1034</v>
      </c>
      <c r="E380" t="s">
        <v>461</v>
      </c>
      <c r="F380">
        <f>VLOOKUP(A380,Classifications!$A:$E,5,FALSE)</f>
        <v>1</v>
      </c>
      <c r="G380">
        <f>VLOOKUP(A380,Classifications!$A:$F,6,FALSE)</f>
        <v>1</v>
      </c>
      <c r="H380">
        <f>VLOOKUP(A380,Classifications!$A:$G,7,FALSE)</f>
        <v>36</v>
      </c>
      <c r="I380" t="s">
        <v>462</v>
      </c>
      <c r="J380" s="2">
        <v>44229.460081018522</v>
      </c>
    </row>
    <row r="381" spans="1:10" ht="12.75" customHeight="1" x14ac:dyDescent="0.3">
      <c r="A381">
        <v>1357121</v>
      </c>
      <c r="B381" t="s">
        <v>1035</v>
      </c>
      <c r="C381" t="s">
        <v>1036</v>
      </c>
      <c r="D381" t="s">
        <v>1037</v>
      </c>
      <c r="E381" t="s">
        <v>461</v>
      </c>
      <c r="F381">
        <f>VLOOKUP(A381,Classifications!$A:$E,5,FALSE)</f>
        <v>1</v>
      </c>
      <c r="G381">
        <f>VLOOKUP(A381,Classifications!$A:$F,6,FALSE)</f>
        <v>1</v>
      </c>
      <c r="H381">
        <f>VLOOKUP(A381,Classifications!$A:$G,7,FALSE)</f>
        <v>36</v>
      </c>
      <c r="I381" t="s">
        <v>462</v>
      </c>
      <c r="J381" s="2">
        <v>44229.460069444445</v>
      </c>
    </row>
    <row r="382" spans="1:10" ht="12.75" customHeight="1" x14ac:dyDescent="0.3">
      <c r="A382">
        <v>1357120</v>
      </c>
      <c r="B382" t="s">
        <v>1038</v>
      </c>
      <c r="C382" t="s">
        <v>1039</v>
      </c>
      <c r="D382" t="s">
        <v>1040</v>
      </c>
      <c r="E382" t="s">
        <v>461</v>
      </c>
      <c r="F382">
        <f>VLOOKUP(A382,Classifications!$A:$E,5,FALSE)</f>
        <v>1</v>
      </c>
      <c r="G382">
        <f>VLOOKUP(A382,Classifications!$A:$F,6,FALSE)</f>
        <v>1</v>
      </c>
      <c r="H382">
        <f>VLOOKUP(A382,Classifications!$A:$G,7,FALSE)</f>
        <v>36</v>
      </c>
      <c r="I382" t="s">
        <v>462</v>
      </c>
      <c r="J382" s="2">
        <v>44229.460069444445</v>
      </c>
    </row>
    <row r="383" spans="1:10" ht="12.75" customHeight="1" x14ac:dyDescent="0.3">
      <c r="A383">
        <v>1357119</v>
      </c>
      <c r="B383" t="s">
        <v>749</v>
      </c>
      <c r="C383" t="s">
        <v>1041</v>
      </c>
      <c r="D383" t="s">
        <v>1042</v>
      </c>
      <c r="E383" t="s">
        <v>461</v>
      </c>
      <c r="F383">
        <f>VLOOKUP(A383,Classifications!$A:$E,5,FALSE)</f>
        <v>1</v>
      </c>
      <c r="G383">
        <f>VLOOKUP(A383,Classifications!$A:$F,6,FALSE)</f>
        <v>1</v>
      </c>
      <c r="H383">
        <f>VLOOKUP(A383,Classifications!$A:$G,7,FALSE)</f>
        <v>36</v>
      </c>
      <c r="I383" t="s">
        <v>462</v>
      </c>
      <c r="J383" s="2">
        <v>44229.460046296299</v>
      </c>
    </row>
    <row r="384" spans="1:10" ht="12.75" customHeight="1" x14ac:dyDescent="0.3">
      <c r="A384">
        <v>1357118</v>
      </c>
      <c r="B384" t="s">
        <v>53</v>
      </c>
      <c r="C384" t="s">
        <v>158</v>
      </c>
      <c r="D384" t="s">
        <v>1043</v>
      </c>
      <c r="E384" t="s">
        <v>461</v>
      </c>
      <c r="F384">
        <f>VLOOKUP(A384,Classifications!$A:$E,5,FALSE)</f>
        <v>1</v>
      </c>
      <c r="G384">
        <f>VLOOKUP(A384,Classifications!$A:$F,6,FALSE)</f>
        <v>1</v>
      </c>
      <c r="H384">
        <f>VLOOKUP(A384,Classifications!$A:$G,7,FALSE)</f>
        <v>36</v>
      </c>
      <c r="I384" t="s">
        <v>462</v>
      </c>
      <c r="J384" s="2">
        <v>44229.460046296299</v>
      </c>
    </row>
    <row r="385" spans="1:10" ht="12.75" customHeight="1" x14ac:dyDescent="0.3">
      <c r="A385">
        <v>1357117</v>
      </c>
      <c r="B385" t="s">
        <v>53</v>
      </c>
      <c r="C385" t="s">
        <v>158</v>
      </c>
      <c r="D385" t="s">
        <v>1044</v>
      </c>
      <c r="E385" t="s">
        <v>461</v>
      </c>
      <c r="F385">
        <f>VLOOKUP(A385,Classifications!$A:$E,5,FALSE)</f>
        <v>1</v>
      </c>
      <c r="G385">
        <f>VLOOKUP(A385,Classifications!$A:$F,6,FALSE)</f>
        <v>1</v>
      </c>
      <c r="H385">
        <f>VLOOKUP(A385,Classifications!$A:$G,7,FALSE)</f>
        <v>36</v>
      </c>
      <c r="I385" t="s">
        <v>462</v>
      </c>
      <c r="J385" s="2">
        <v>44229.460023148145</v>
      </c>
    </row>
    <row r="386" spans="1:10" ht="12.75" customHeight="1" x14ac:dyDescent="0.3">
      <c r="A386">
        <v>1357116</v>
      </c>
      <c r="B386" t="s">
        <v>1045</v>
      </c>
      <c r="C386" t="s">
        <v>1046</v>
      </c>
      <c r="D386" t="s">
        <v>1024</v>
      </c>
      <c r="E386" t="s">
        <v>461</v>
      </c>
      <c r="F386">
        <f>VLOOKUP(A386,Classifications!$A:$E,5,FALSE)</f>
        <v>1</v>
      </c>
      <c r="G386">
        <f>VLOOKUP(A386,Classifications!$A:$F,6,FALSE)</f>
        <v>1</v>
      </c>
      <c r="H386">
        <f>VLOOKUP(A386,Classifications!$A:$G,7,FALSE)</f>
        <v>36</v>
      </c>
      <c r="I386" t="s">
        <v>462</v>
      </c>
      <c r="J386" s="2">
        <v>44229.46</v>
      </c>
    </row>
    <row r="387" spans="1:10" ht="12.75" customHeight="1" x14ac:dyDescent="0.3">
      <c r="A387">
        <v>1357115</v>
      </c>
      <c r="B387" t="s">
        <v>1047</v>
      </c>
      <c r="C387" t="s">
        <v>1048</v>
      </c>
      <c r="D387" t="s">
        <v>1031</v>
      </c>
      <c r="E387" t="s">
        <v>461</v>
      </c>
      <c r="F387">
        <f>VLOOKUP(A387,Classifications!$A:$E,5,FALSE)</f>
        <v>1</v>
      </c>
      <c r="G387">
        <f>VLOOKUP(A387,Classifications!$A:$F,6,FALSE)</f>
        <v>1</v>
      </c>
      <c r="H387">
        <f>VLOOKUP(A387,Classifications!$A:$G,7,FALSE)</f>
        <v>36</v>
      </c>
      <c r="I387" t="s">
        <v>462</v>
      </c>
      <c r="J387" s="2">
        <v>44229.46</v>
      </c>
    </row>
    <row r="388" spans="1:10" ht="12.75" customHeight="1" x14ac:dyDescent="0.3">
      <c r="A388">
        <v>1357114</v>
      </c>
      <c r="B388" t="s">
        <v>1049</v>
      </c>
      <c r="C388" t="s">
        <v>1050</v>
      </c>
      <c r="D388" t="s">
        <v>1019</v>
      </c>
      <c r="E388" t="s">
        <v>461</v>
      </c>
      <c r="F388">
        <f>VLOOKUP(A388,Classifications!$A:$E,5,FALSE)</f>
        <v>1</v>
      </c>
      <c r="G388">
        <f>VLOOKUP(A388,Classifications!$A:$F,6,FALSE)</f>
        <v>1</v>
      </c>
      <c r="H388">
        <f>VLOOKUP(A388,Classifications!$A:$G,7,FALSE)</f>
        <v>36</v>
      </c>
      <c r="I388" t="s">
        <v>462</v>
      </c>
      <c r="J388" s="2">
        <v>44229.459988425922</v>
      </c>
    </row>
    <row r="389" spans="1:10" ht="12.75" customHeight="1" x14ac:dyDescent="0.3">
      <c r="A389">
        <v>1357113</v>
      </c>
      <c r="B389" t="s">
        <v>277</v>
      </c>
      <c r="C389" t="s">
        <v>816</v>
      </c>
      <c r="D389" t="s">
        <v>1051</v>
      </c>
      <c r="E389" t="s">
        <v>461</v>
      </c>
      <c r="F389">
        <f>VLOOKUP(A389,Classifications!$A:$E,5,FALSE)</f>
        <v>1</v>
      </c>
      <c r="G389">
        <f>VLOOKUP(A389,Classifications!$A:$F,6,FALSE)</f>
        <v>1</v>
      </c>
      <c r="H389">
        <f>VLOOKUP(A389,Classifications!$A:$G,7,FALSE)</f>
        <v>36</v>
      </c>
      <c r="I389" t="s">
        <v>462</v>
      </c>
      <c r="J389" s="2">
        <v>44229.459976851853</v>
      </c>
    </row>
    <row r="390" spans="1:10" ht="12.75" customHeight="1" x14ac:dyDescent="0.3">
      <c r="A390">
        <v>1357112</v>
      </c>
      <c r="B390" t="s">
        <v>1052</v>
      </c>
      <c r="C390" t="s">
        <v>1053</v>
      </c>
      <c r="D390" t="s">
        <v>1054</v>
      </c>
      <c r="E390" t="s">
        <v>461</v>
      </c>
      <c r="F390">
        <f>VLOOKUP(A390,Classifications!$A:$E,5,FALSE)</f>
        <v>1</v>
      </c>
      <c r="G390">
        <f>VLOOKUP(A390,Classifications!$A:$F,6,FALSE)</f>
        <v>1</v>
      </c>
      <c r="H390">
        <f>VLOOKUP(A390,Classifications!$A:$G,7,FALSE)</f>
        <v>36</v>
      </c>
      <c r="I390" t="s">
        <v>462</v>
      </c>
      <c r="J390" s="2">
        <v>44229.459976851853</v>
      </c>
    </row>
    <row r="391" spans="1:10" ht="12.75" customHeight="1" x14ac:dyDescent="0.3">
      <c r="A391">
        <v>1357111</v>
      </c>
      <c r="B391" t="s">
        <v>1055</v>
      </c>
      <c r="C391" t="s">
        <v>1056</v>
      </c>
      <c r="D391" t="s">
        <v>1057</v>
      </c>
      <c r="E391" t="s">
        <v>461</v>
      </c>
      <c r="F391">
        <f>VLOOKUP(A391,Classifications!$A:$E,5,FALSE)</f>
        <v>1</v>
      </c>
      <c r="G391">
        <f>VLOOKUP(A391,Classifications!$A:$F,6,FALSE)</f>
        <v>1</v>
      </c>
      <c r="H391">
        <f>VLOOKUP(A391,Classifications!$A:$G,7,FALSE)</f>
        <v>36</v>
      </c>
      <c r="I391" t="s">
        <v>462</v>
      </c>
      <c r="J391" s="2">
        <v>44229.459953703707</v>
      </c>
    </row>
    <row r="392" spans="1:10" ht="12.75" customHeight="1" x14ac:dyDescent="0.3">
      <c r="A392">
        <v>1357110</v>
      </c>
      <c r="B392" t="s">
        <v>545</v>
      </c>
      <c r="C392" t="s">
        <v>1058</v>
      </c>
      <c r="D392" t="s">
        <v>1042</v>
      </c>
      <c r="E392" t="s">
        <v>461</v>
      </c>
      <c r="F392">
        <f>VLOOKUP(A392,Classifications!$A:$E,5,FALSE)</f>
        <v>1</v>
      </c>
      <c r="G392">
        <f>VLOOKUP(A392,Classifications!$A:$F,6,FALSE)</f>
        <v>1</v>
      </c>
      <c r="H392">
        <f>VLOOKUP(A392,Classifications!$A:$G,7,FALSE)</f>
        <v>36</v>
      </c>
      <c r="I392" t="s">
        <v>462</v>
      </c>
      <c r="J392" s="2">
        <v>44229.459953703707</v>
      </c>
    </row>
    <row r="393" spans="1:10" ht="12.75" customHeight="1" x14ac:dyDescent="0.3">
      <c r="A393">
        <v>1357109</v>
      </c>
      <c r="B393" t="s">
        <v>218</v>
      </c>
      <c r="C393" t="s">
        <v>1027</v>
      </c>
      <c r="D393" t="s">
        <v>1059</v>
      </c>
      <c r="E393" t="s">
        <v>461</v>
      </c>
      <c r="F393">
        <f>VLOOKUP(A393,Classifications!$A:$E,5,FALSE)</f>
        <v>1</v>
      </c>
      <c r="G393">
        <f>VLOOKUP(A393,Classifications!$A:$F,6,FALSE)</f>
        <v>1</v>
      </c>
      <c r="H393">
        <f>VLOOKUP(A393,Classifications!$A:$G,7,FALSE)</f>
        <v>36</v>
      </c>
      <c r="I393" t="s">
        <v>462</v>
      </c>
      <c r="J393" s="2">
        <v>44229.45994212963</v>
      </c>
    </row>
    <row r="394" spans="1:10" ht="12.75" customHeight="1" x14ac:dyDescent="0.3">
      <c r="A394">
        <v>1357108</v>
      </c>
      <c r="B394" t="s">
        <v>331</v>
      </c>
      <c r="C394" t="s">
        <v>1060</v>
      </c>
      <c r="D394" t="s">
        <v>1061</v>
      </c>
      <c r="E394" t="s">
        <v>461</v>
      </c>
      <c r="F394">
        <f>VLOOKUP(A394,Classifications!$A:$E,5,FALSE)</f>
        <v>1</v>
      </c>
      <c r="G394">
        <f>VLOOKUP(A394,Classifications!$A:$F,6,FALSE)</f>
        <v>1</v>
      </c>
      <c r="H394">
        <f>VLOOKUP(A394,Classifications!$A:$G,7,FALSE)</f>
        <v>36</v>
      </c>
      <c r="I394" t="s">
        <v>462</v>
      </c>
      <c r="J394" s="2">
        <v>44229.459918981483</v>
      </c>
    </row>
    <row r="395" spans="1:10" ht="12.75" customHeight="1" x14ac:dyDescent="0.3">
      <c r="A395">
        <v>1357107</v>
      </c>
      <c r="B395" t="s">
        <v>20</v>
      </c>
      <c r="C395" t="s">
        <v>158</v>
      </c>
      <c r="D395" t="s">
        <v>1062</v>
      </c>
      <c r="E395" t="s">
        <v>461</v>
      </c>
      <c r="F395">
        <f>VLOOKUP(A395,Classifications!$A:$E,5,FALSE)</f>
        <v>1</v>
      </c>
      <c r="G395">
        <f>VLOOKUP(A395,Classifications!$A:$F,6,FALSE)</f>
        <v>1</v>
      </c>
      <c r="H395">
        <f>VLOOKUP(A395,Classifications!$A:$G,7,FALSE)</f>
        <v>36</v>
      </c>
      <c r="I395" t="s">
        <v>462</v>
      </c>
      <c r="J395" s="2">
        <v>44229.459907407407</v>
      </c>
    </row>
    <row r="396" spans="1:10" ht="12.75" customHeight="1" x14ac:dyDescent="0.3">
      <c r="A396">
        <v>1357106</v>
      </c>
      <c r="B396" t="s">
        <v>95</v>
      </c>
      <c r="C396" t="s">
        <v>668</v>
      </c>
      <c r="D396" t="s">
        <v>1063</v>
      </c>
      <c r="E396" t="s">
        <v>461</v>
      </c>
      <c r="F396">
        <f>VLOOKUP(A396,Classifications!$A:$E,5,FALSE)</f>
        <v>1</v>
      </c>
      <c r="G396">
        <f>VLOOKUP(A396,Classifications!$A:$F,6,FALSE)</f>
        <v>1</v>
      </c>
      <c r="H396">
        <f>VLOOKUP(A396,Classifications!$A:$G,7,FALSE)</f>
        <v>36</v>
      </c>
      <c r="I396" t="s">
        <v>462</v>
      </c>
      <c r="J396" s="2">
        <v>44229.459907407407</v>
      </c>
    </row>
    <row r="397" spans="1:10" ht="12.75" customHeight="1" x14ac:dyDescent="0.3">
      <c r="A397">
        <v>1357105</v>
      </c>
      <c r="B397" t="s">
        <v>95</v>
      </c>
      <c r="C397" t="s">
        <v>668</v>
      </c>
      <c r="D397" t="s">
        <v>1063</v>
      </c>
      <c r="E397" t="s">
        <v>461</v>
      </c>
      <c r="F397">
        <f>VLOOKUP(A397,Classifications!$A:$E,5,FALSE)</f>
        <v>1</v>
      </c>
      <c r="G397">
        <f>VLOOKUP(A397,Classifications!$A:$F,6,FALSE)</f>
        <v>1</v>
      </c>
      <c r="H397">
        <f>VLOOKUP(A397,Classifications!$A:$G,7,FALSE)</f>
        <v>36</v>
      </c>
      <c r="I397" t="s">
        <v>462</v>
      </c>
      <c r="J397" s="2">
        <v>44229.45989583333</v>
      </c>
    </row>
    <row r="398" spans="1:10" ht="12.75" customHeight="1" x14ac:dyDescent="0.3">
      <c r="A398">
        <v>1357104</v>
      </c>
      <c r="B398" t="s">
        <v>95</v>
      </c>
      <c r="C398" t="s">
        <v>668</v>
      </c>
      <c r="D398" t="s">
        <v>1063</v>
      </c>
      <c r="E398" t="s">
        <v>461</v>
      </c>
      <c r="F398">
        <f>VLOOKUP(A398,Classifications!$A:$E,5,FALSE)</f>
        <v>1</v>
      </c>
      <c r="G398">
        <f>VLOOKUP(A398,Classifications!$A:$F,6,FALSE)</f>
        <v>1</v>
      </c>
      <c r="H398">
        <f>VLOOKUP(A398,Classifications!$A:$G,7,FALSE)</f>
        <v>36</v>
      </c>
      <c r="I398" t="s">
        <v>462</v>
      </c>
      <c r="J398" s="2">
        <v>44229.459872685184</v>
      </c>
    </row>
    <row r="399" spans="1:10" ht="12.75" customHeight="1" x14ac:dyDescent="0.3">
      <c r="A399">
        <v>1357103</v>
      </c>
      <c r="B399" t="s">
        <v>95</v>
      </c>
      <c r="C399" t="s">
        <v>668</v>
      </c>
      <c r="D399" t="s">
        <v>1064</v>
      </c>
      <c r="E399" t="s">
        <v>461</v>
      </c>
      <c r="F399">
        <f>VLOOKUP(A399,Classifications!$A:$E,5,FALSE)</f>
        <v>1</v>
      </c>
      <c r="G399">
        <f>VLOOKUP(A399,Classifications!$A:$F,6,FALSE)</f>
        <v>1</v>
      </c>
      <c r="H399">
        <f>VLOOKUP(A399,Classifications!$A:$G,7,FALSE)</f>
        <v>36</v>
      </c>
      <c r="I399" t="s">
        <v>462</v>
      </c>
      <c r="J399" s="2">
        <v>44229.459861111114</v>
      </c>
    </row>
    <row r="400" spans="1:10" ht="12.75" customHeight="1" x14ac:dyDescent="0.3">
      <c r="A400">
        <v>1357102</v>
      </c>
      <c r="B400" t="s">
        <v>95</v>
      </c>
      <c r="C400" t="s">
        <v>668</v>
      </c>
      <c r="D400" t="s">
        <v>1065</v>
      </c>
      <c r="E400" t="s">
        <v>461</v>
      </c>
      <c r="F400">
        <f>VLOOKUP(A400,Classifications!$A:$E,5,FALSE)</f>
        <v>1</v>
      </c>
      <c r="G400">
        <f>VLOOKUP(A400,Classifications!$A:$F,6,FALSE)</f>
        <v>1</v>
      </c>
      <c r="H400">
        <f>VLOOKUP(A400,Classifications!$A:$G,7,FALSE)</f>
        <v>36</v>
      </c>
      <c r="I400" t="s">
        <v>462</v>
      </c>
      <c r="J400" s="2">
        <v>44229.459849537037</v>
      </c>
    </row>
    <row r="401" spans="1:10" ht="12.75" customHeight="1" x14ac:dyDescent="0.3">
      <c r="A401">
        <v>1357101</v>
      </c>
      <c r="B401" t="s">
        <v>70</v>
      </c>
      <c r="C401" t="s">
        <v>369</v>
      </c>
      <c r="D401" t="s">
        <v>1066</v>
      </c>
      <c r="E401" t="s">
        <v>461</v>
      </c>
      <c r="F401">
        <f>VLOOKUP(A401,Classifications!$A:$E,5,FALSE)</f>
        <v>1</v>
      </c>
      <c r="G401">
        <f>VLOOKUP(A401,Classifications!$A:$F,6,FALSE)</f>
        <v>1</v>
      </c>
      <c r="H401">
        <f>VLOOKUP(A401,Classifications!$A:$G,7,FALSE)</f>
        <v>36</v>
      </c>
      <c r="I401" t="s">
        <v>462</v>
      </c>
      <c r="J401" s="2">
        <v>44229.459837962961</v>
      </c>
    </row>
    <row r="402" spans="1:10" ht="12.75" customHeight="1" x14ac:dyDescent="0.3">
      <c r="A402">
        <v>1357100</v>
      </c>
      <c r="B402" t="s">
        <v>95</v>
      </c>
      <c r="C402" t="s">
        <v>668</v>
      </c>
      <c r="D402" t="s">
        <v>1067</v>
      </c>
      <c r="E402" t="s">
        <v>461</v>
      </c>
      <c r="F402">
        <f>VLOOKUP(A402,Classifications!$A:$E,5,FALSE)</f>
        <v>1</v>
      </c>
      <c r="G402">
        <f>VLOOKUP(A402,Classifications!$A:$F,6,FALSE)</f>
        <v>1</v>
      </c>
      <c r="H402">
        <f>VLOOKUP(A402,Classifications!$A:$G,7,FALSE)</f>
        <v>36</v>
      </c>
      <c r="I402" t="s">
        <v>462</v>
      </c>
      <c r="J402" s="2">
        <v>44229.459826388891</v>
      </c>
    </row>
    <row r="403" spans="1:10" ht="12.75" customHeight="1" x14ac:dyDescent="0.3">
      <c r="A403">
        <v>1357099</v>
      </c>
      <c r="B403" t="s">
        <v>95</v>
      </c>
      <c r="C403" t="s">
        <v>668</v>
      </c>
      <c r="D403" t="s">
        <v>1068</v>
      </c>
      <c r="E403" t="s">
        <v>461</v>
      </c>
      <c r="F403">
        <f>VLOOKUP(A403,Classifications!$A:$E,5,FALSE)</f>
        <v>1</v>
      </c>
      <c r="G403">
        <f>VLOOKUP(A403,Classifications!$A:$F,6,FALSE)</f>
        <v>1</v>
      </c>
      <c r="H403">
        <f>VLOOKUP(A403,Classifications!$A:$G,7,FALSE)</f>
        <v>36</v>
      </c>
      <c r="I403" t="s">
        <v>462</v>
      </c>
      <c r="J403" s="2">
        <v>44229.459814814814</v>
      </c>
    </row>
    <row r="404" spans="1:10" ht="12.75" customHeight="1" x14ac:dyDescent="0.3">
      <c r="A404">
        <v>1357097</v>
      </c>
      <c r="B404" t="s">
        <v>95</v>
      </c>
      <c r="C404" t="s">
        <v>668</v>
      </c>
      <c r="D404" t="s">
        <v>1068</v>
      </c>
      <c r="E404" t="s">
        <v>461</v>
      </c>
      <c r="F404">
        <f>VLOOKUP(A404,Classifications!$A:$E,5,FALSE)</f>
        <v>1</v>
      </c>
      <c r="G404">
        <f>VLOOKUP(A404,Classifications!$A:$F,6,FALSE)</f>
        <v>1</v>
      </c>
      <c r="H404">
        <f>VLOOKUP(A404,Classifications!$A:$G,7,FALSE)</f>
        <v>36</v>
      </c>
      <c r="I404" t="s">
        <v>462</v>
      </c>
      <c r="J404" s="2">
        <v>44229.459803240738</v>
      </c>
    </row>
    <row r="405" spans="1:10" ht="12.75" customHeight="1" x14ac:dyDescent="0.3">
      <c r="A405">
        <v>1357096</v>
      </c>
      <c r="B405" t="s">
        <v>184</v>
      </c>
      <c r="C405" t="s">
        <v>1069</v>
      </c>
      <c r="D405" t="s">
        <v>1070</v>
      </c>
      <c r="E405" t="s">
        <v>461</v>
      </c>
      <c r="F405">
        <f>VLOOKUP(A405,Classifications!$A:$E,5,FALSE)</f>
        <v>1</v>
      </c>
      <c r="G405">
        <f>VLOOKUP(A405,Classifications!$A:$F,6,FALSE)</f>
        <v>1</v>
      </c>
      <c r="H405">
        <f>VLOOKUP(A405,Classifications!$A:$G,7,FALSE)</f>
        <v>36</v>
      </c>
      <c r="I405" t="s">
        <v>462</v>
      </c>
      <c r="J405" s="2">
        <v>44229.459791666668</v>
      </c>
    </row>
    <row r="406" spans="1:10" ht="12.75" customHeight="1" x14ac:dyDescent="0.3">
      <c r="A406">
        <v>1357095</v>
      </c>
      <c r="B406" t="s">
        <v>184</v>
      </c>
      <c r="C406" t="s">
        <v>1069</v>
      </c>
      <c r="D406" t="s">
        <v>1070</v>
      </c>
      <c r="E406" t="s">
        <v>461</v>
      </c>
      <c r="F406">
        <f>VLOOKUP(A406,Classifications!$A:$E,5,FALSE)</f>
        <v>1</v>
      </c>
      <c r="G406">
        <f>VLOOKUP(A406,Classifications!$A:$F,6,FALSE)</f>
        <v>1</v>
      </c>
      <c r="H406">
        <f>VLOOKUP(A406,Classifications!$A:$G,7,FALSE)</f>
        <v>36</v>
      </c>
      <c r="I406" t="s">
        <v>462</v>
      </c>
      <c r="J406" s="2">
        <v>44229.459756944445</v>
      </c>
    </row>
    <row r="407" spans="1:10" ht="12.75" customHeight="1" x14ac:dyDescent="0.3">
      <c r="A407">
        <v>1357094</v>
      </c>
      <c r="B407" t="s">
        <v>184</v>
      </c>
      <c r="C407" t="s">
        <v>1069</v>
      </c>
      <c r="D407" t="s">
        <v>1071</v>
      </c>
      <c r="E407" t="s">
        <v>461</v>
      </c>
      <c r="F407">
        <f>VLOOKUP(A407,Classifications!$A:$E,5,FALSE)</f>
        <v>1</v>
      </c>
      <c r="G407">
        <f>VLOOKUP(A407,Classifications!$A:$F,6,FALSE)</f>
        <v>1</v>
      </c>
      <c r="H407">
        <f>VLOOKUP(A407,Classifications!$A:$G,7,FALSE)</f>
        <v>36</v>
      </c>
      <c r="I407" t="s">
        <v>462</v>
      </c>
      <c r="J407" s="2">
        <v>44229.459722222222</v>
      </c>
    </row>
    <row r="408" spans="1:10" ht="12.75" customHeight="1" x14ac:dyDescent="0.3">
      <c r="A408">
        <v>1357093</v>
      </c>
      <c r="B408" t="s">
        <v>184</v>
      </c>
      <c r="C408" t="s">
        <v>1069</v>
      </c>
      <c r="D408" t="s">
        <v>1071</v>
      </c>
      <c r="E408" t="s">
        <v>461</v>
      </c>
      <c r="F408">
        <f>VLOOKUP(A408,Classifications!$A:$E,5,FALSE)</f>
        <v>1</v>
      </c>
      <c r="G408">
        <f>VLOOKUP(A408,Classifications!$A:$F,6,FALSE)</f>
        <v>1</v>
      </c>
      <c r="H408">
        <f>VLOOKUP(A408,Classifications!$A:$G,7,FALSE)</f>
        <v>36</v>
      </c>
      <c r="I408" t="s">
        <v>462</v>
      </c>
      <c r="J408" s="2">
        <v>44229.459687499999</v>
      </c>
    </row>
    <row r="409" spans="1:10" ht="12.75" customHeight="1" x14ac:dyDescent="0.3">
      <c r="A409">
        <v>1357092</v>
      </c>
      <c r="B409" t="s">
        <v>132</v>
      </c>
      <c r="C409" t="s">
        <v>1072</v>
      </c>
      <c r="D409" t="s">
        <v>1073</v>
      </c>
      <c r="E409" t="s">
        <v>461</v>
      </c>
      <c r="F409">
        <f>VLOOKUP(A409,Classifications!$A:$E,5,FALSE)</f>
        <v>1</v>
      </c>
      <c r="G409">
        <f>VLOOKUP(A409,Classifications!$A:$F,6,FALSE)</f>
        <v>1</v>
      </c>
      <c r="H409">
        <f>VLOOKUP(A409,Classifications!$A:$G,7,FALSE)</f>
        <v>36</v>
      </c>
      <c r="I409" t="s">
        <v>462</v>
      </c>
      <c r="J409" s="2">
        <v>44229.459652777776</v>
      </c>
    </row>
    <row r="410" spans="1:10" ht="12.75" customHeight="1" x14ac:dyDescent="0.3">
      <c r="A410">
        <v>1357091</v>
      </c>
      <c r="B410" t="s">
        <v>20</v>
      </c>
      <c r="C410" t="s">
        <v>158</v>
      </c>
      <c r="D410" t="s">
        <v>1074</v>
      </c>
      <c r="E410" t="s">
        <v>461</v>
      </c>
      <c r="F410">
        <f>VLOOKUP(A410,Classifications!$A:$E,5,FALSE)</f>
        <v>1</v>
      </c>
      <c r="G410">
        <f>VLOOKUP(A410,Classifications!$A:$F,6,FALSE)</f>
        <v>1</v>
      </c>
      <c r="H410">
        <f>VLOOKUP(A410,Classifications!$A:$G,7,FALSE)</f>
        <v>36</v>
      </c>
      <c r="I410" t="s">
        <v>462</v>
      </c>
      <c r="J410" s="2">
        <v>44229.459652777776</v>
      </c>
    </row>
    <row r="411" spans="1:10" ht="12.75" customHeight="1" x14ac:dyDescent="0.3">
      <c r="A411">
        <v>1357090</v>
      </c>
      <c r="B411" t="s">
        <v>20</v>
      </c>
      <c r="C411" t="s">
        <v>158</v>
      </c>
      <c r="D411" t="s">
        <v>1074</v>
      </c>
      <c r="E411" t="s">
        <v>461</v>
      </c>
      <c r="F411">
        <f>VLOOKUP(A411,Classifications!$A:$E,5,FALSE)</f>
        <v>1</v>
      </c>
      <c r="G411">
        <f>VLOOKUP(A411,Classifications!$A:$F,6,FALSE)</f>
        <v>1</v>
      </c>
      <c r="H411">
        <f>VLOOKUP(A411,Classifications!$A:$G,7,FALSE)</f>
        <v>36</v>
      </c>
      <c r="I411" t="s">
        <v>462</v>
      </c>
      <c r="J411" s="2">
        <v>44229.459641203706</v>
      </c>
    </row>
    <row r="412" spans="1:10" ht="12.75" customHeight="1" x14ac:dyDescent="0.3">
      <c r="A412">
        <v>1357089</v>
      </c>
      <c r="B412" t="s">
        <v>184</v>
      </c>
      <c r="C412" t="s">
        <v>1069</v>
      </c>
      <c r="D412" t="s">
        <v>1075</v>
      </c>
      <c r="E412" t="s">
        <v>461</v>
      </c>
      <c r="F412">
        <f>VLOOKUP(A412,Classifications!$A:$E,5,FALSE)</f>
        <v>1</v>
      </c>
      <c r="G412">
        <f>VLOOKUP(A412,Classifications!$A:$F,6,FALSE)</f>
        <v>1</v>
      </c>
      <c r="H412">
        <f>VLOOKUP(A412,Classifications!$A:$G,7,FALSE)</f>
        <v>36</v>
      </c>
      <c r="I412" t="s">
        <v>462</v>
      </c>
      <c r="J412" s="2">
        <v>44229.459629629629</v>
      </c>
    </row>
    <row r="413" spans="1:10" ht="12.75" customHeight="1" x14ac:dyDescent="0.3">
      <c r="A413">
        <v>1357088</v>
      </c>
      <c r="B413" t="s">
        <v>184</v>
      </c>
      <c r="C413" t="s">
        <v>1069</v>
      </c>
      <c r="D413" t="s">
        <v>1075</v>
      </c>
      <c r="E413" t="s">
        <v>461</v>
      </c>
      <c r="F413">
        <f>VLOOKUP(A413,Classifications!$A:$E,5,FALSE)</f>
        <v>1</v>
      </c>
      <c r="G413">
        <f>VLOOKUP(A413,Classifications!$A:$F,6,FALSE)</f>
        <v>1</v>
      </c>
      <c r="H413">
        <f>VLOOKUP(A413,Classifications!$A:$G,7,FALSE)</f>
        <v>36</v>
      </c>
      <c r="I413" t="s">
        <v>462</v>
      </c>
      <c r="J413" s="2">
        <v>44229.459606481483</v>
      </c>
    </row>
    <row r="414" spans="1:10" ht="12.75" customHeight="1" x14ac:dyDescent="0.3">
      <c r="A414">
        <v>1357087</v>
      </c>
      <c r="B414" t="s">
        <v>184</v>
      </c>
      <c r="C414" t="s">
        <v>1069</v>
      </c>
      <c r="D414" t="s">
        <v>1075</v>
      </c>
      <c r="E414" t="s">
        <v>461</v>
      </c>
      <c r="F414">
        <f>VLOOKUP(A414,Classifications!$A:$E,5,FALSE)</f>
        <v>1</v>
      </c>
      <c r="G414">
        <f>VLOOKUP(A414,Classifications!$A:$F,6,FALSE)</f>
        <v>1</v>
      </c>
      <c r="H414">
        <f>VLOOKUP(A414,Classifications!$A:$G,7,FALSE)</f>
        <v>36</v>
      </c>
      <c r="I414" t="s">
        <v>462</v>
      </c>
      <c r="J414" s="2">
        <v>44229.459560185183</v>
      </c>
    </row>
    <row r="415" spans="1:10" ht="12.75" customHeight="1" x14ac:dyDescent="0.3">
      <c r="A415">
        <v>1357086</v>
      </c>
      <c r="B415" t="s">
        <v>184</v>
      </c>
      <c r="C415" t="s">
        <v>1069</v>
      </c>
      <c r="D415" t="s">
        <v>1075</v>
      </c>
      <c r="E415" t="s">
        <v>461</v>
      </c>
      <c r="F415">
        <f>VLOOKUP(A415,Classifications!$A:$E,5,FALSE)</f>
        <v>1</v>
      </c>
      <c r="G415">
        <f>VLOOKUP(A415,Classifications!$A:$F,6,FALSE)</f>
        <v>1</v>
      </c>
      <c r="H415">
        <f>VLOOKUP(A415,Classifications!$A:$G,7,FALSE)</f>
        <v>36</v>
      </c>
      <c r="I415" t="s">
        <v>462</v>
      </c>
      <c r="J415" s="2">
        <v>44229.459479166668</v>
      </c>
    </row>
    <row r="416" spans="1:10" ht="12.75" customHeight="1" x14ac:dyDescent="0.3">
      <c r="A416">
        <v>1357085</v>
      </c>
      <c r="B416" t="s">
        <v>184</v>
      </c>
      <c r="C416" t="s">
        <v>1069</v>
      </c>
      <c r="D416" t="s">
        <v>1075</v>
      </c>
      <c r="E416" t="s">
        <v>461</v>
      </c>
      <c r="F416">
        <f>VLOOKUP(A416,Classifications!$A:$E,5,FALSE)</f>
        <v>1</v>
      </c>
      <c r="G416">
        <f>VLOOKUP(A416,Classifications!$A:$F,6,FALSE)</f>
        <v>1</v>
      </c>
      <c r="H416">
        <f>VLOOKUP(A416,Classifications!$A:$G,7,FALSE)</f>
        <v>36</v>
      </c>
      <c r="I416" t="s">
        <v>462</v>
      </c>
      <c r="J416" s="2">
        <v>44229.459456018521</v>
      </c>
    </row>
    <row r="417" spans="1:10" ht="12.75" customHeight="1" x14ac:dyDescent="0.3">
      <c r="A417">
        <v>1357084</v>
      </c>
      <c r="B417" t="s">
        <v>184</v>
      </c>
      <c r="C417" t="s">
        <v>1069</v>
      </c>
      <c r="D417" t="s">
        <v>1075</v>
      </c>
      <c r="E417" t="s">
        <v>461</v>
      </c>
      <c r="F417">
        <f>VLOOKUP(A417,Classifications!$A:$E,5,FALSE)</f>
        <v>1</v>
      </c>
      <c r="G417">
        <f>VLOOKUP(A417,Classifications!$A:$F,6,FALSE)</f>
        <v>1</v>
      </c>
      <c r="H417">
        <f>VLOOKUP(A417,Classifications!$A:$G,7,FALSE)</f>
        <v>36</v>
      </c>
      <c r="I417" t="s">
        <v>462</v>
      </c>
      <c r="J417" s="2">
        <v>44229.459432870368</v>
      </c>
    </row>
    <row r="418" spans="1:10" ht="12.75" customHeight="1" x14ac:dyDescent="0.3">
      <c r="A418">
        <v>1357083</v>
      </c>
      <c r="B418" t="s">
        <v>184</v>
      </c>
      <c r="C418" t="s">
        <v>1069</v>
      </c>
      <c r="D418" t="s">
        <v>1075</v>
      </c>
      <c r="E418" t="s">
        <v>461</v>
      </c>
      <c r="F418">
        <f>VLOOKUP(A418,Classifications!$A:$E,5,FALSE)</f>
        <v>1</v>
      </c>
      <c r="G418">
        <f>VLOOKUP(A418,Classifications!$A:$F,6,FALSE)</f>
        <v>1</v>
      </c>
      <c r="H418">
        <f>VLOOKUP(A418,Classifications!$A:$G,7,FALSE)</f>
        <v>36</v>
      </c>
      <c r="I418" t="s">
        <v>462</v>
      </c>
      <c r="J418" s="2">
        <v>44229.459421296298</v>
      </c>
    </row>
    <row r="419" spans="1:10" ht="12.75" customHeight="1" x14ac:dyDescent="0.3">
      <c r="A419">
        <v>1357082</v>
      </c>
      <c r="B419" t="s">
        <v>184</v>
      </c>
      <c r="C419" t="s">
        <v>1069</v>
      </c>
      <c r="D419" t="s">
        <v>1075</v>
      </c>
      <c r="E419" t="s">
        <v>461</v>
      </c>
      <c r="F419">
        <f>VLOOKUP(A419,Classifications!$A:$E,5,FALSE)</f>
        <v>1</v>
      </c>
      <c r="G419">
        <f>VLOOKUP(A419,Classifications!$A:$F,6,FALSE)</f>
        <v>1</v>
      </c>
      <c r="H419">
        <f>VLOOKUP(A419,Classifications!$A:$G,7,FALSE)</f>
        <v>36</v>
      </c>
      <c r="I419" t="s">
        <v>462</v>
      </c>
      <c r="J419" s="2">
        <v>44229.459398148145</v>
      </c>
    </row>
    <row r="420" spans="1:10" ht="12.75" customHeight="1" x14ac:dyDescent="0.3">
      <c r="A420">
        <v>1357081</v>
      </c>
      <c r="B420" t="s">
        <v>184</v>
      </c>
      <c r="C420" t="s">
        <v>1069</v>
      </c>
      <c r="D420" t="s">
        <v>1075</v>
      </c>
      <c r="E420" t="s">
        <v>461</v>
      </c>
      <c r="F420">
        <f>VLOOKUP(A420,Classifications!$A:$E,5,FALSE)</f>
        <v>1</v>
      </c>
      <c r="G420">
        <f>VLOOKUP(A420,Classifications!$A:$F,6,FALSE)</f>
        <v>1</v>
      </c>
      <c r="H420">
        <f>VLOOKUP(A420,Classifications!$A:$G,7,FALSE)</f>
        <v>36</v>
      </c>
      <c r="I420" t="s">
        <v>462</v>
      </c>
      <c r="J420" s="2">
        <v>44229.459374999999</v>
      </c>
    </row>
    <row r="421" spans="1:10" ht="12.75" customHeight="1" x14ac:dyDescent="0.3">
      <c r="A421">
        <v>1357080</v>
      </c>
      <c r="B421" t="s">
        <v>184</v>
      </c>
      <c r="C421" t="s">
        <v>1069</v>
      </c>
      <c r="D421" t="s">
        <v>1075</v>
      </c>
      <c r="E421" t="s">
        <v>461</v>
      </c>
      <c r="F421">
        <f>VLOOKUP(A421,Classifications!$A:$E,5,FALSE)</f>
        <v>1</v>
      </c>
      <c r="G421">
        <f>VLOOKUP(A421,Classifications!$A:$F,6,FALSE)</f>
        <v>1</v>
      </c>
      <c r="H421">
        <f>VLOOKUP(A421,Classifications!$A:$G,7,FALSE)</f>
        <v>36</v>
      </c>
      <c r="I421" t="s">
        <v>462</v>
      </c>
      <c r="J421" s="2">
        <v>44229.459363425929</v>
      </c>
    </row>
    <row r="422" spans="1:10" ht="12.75" customHeight="1" x14ac:dyDescent="0.3">
      <c r="A422">
        <v>1357079</v>
      </c>
      <c r="B422" t="s">
        <v>184</v>
      </c>
      <c r="C422" t="s">
        <v>1069</v>
      </c>
      <c r="D422" t="s">
        <v>1075</v>
      </c>
      <c r="E422" t="s">
        <v>461</v>
      </c>
      <c r="F422">
        <f>VLOOKUP(A422,Classifications!$A:$E,5,FALSE)</f>
        <v>1</v>
      </c>
      <c r="G422">
        <f>VLOOKUP(A422,Classifications!$A:$F,6,FALSE)</f>
        <v>1</v>
      </c>
      <c r="H422">
        <f>VLOOKUP(A422,Classifications!$A:$G,7,FALSE)</f>
        <v>36</v>
      </c>
      <c r="I422" t="s">
        <v>462</v>
      </c>
      <c r="J422" s="2">
        <v>44229.459340277775</v>
      </c>
    </row>
    <row r="423" spans="1:10" ht="12.75" customHeight="1" x14ac:dyDescent="0.3">
      <c r="A423">
        <v>1357077</v>
      </c>
      <c r="B423" t="s">
        <v>184</v>
      </c>
      <c r="C423" t="s">
        <v>1069</v>
      </c>
      <c r="D423" t="s">
        <v>1075</v>
      </c>
      <c r="E423" t="s">
        <v>461</v>
      </c>
      <c r="F423">
        <f>VLOOKUP(A423,Classifications!$A:$E,5,FALSE)</f>
        <v>1</v>
      </c>
      <c r="G423">
        <f>VLOOKUP(A423,Classifications!$A:$F,6,FALSE)</f>
        <v>1</v>
      </c>
      <c r="H423">
        <f>VLOOKUP(A423,Classifications!$A:$G,7,FALSE)</f>
        <v>36</v>
      </c>
      <c r="I423" t="s">
        <v>462</v>
      </c>
      <c r="J423" s="2">
        <v>44229.459317129629</v>
      </c>
    </row>
    <row r="424" spans="1:10" ht="12.75" customHeight="1" x14ac:dyDescent="0.3">
      <c r="A424">
        <v>1357076</v>
      </c>
      <c r="B424" t="s">
        <v>184</v>
      </c>
      <c r="C424" t="s">
        <v>1069</v>
      </c>
      <c r="D424" t="s">
        <v>1075</v>
      </c>
      <c r="E424" t="s">
        <v>461</v>
      </c>
      <c r="F424">
        <f>VLOOKUP(A424,Classifications!$A:$E,5,FALSE)</f>
        <v>1</v>
      </c>
      <c r="G424">
        <f>VLOOKUP(A424,Classifications!$A:$F,6,FALSE)</f>
        <v>1</v>
      </c>
      <c r="H424">
        <f>VLOOKUP(A424,Classifications!$A:$G,7,FALSE)</f>
        <v>36</v>
      </c>
      <c r="I424" t="s">
        <v>462</v>
      </c>
      <c r="J424" s="2">
        <v>44229.459305555552</v>
      </c>
    </row>
    <row r="425" spans="1:10" ht="12.75" customHeight="1" x14ac:dyDescent="0.3">
      <c r="A425">
        <v>1357075</v>
      </c>
      <c r="B425" t="s">
        <v>184</v>
      </c>
      <c r="C425" t="s">
        <v>1069</v>
      </c>
      <c r="D425" t="s">
        <v>1075</v>
      </c>
      <c r="E425" t="s">
        <v>461</v>
      </c>
      <c r="F425">
        <f>VLOOKUP(A425,Classifications!$A:$E,5,FALSE)</f>
        <v>1</v>
      </c>
      <c r="G425">
        <f>VLOOKUP(A425,Classifications!$A:$F,6,FALSE)</f>
        <v>1</v>
      </c>
      <c r="H425">
        <f>VLOOKUP(A425,Classifications!$A:$G,7,FALSE)</f>
        <v>36</v>
      </c>
      <c r="I425" t="s">
        <v>462</v>
      </c>
      <c r="J425" s="2">
        <v>44229.459293981483</v>
      </c>
    </row>
    <row r="426" spans="1:10" ht="12.75" customHeight="1" x14ac:dyDescent="0.3">
      <c r="A426">
        <v>1357074</v>
      </c>
      <c r="B426" t="s">
        <v>184</v>
      </c>
      <c r="C426" t="s">
        <v>1069</v>
      </c>
      <c r="D426" t="s">
        <v>1075</v>
      </c>
      <c r="E426" t="s">
        <v>461</v>
      </c>
      <c r="F426">
        <f>VLOOKUP(A426,Classifications!$A:$E,5,FALSE)</f>
        <v>1</v>
      </c>
      <c r="G426">
        <f>VLOOKUP(A426,Classifications!$A:$F,6,FALSE)</f>
        <v>1</v>
      </c>
      <c r="H426">
        <f>VLOOKUP(A426,Classifications!$A:$G,7,FALSE)</f>
        <v>36</v>
      </c>
      <c r="I426" t="s">
        <v>462</v>
      </c>
      <c r="J426" s="2">
        <v>44229.459270833337</v>
      </c>
    </row>
    <row r="427" spans="1:10" ht="12.75" customHeight="1" x14ac:dyDescent="0.3">
      <c r="A427">
        <v>1357073</v>
      </c>
      <c r="B427" t="s">
        <v>184</v>
      </c>
      <c r="C427" t="s">
        <v>1069</v>
      </c>
      <c r="D427" t="s">
        <v>1075</v>
      </c>
      <c r="E427" t="s">
        <v>461</v>
      </c>
      <c r="F427">
        <f>VLOOKUP(A427,Classifications!$A:$E,5,FALSE)</f>
        <v>1</v>
      </c>
      <c r="G427">
        <f>VLOOKUP(A427,Classifications!$A:$F,6,FALSE)</f>
        <v>1</v>
      </c>
      <c r="H427">
        <f>VLOOKUP(A427,Classifications!$A:$G,7,FALSE)</f>
        <v>36</v>
      </c>
      <c r="I427" t="s">
        <v>462</v>
      </c>
      <c r="J427" s="2">
        <v>44229.45925925926</v>
      </c>
    </row>
    <row r="428" spans="1:10" ht="12.75" customHeight="1" x14ac:dyDescent="0.3">
      <c r="A428">
        <v>1357072</v>
      </c>
      <c r="B428" t="s">
        <v>184</v>
      </c>
      <c r="C428" t="s">
        <v>1069</v>
      </c>
      <c r="D428" t="s">
        <v>1075</v>
      </c>
      <c r="E428" t="s">
        <v>461</v>
      </c>
      <c r="F428">
        <f>VLOOKUP(A428,Classifications!$A:$E,5,FALSE)</f>
        <v>1</v>
      </c>
      <c r="G428">
        <f>VLOOKUP(A428,Classifications!$A:$F,6,FALSE)</f>
        <v>1</v>
      </c>
      <c r="H428">
        <f>VLOOKUP(A428,Classifications!$A:$G,7,FALSE)</f>
        <v>36</v>
      </c>
      <c r="I428" t="s">
        <v>462</v>
      </c>
      <c r="J428" s="2">
        <v>44229.459236111114</v>
      </c>
    </row>
    <row r="429" spans="1:10" ht="12.75" customHeight="1" x14ac:dyDescent="0.3">
      <c r="A429">
        <v>1357071</v>
      </c>
      <c r="B429" t="s">
        <v>184</v>
      </c>
      <c r="C429" t="s">
        <v>1069</v>
      </c>
      <c r="D429" t="s">
        <v>1075</v>
      </c>
      <c r="E429" t="s">
        <v>461</v>
      </c>
      <c r="F429">
        <f>VLOOKUP(A429,Classifications!$A:$E,5,FALSE)</f>
        <v>1</v>
      </c>
      <c r="G429">
        <f>VLOOKUP(A429,Classifications!$A:$F,6,FALSE)</f>
        <v>1</v>
      </c>
      <c r="H429">
        <f>VLOOKUP(A429,Classifications!$A:$G,7,FALSE)</f>
        <v>36</v>
      </c>
      <c r="I429" t="s">
        <v>462</v>
      </c>
      <c r="J429" s="2">
        <v>44229.45921296296</v>
      </c>
    </row>
    <row r="430" spans="1:10" ht="12.75" customHeight="1" x14ac:dyDescent="0.3">
      <c r="A430">
        <v>1357070</v>
      </c>
      <c r="B430" t="s">
        <v>184</v>
      </c>
      <c r="C430" t="s">
        <v>1069</v>
      </c>
      <c r="D430" t="s">
        <v>1075</v>
      </c>
      <c r="E430" t="s">
        <v>461</v>
      </c>
      <c r="F430">
        <f>VLOOKUP(A430,Classifications!$A:$E,5,FALSE)</f>
        <v>1</v>
      </c>
      <c r="G430">
        <f>VLOOKUP(A430,Classifications!$A:$F,6,FALSE)</f>
        <v>1</v>
      </c>
      <c r="H430">
        <f>VLOOKUP(A430,Classifications!$A:$G,7,FALSE)</f>
        <v>36</v>
      </c>
      <c r="I430" t="s">
        <v>462</v>
      </c>
      <c r="J430" s="2">
        <v>44229.459201388891</v>
      </c>
    </row>
    <row r="431" spans="1:10" ht="12.75" customHeight="1" x14ac:dyDescent="0.3">
      <c r="A431">
        <v>1357069</v>
      </c>
      <c r="B431" t="s">
        <v>184</v>
      </c>
      <c r="C431" t="s">
        <v>1069</v>
      </c>
      <c r="D431" t="s">
        <v>1075</v>
      </c>
      <c r="E431" t="s">
        <v>461</v>
      </c>
      <c r="F431">
        <f>VLOOKUP(A431,Classifications!$A:$E,5,FALSE)</f>
        <v>1</v>
      </c>
      <c r="G431">
        <f>VLOOKUP(A431,Classifications!$A:$F,6,FALSE)</f>
        <v>1</v>
      </c>
      <c r="H431">
        <f>VLOOKUP(A431,Classifications!$A:$G,7,FALSE)</f>
        <v>36</v>
      </c>
      <c r="I431" t="s">
        <v>462</v>
      </c>
      <c r="J431" s="2">
        <v>44229.459189814814</v>
      </c>
    </row>
    <row r="432" spans="1:10" ht="12.75" customHeight="1" x14ac:dyDescent="0.3">
      <c r="A432">
        <v>1357068</v>
      </c>
      <c r="B432" t="s">
        <v>184</v>
      </c>
      <c r="C432" t="s">
        <v>1069</v>
      </c>
      <c r="D432" t="s">
        <v>1075</v>
      </c>
      <c r="E432" t="s">
        <v>461</v>
      </c>
      <c r="F432">
        <f>VLOOKUP(A432,Classifications!$A:$E,5,FALSE)</f>
        <v>1</v>
      </c>
      <c r="G432">
        <f>VLOOKUP(A432,Classifications!$A:$F,6,FALSE)</f>
        <v>1</v>
      </c>
      <c r="H432">
        <f>VLOOKUP(A432,Classifications!$A:$G,7,FALSE)</f>
        <v>36</v>
      </c>
      <c r="I432" t="s">
        <v>462</v>
      </c>
      <c r="J432" s="2">
        <v>44229.459166666667</v>
      </c>
    </row>
    <row r="433" spans="1:10" ht="12.75" customHeight="1" x14ac:dyDescent="0.3">
      <c r="A433">
        <v>1357067</v>
      </c>
      <c r="B433" t="s">
        <v>184</v>
      </c>
      <c r="C433" t="s">
        <v>1069</v>
      </c>
      <c r="D433" t="s">
        <v>1075</v>
      </c>
      <c r="E433" t="s">
        <v>461</v>
      </c>
      <c r="F433">
        <f>VLOOKUP(A433,Classifications!$A:$E,5,FALSE)</f>
        <v>1</v>
      </c>
      <c r="G433">
        <f>VLOOKUP(A433,Classifications!$A:$F,6,FALSE)</f>
        <v>1</v>
      </c>
      <c r="H433">
        <f>VLOOKUP(A433,Classifications!$A:$G,7,FALSE)</f>
        <v>36</v>
      </c>
      <c r="I433" t="s">
        <v>462</v>
      </c>
      <c r="J433" s="2">
        <v>44229.459155092591</v>
      </c>
    </row>
    <row r="434" spans="1:10" ht="12.75" customHeight="1" x14ac:dyDescent="0.3">
      <c r="A434">
        <v>1357066</v>
      </c>
      <c r="B434" t="s">
        <v>184</v>
      </c>
      <c r="C434" t="s">
        <v>1069</v>
      </c>
      <c r="D434" t="s">
        <v>1075</v>
      </c>
      <c r="E434" t="s">
        <v>461</v>
      </c>
      <c r="F434">
        <f>VLOOKUP(A434,Classifications!$A:$E,5,FALSE)</f>
        <v>1</v>
      </c>
      <c r="G434">
        <f>VLOOKUP(A434,Classifications!$A:$F,6,FALSE)</f>
        <v>1</v>
      </c>
      <c r="H434">
        <f>VLOOKUP(A434,Classifications!$A:$G,7,FALSE)</f>
        <v>36</v>
      </c>
      <c r="I434" t="s">
        <v>462</v>
      </c>
      <c r="J434" s="2">
        <v>44229.459131944444</v>
      </c>
    </row>
    <row r="435" spans="1:10" ht="12.75" customHeight="1" x14ac:dyDescent="0.3">
      <c r="A435">
        <v>1357065</v>
      </c>
      <c r="B435" t="s">
        <v>184</v>
      </c>
      <c r="C435" t="s">
        <v>1069</v>
      </c>
      <c r="D435" t="s">
        <v>1076</v>
      </c>
      <c r="E435" t="s">
        <v>461</v>
      </c>
      <c r="F435">
        <f>VLOOKUP(A435,Classifications!$A:$E,5,FALSE)</f>
        <v>1</v>
      </c>
      <c r="G435">
        <f>VLOOKUP(A435,Classifications!$A:$F,6,FALSE)</f>
        <v>1</v>
      </c>
      <c r="H435">
        <f>VLOOKUP(A435,Classifications!$A:$G,7,FALSE)</f>
        <v>36</v>
      </c>
      <c r="I435" t="s">
        <v>462</v>
      </c>
      <c r="J435" s="2">
        <v>44229.459108796298</v>
      </c>
    </row>
    <row r="436" spans="1:10" ht="12.75" customHeight="1" x14ac:dyDescent="0.3">
      <c r="A436">
        <v>1357064</v>
      </c>
      <c r="B436" t="s">
        <v>184</v>
      </c>
      <c r="C436" t="s">
        <v>1069</v>
      </c>
      <c r="D436" t="s">
        <v>1077</v>
      </c>
      <c r="E436" t="s">
        <v>461</v>
      </c>
      <c r="F436">
        <f>VLOOKUP(A436,Classifications!$A:$E,5,FALSE)</f>
        <v>1</v>
      </c>
      <c r="G436">
        <f>VLOOKUP(A436,Classifications!$A:$F,6,FALSE)</f>
        <v>1</v>
      </c>
      <c r="H436">
        <f>VLOOKUP(A436,Classifications!$A:$G,7,FALSE)</f>
        <v>36</v>
      </c>
      <c r="I436" t="s">
        <v>462</v>
      </c>
      <c r="J436" s="2">
        <v>44229.459097222221</v>
      </c>
    </row>
    <row r="437" spans="1:10" ht="12.75" customHeight="1" x14ac:dyDescent="0.3">
      <c r="A437">
        <v>1357063</v>
      </c>
      <c r="B437" t="s">
        <v>184</v>
      </c>
      <c r="C437" t="s">
        <v>1069</v>
      </c>
      <c r="D437" t="s">
        <v>1009</v>
      </c>
      <c r="E437" t="s">
        <v>461</v>
      </c>
      <c r="F437">
        <f>VLOOKUP(A437,Classifications!$A:$E,5,FALSE)</f>
        <v>1</v>
      </c>
      <c r="G437">
        <f>VLOOKUP(A437,Classifications!$A:$F,6,FALSE)</f>
        <v>1</v>
      </c>
      <c r="H437">
        <f>VLOOKUP(A437,Classifications!$A:$G,7,FALSE)</f>
        <v>36</v>
      </c>
      <c r="I437" t="s">
        <v>462</v>
      </c>
      <c r="J437" s="2">
        <v>44229.459085648145</v>
      </c>
    </row>
    <row r="438" spans="1:10" ht="12.75" customHeight="1" x14ac:dyDescent="0.3">
      <c r="A438">
        <v>1357062</v>
      </c>
      <c r="B438" t="s">
        <v>184</v>
      </c>
      <c r="C438" t="s">
        <v>1069</v>
      </c>
      <c r="D438" t="s">
        <v>1078</v>
      </c>
      <c r="E438" t="s">
        <v>461</v>
      </c>
      <c r="F438">
        <f>VLOOKUP(A438,Classifications!$A:$E,5,FALSE)</f>
        <v>1</v>
      </c>
      <c r="G438">
        <f>VLOOKUP(A438,Classifications!$A:$F,6,FALSE)</f>
        <v>1</v>
      </c>
      <c r="H438">
        <f>VLOOKUP(A438,Classifications!$A:$G,7,FALSE)</f>
        <v>36</v>
      </c>
      <c r="I438" t="s">
        <v>462</v>
      </c>
      <c r="J438" s="2">
        <v>44229.459074074075</v>
      </c>
    </row>
    <row r="439" spans="1:10" ht="12.75" customHeight="1" x14ac:dyDescent="0.3">
      <c r="A439">
        <v>1357061</v>
      </c>
      <c r="B439" t="s">
        <v>1079</v>
      </c>
      <c r="C439" t="s">
        <v>1080</v>
      </c>
      <c r="D439" t="s">
        <v>1081</v>
      </c>
      <c r="E439" t="s">
        <v>461</v>
      </c>
      <c r="F439">
        <f>VLOOKUP(A439,Classifications!$A:$E,5,FALSE)</f>
        <v>1</v>
      </c>
      <c r="G439">
        <f>VLOOKUP(A439,Classifications!$A:$F,6,FALSE)</f>
        <v>1</v>
      </c>
      <c r="H439">
        <f>VLOOKUP(A439,Classifications!$A:$G,7,FALSE)</f>
        <v>36</v>
      </c>
      <c r="I439" t="s">
        <v>462</v>
      </c>
      <c r="J439" s="2">
        <v>44229.459074074075</v>
      </c>
    </row>
    <row r="440" spans="1:10" ht="12.75" customHeight="1" x14ac:dyDescent="0.3">
      <c r="A440">
        <v>1357060</v>
      </c>
      <c r="B440" t="s">
        <v>184</v>
      </c>
      <c r="C440" t="s">
        <v>1069</v>
      </c>
      <c r="D440" t="s">
        <v>1070</v>
      </c>
      <c r="E440" t="s">
        <v>461</v>
      </c>
      <c r="F440">
        <f>VLOOKUP(A440,Classifications!$A:$E,5,FALSE)</f>
        <v>1</v>
      </c>
      <c r="G440">
        <f>VLOOKUP(A440,Classifications!$A:$F,6,FALSE)</f>
        <v>1</v>
      </c>
      <c r="H440">
        <f>VLOOKUP(A440,Classifications!$A:$G,7,FALSE)</f>
        <v>36</v>
      </c>
      <c r="I440" t="s">
        <v>462</v>
      </c>
      <c r="J440" s="2">
        <v>44229.459062499998</v>
      </c>
    </row>
    <row r="441" spans="1:10" ht="12.75" customHeight="1" x14ac:dyDescent="0.3">
      <c r="A441">
        <v>1357059</v>
      </c>
      <c r="B441" t="s">
        <v>184</v>
      </c>
      <c r="C441" t="s">
        <v>1069</v>
      </c>
      <c r="D441" t="s">
        <v>1082</v>
      </c>
      <c r="E441" t="s">
        <v>461</v>
      </c>
      <c r="F441">
        <f>VLOOKUP(A441,Classifications!$A:$E,5,FALSE)</f>
        <v>1</v>
      </c>
      <c r="G441">
        <f>VLOOKUP(A441,Classifications!$A:$F,6,FALSE)</f>
        <v>1</v>
      </c>
      <c r="H441">
        <f>VLOOKUP(A441,Classifications!$A:$G,7,FALSE)</f>
        <v>36</v>
      </c>
      <c r="I441" t="s">
        <v>462</v>
      </c>
      <c r="J441" s="2">
        <v>44229.459050925929</v>
      </c>
    </row>
    <row r="442" spans="1:10" ht="12.75" customHeight="1" x14ac:dyDescent="0.3">
      <c r="A442">
        <v>1357058</v>
      </c>
      <c r="B442" t="s">
        <v>184</v>
      </c>
      <c r="C442" t="s">
        <v>1069</v>
      </c>
      <c r="D442" t="s">
        <v>1083</v>
      </c>
      <c r="E442" t="s">
        <v>461</v>
      </c>
      <c r="F442">
        <f>VLOOKUP(A442,Classifications!$A:$E,5,FALSE)</f>
        <v>1</v>
      </c>
      <c r="G442">
        <f>VLOOKUP(A442,Classifications!$A:$F,6,FALSE)</f>
        <v>1</v>
      </c>
      <c r="H442">
        <f>VLOOKUP(A442,Classifications!$A:$G,7,FALSE)</f>
        <v>36</v>
      </c>
      <c r="I442" t="s">
        <v>462</v>
      </c>
      <c r="J442" s="2">
        <v>44229.459050925929</v>
      </c>
    </row>
    <row r="443" spans="1:10" ht="12.75" customHeight="1" x14ac:dyDescent="0.3">
      <c r="A443">
        <v>1357057</v>
      </c>
      <c r="B443" t="s">
        <v>95</v>
      </c>
      <c r="C443" t="s">
        <v>668</v>
      </c>
      <c r="D443" t="s">
        <v>1084</v>
      </c>
      <c r="E443" t="s">
        <v>461</v>
      </c>
      <c r="F443">
        <f>VLOOKUP(A443,Classifications!$A:$E,5,FALSE)</f>
        <v>1</v>
      </c>
      <c r="G443">
        <f>VLOOKUP(A443,Classifications!$A:$F,6,FALSE)</f>
        <v>1</v>
      </c>
      <c r="H443">
        <f>VLOOKUP(A443,Classifications!$A:$G,7,FALSE)</f>
        <v>36</v>
      </c>
      <c r="I443" t="s">
        <v>462</v>
      </c>
      <c r="J443" s="2">
        <v>44229.459016203706</v>
      </c>
    </row>
    <row r="444" spans="1:10" ht="12.75" customHeight="1" x14ac:dyDescent="0.3">
      <c r="A444">
        <v>1357056</v>
      </c>
      <c r="B444" t="s">
        <v>95</v>
      </c>
      <c r="C444" t="s">
        <v>668</v>
      </c>
      <c r="D444" t="s">
        <v>1085</v>
      </c>
      <c r="E444" t="s">
        <v>461</v>
      </c>
      <c r="F444">
        <f>VLOOKUP(A444,Classifications!$A:$E,5,FALSE)</f>
        <v>1</v>
      </c>
      <c r="G444">
        <f>VLOOKUP(A444,Classifications!$A:$F,6,FALSE)</f>
        <v>1</v>
      </c>
      <c r="H444">
        <f>VLOOKUP(A444,Classifications!$A:$G,7,FALSE)</f>
        <v>36</v>
      </c>
      <c r="I444" t="s">
        <v>462</v>
      </c>
      <c r="J444" s="2">
        <v>44229.459004629629</v>
      </c>
    </row>
    <row r="445" spans="1:10" ht="12.75" customHeight="1" x14ac:dyDescent="0.3">
      <c r="A445">
        <v>1357055</v>
      </c>
      <c r="B445" t="s">
        <v>95</v>
      </c>
      <c r="C445" t="s">
        <v>668</v>
      </c>
      <c r="D445" t="s">
        <v>1085</v>
      </c>
      <c r="E445" t="s">
        <v>461</v>
      </c>
      <c r="F445">
        <f>VLOOKUP(A445,Classifications!$A:$E,5,FALSE)</f>
        <v>1</v>
      </c>
      <c r="G445">
        <f>VLOOKUP(A445,Classifications!$A:$F,6,FALSE)</f>
        <v>1</v>
      </c>
      <c r="H445">
        <f>VLOOKUP(A445,Classifications!$A:$G,7,FALSE)</f>
        <v>36</v>
      </c>
      <c r="I445" t="s">
        <v>462</v>
      </c>
      <c r="J445" s="2">
        <v>44229.459004629629</v>
      </c>
    </row>
    <row r="446" spans="1:10" ht="12.75" customHeight="1" x14ac:dyDescent="0.3">
      <c r="A446">
        <v>1357054</v>
      </c>
      <c r="B446" t="s">
        <v>95</v>
      </c>
      <c r="C446" t="s">
        <v>668</v>
      </c>
      <c r="D446" t="s">
        <v>1085</v>
      </c>
      <c r="E446" t="s">
        <v>461</v>
      </c>
      <c r="F446">
        <f>VLOOKUP(A446,Classifications!$A:$E,5,FALSE)</f>
        <v>1</v>
      </c>
      <c r="G446">
        <f>VLOOKUP(A446,Classifications!$A:$F,6,FALSE)</f>
        <v>1</v>
      </c>
      <c r="H446">
        <f>VLOOKUP(A446,Classifications!$A:$G,7,FALSE)</f>
        <v>36</v>
      </c>
      <c r="I446" t="s">
        <v>462</v>
      </c>
      <c r="J446" s="2">
        <v>44229.458993055552</v>
      </c>
    </row>
    <row r="447" spans="1:10" ht="12.75" customHeight="1" x14ac:dyDescent="0.3">
      <c r="A447">
        <v>1357053</v>
      </c>
      <c r="B447" t="s">
        <v>477</v>
      </c>
      <c r="C447" t="s">
        <v>512</v>
      </c>
      <c r="D447" t="s">
        <v>1086</v>
      </c>
      <c r="E447" t="s">
        <v>461</v>
      </c>
      <c r="F447">
        <f>VLOOKUP(A447,Classifications!$A:$E,5,FALSE)</f>
        <v>1</v>
      </c>
      <c r="G447">
        <f>VLOOKUP(A447,Classifications!$A:$F,6,FALSE)</f>
        <v>1</v>
      </c>
      <c r="H447">
        <f>VLOOKUP(A447,Classifications!$A:$G,7,FALSE)</f>
        <v>36</v>
      </c>
      <c r="I447" t="s">
        <v>462</v>
      </c>
      <c r="J447" s="2">
        <v>44229.458993055552</v>
      </c>
    </row>
    <row r="448" spans="1:10" ht="12.75" customHeight="1" x14ac:dyDescent="0.3">
      <c r="A448">
        <v>1357052</v>
      </c>
      <c r="B448" t="s">
        <v>331</v>
      </c>
      <c r="C448" t="s">
        <v>1060</v>
      </c>
      <c r="D448" t="s">
        <v>1087</v>
      </c>
      <c r="E448" t="s">
        <v>461</v>
      </c>
      <c r="F448">
        <f>VLOOKUP(A448,Classifications!$A:$E,5,FALSE)</f>
        <v>1</v>
      </c>
      <c r="G448">
        <f>VLOOKUP(A448,Classifications!$A:$F,6,FALSE)</f>
        <v>1</v>
      </c>
      <c r="H448">
        <f>VLOOKUP(A448,Classifications!$A:$G,7,FALSE)</f>
        <v>36</v>
      </c>
      <c r="I448" t="s">
        <v>462</v>
      </c>
      <c r="J448" s="2">
        <v>44229.458981481483</v>
      </c>
    </row>
    <row r="449" spans="1:10" ht="12.75" customHeight="1" x14ac:dyDescent="0.3">
      <c r="A449">
        <v>1357051</v>
      </c>
      <c r="B449" t="s">
        <v>53</v>
      </c>
      <c r="C449" t="s">
        <v>158</v>
      </c>
      <c r="D449" t="s">
        <v>1088</v>
      </c>
      <c r="E449" t="s">
        <v>461</v>
      </c>
      <c r="F449">
        <f>VLOOKUP(A449,Classifications!$A:$E,5,FALSE)</f>
        <v>1</v>
      </c>
      <c r="G449">
        <f>VLOOKUP(A449,Classifications!$A:$F,6,FALSE)</f>
        <v>1</v>
      </c>
      <c r="H449">
        <f>VLOOKUP(A449,Classifications!$A:$G,7,FALSE)</f>
        <v>36</v>
      </c>
      <c r="I449" t="s">
        <v>462</v>
      </c>
      <c r="J449" s="2">
        <v>44229.458958333336</v>
      </c>
    </row>
    <row r="450" spans="1:10" ht="12.75" customHeight="1" x14ac:dyDescent="0.3">
      <c r="A450">
        <v>1357050</v>
      </c>
      <c r="B450" t="s">
        <v>95</v>
      </c>
      <c r="C450" t="s">
        <v>668</v>
      </c>
      <c r="D450" t="s">
        <v>1089</v>
      </c>
      <c r="E450" t="s">
        <v>461</v>
      </c>
      <c r="F450">
        <f>VLOOKUP(A450,Classifications!$A:$E,5,FALSE)</f>
        <v>1</v>
      </c>
      <c r="G450">
        <f>VLOOKUP(A450,Classifications!$A:$F,6,FALSE)</f>
        <v>1</v>
      </c>
      <c r="H450">
        <f>VLOOKUP(A450,Classifications!$A:$G,7,FALSE)</f>
        <v>36</v>
      </c>
      <c r="I450" t="s">
        <v>462</v>
      </c>
      <c r="J450" s="2">
        <v>44229.458912037036</v>
      </c>
    </row>
    <row r="451" spans="1:10" ht="12.75" customHeight="1" x14ac:dyDescent="0.3">
      <c r="A451">
        <v>1357049</v>
      </c>
      <c r="B451" t="s">
        <v>618</v>
      </c>
      <c r="C451" t="s">
        <v>619</v>
      </c>
      <c r="D451" t="s">
        <v>1090</v>
      </c>
      <c r="E451" t="s">
        <v>461</v>
      </c>
      <c r="F451">
        <f>VLOOKUP(A451,Classifications!$A:$E,5,FALSE)</f>
        <v>1</v>
      </c>
      <c r="G451">
        <f>VLOOKUP(A451,Classifications!$A:$F,6,FALSE)</f>
        <v>1</v>
      </c>
      <c r="H451">
        <f>VLOOKUP(A451,Classifications!$A:$G,7,FALSE)</f>
        <v>36</v>
      </c>
      <c r="I451" t="s">
        <v>462</v>
      </c>
      <c r="J451" s="2">
        <v>44229.458912037036</v>
      </c>
    </row>
    <row r="452" spans="1:10" ht="12.75" customHeight="1" x14ac:dyDescent="0.3">
      <c r="A452">
        <v>1357048</v>
      </c>
      <c r="B452" t="s">
        <v>95</v>
      </c>
      <c r="C452" t="s">
        <v>668</v>
      </c>
      <c r="D452" t="s">
        <v>1091</v>
      </c>
      <c r="E452" t="s">
        <v>461</v>
      </c>
      <c r="F452">
        <f>VLOOKUP(A452,Classifications!$A:$E,5,FALSE)</f>
        <v>1</v>
      </c>
      <c r="G452">
        <f>VLOOKUP(A452,Classifications!$A:$F,6,FALSE)</f>
        <v>1</v>
      </c>
      <c r="H452">
        <f>VLOOKUP(A452,Classifications!$A:$G,7,FALSE)</f>
        <v>36</v>
      </c>
      <c r="I452" t="s">
        <v>462</v>
      </c>
      <c r="J452" s="2">
        <v>44229.45890046296</v>
      </c>
    </row>
    <row r="453" spans="1:10" ht="12.75" customHeight="1" x14ac:dyDescent="0.3">
      <c r="A453">
        <v>1357047</v>
      </c>
      <c r="B453" t="s">
        <v>53</v>
      </c>
      <c r="C453" t="s">
        <v>158</v>
      </c>
      <c r="D453" t="s">
        <v>1092</v>
      </c>
      <c r="E453" t="s">
        <v>461</v>
      </c>
      <c r="F453">
        <f>VLOOKUP(A453,Classifications!$A:$E,5,FALSE)</f>
        <v>1</v>
      </c>
      <c r="G453">
        <f>VLOOKUP(A453,Classifications!$A:$F,6,FALSE)</f>
        <v>1</v>
      </c>
      <c r="H453">
        <f>VLOOKUP(A453,Classifications!$A:$G,7,FALSE)</f>
        <v>36</v>
      </c>
      <c r="I453" t="s">
        <v>462</v>
      </c>
      <c r="J453" s="2">
        <v>44229.458865740744</v>
      </c>
    </row>
    <row r="454" spans="1:10" ht="12.75" customHeight="1" x14ac:dyDescent="0.3">
      <c r="A454">
        <v>1357046</v>
      </c>
      <c r="B454" t="s">
        <v>53</v>
      </c>
      <c r="C454" t="s">
        <v>158</v>
      </c>
      <c r="D454" t="s">
        <v>1043</v>
      </c>
      <c r="E454" t="s">
        <v>461</v>
      </c>
      <c r="F454">
        <f>VLOOKUP(A454,Classifications!$A:$E,5,FALSE)</f>
        <v>1</v>
      </c>
      <c r="G454">
        <f>VLOOKUP(A454,Classifications!$A:$F,6,FALSE)</f>
        <v>1</v>
      </c>
      <c r="H454">
        <f>VLOOKUP(A454,Classifications!$A:$G,7,FALSE)</f>
        <v>36</v>
      </c>
      <c r="I454" t="s">
        <v>462</v>
      </c>
      <c r="J454" s="2">
        <v>44229.458854166667</v>
      </c>
    </row>
    <row r="455" spans="1:10" ht="12.75" customHeight="1" x14ac:dyDescent="0.3">
      <c r="A455">
        <v>1357045</v>
      </c>
      <c r="B455" t="s">
        <v>95</v>
      </c>
      <c r="C455" t="s">
        <v>668</v>
      </c>
      <c r="D455" t="s">
        <v>1091</v>
      </c>
      <c r="E455" t="s">
        <v>461</v>
      </c>
      <c r="F455">
        <f>VLOOKUP(A455,Classifications!$A:$E,5,FALSE)</f>
        <v>1</v>
      </c>
      <c r="G455">
        <f>VLOOKUP(A455,Classifications!$A:$F,6,FALSE)</f>
        <v>1</v>
      </c>
      <c r="H455">
        <f>VLOOKUP(A455,Classifications!$A:$G,7,FALSE)</f>
        <v>36</v>
      </c>
      <c r="I455" t="s">
        <v>462</v>
      </c>
      <c r="J455" s="2">
        <v>44229.458854166667</v>
      </c>
    </row>
    <row r="456" spans="1:10" ht="12.75" customHeight="1" x14ac:dyDescent="0.3">
      <c r="A456">
        <v>1357044</v>
      </c>
      <c r="B456" t="s">
        <v>36</v>
      </c>
      <c r="C456" t="s">
        <v>1093</v>
      </c>
      <c r="D456" t="s">
        <v>1094</v>
      </c>
      <c r="E456" s="1" t="s">
        <v>1095</v>
      </c>
      <c r="F456">
        <f>VLOOKUP(A456,Classifications!$A:$E,5,FALSE)</f>
        <v>1</v>
      </c>
      <c r="G456">
        <f>VLOOKUP(A456,Classifications!$A:$F,6,FALSE)</f>
        <v>1</v>
      </c>
      <c r="H456">
        <f>VLOOKUP(A456,Classifications!$A:$G,7,FALSE)</f>
        <v>43</v>
      </c>
      <c r="I456" t="s">
        <v>24</v>
      </c>
      <c r="J456" s="2">
        <v>44229.457256944443</v>
      </c>
    </row>
    <row r="457" spans="1:10" ht="12.75" customHeight="1" x14ac:dyDescent="0.3">
      <c r="A457">
        <v>1357043</v>
      </c>
      <c r="B457" t="s">
        <v>16</v>
      </c>
      <c r="C457" t="s">
        <v>649</v>
      </c>
      <c r="D457" t="s">
        <v>1096</v>
      </c>
      <c r="E457" s="1" t="s">
        <v>1097</v>
      </c>
      <c r="F457">
        <f>VLOOKUP(A457,Classifications!$A:$E,5,FALSE)</f>
        <v>1</v>
      </c>
      <c r="G457">
        <f>VLOOKUP(A457,Classifications!$A:$F,6,FALSE)</f>
        <v>1</v>
      </c>
      <c r="H457">
        <f>VLOOKUP(A457,Classifications!$A:$G,7,FALSE)</f>
        <v>43</v>
      </c>
      <c r="I457" t="s">
        <v>11</v>
      </c>
      <c r="J457" s="2">
        <v>44229.456863425927</v>
      </c>
    </row>
    <row r="458" spans="1:10" ht="12.75" customHeight="1" x14ac:dyDescent="0.3">
      <c r="A458">
        <v>1357041</v>
      </c>
      <c r="B458" t="s">
        <v>177</v>
      </c>
      <c r="C458" t="s">
        <v>178</v>
      </c>
      <c r="D458" t="s">
        <v>1098</v>
      </c>
      <c r="E458" s="1" t="s">
        <v>1099</v>
      </c>
      <c r="F458">
        <f>VLOOKUP(A458,Classifications!$A:$E,5,FALSE)</f>
        <v>1</v>
      </c>
      <c r="G458">
        <f>VLOOKUP(A458,Classifications!$A:$F,6,FALSE)</f>
        <v>2</v>
      </c>
      <c r="H458">
        <f>VLOOKUP(A458,Classifications!$A:$G,7,FALSE)</f>
        <v>43</v>
      </c>
      <c r="I458" t="s">
        <v>11</v>
      </c>
      <c r="J458" s="2">
        <v>44229.45516203704</v>
      </c>
    </row>
    <row r="459" spans="1:10" ht="12.75" customHeight="1" x14ac:dyDescent="0.3">
      <c r="A459">
        <v>1357040</v>
      </c>
      <c r="B459" t="s">
        <v>214</v>
      </c>
      <c r="C459" t="s">
        <v>1100</v>
      </c>
      <c r="D459" t="s">
        <v>1101</v>
      </c>
      <c r="E459" s="1" t="s">
        <v>1102</v>
      </c>
      <c r="F459">
        <f>VLOOKUP(A459,Classifications!$A:$E,5,FALSE)</f>
        <v>3</v>
      </c>
      <c r="G459">
        <f>VLOOKUP(A459,Classifications!$A:$F,6,FALSE)</f>
        <v>2</v>
      </c>
      <c r="H459">
        <f>VLOOKUP(A459,Classifications!$A:$G,7,FALSE)</f>
        <v>43</v>
      </c>
      <c r="I459" t="s">
        <v>11</v>
      </c>
      <c r="J459" s="2">
        <v>44229.454201388886</v>
      </c>
    </row>
    <row r="460" spans="1:10" ht="12.75" customHeight="1" x14ac:dyDescent="0.3">
      <c r="A460">
        <v>1357037</v>
      </c>
      <c r="B460" t="s">
        <v>157</v>
      </c>
      <c r="C460" t="s">
        <v>535</v>
      </c>
      <c r="D460" t="s">
        <v>1103</v>
      </c>
      <c r="E460" s="1" t="s">
        <v>1104</v>
      </c>
      <c r="F460">
        <f>VLOOKUP(A460,Classifications!$A:$E,5,FALSE)</f>
        <v>1</v>
      </c>
      <c r="G460">
        <f>VLOOKUP(A460,Classifications!$A:$F,6,FALSE)</f>
        <v>2</v>
      </c>
      <c r="H460">
        <f>VLOOKUP(A460,Classifications!$A:$G,7,FALSE)</f>
        <v>41</v>
      </c>
      <c r="I460" t="s">
        <v>11</v>
      </c>
      <c r="J460" s="2">
        <v>44229.451111111113</v>
      </c>
    </row>
    <row r="461" spans="1:10" ht="12.75" customHeight="1" x14ac:dyDescent="0.3">
      <c r="A461">
        <v>1357035</v>
      </c>
      <c r="B461" t="s">
        <v>1105</v>
      </c>
      <c r="C461" t="s">
        <v>1106</v>
      </c>
      <c r="D461" t="s">
        <v>1107</v>
      </c>
      <c r="E461" s="1" t="s">
        <v>1108</v>
      </c>
      <c r="F461">
        <f>VLOOKUP(A461,Classifications!$A:$E,5,FALSE)</f>
        <v>1</v>
      </c>
      <c r="G461">
        <f>VLOOKUP(A461,Classifications!$A:$F,6,FALSE)</f>
        <v>1</v>
      </c>
      <c r="H461">
        <f>VLOOKUP(A461,Classifications!$A:$G,7,FALSE)</f>
        <v>41</v>
      </c>
      <c r="I461" t="s">
        <v>11</v>
      </c>
      <c r="J461" s="2">
        <v>44229.44767361111</v>
      </c>
    </row>
    <row r="462" spans="1:10" ht="12.75" customHeight="1" x14ac:dyDescent="0.3">
      <c r="A462">
        <v>1357033</v>
      </c>
      <c r="B462" t="s">
        <v>1105</v>
      </c>
      <c r="C462" t="s">
        <v>1106</v>
      </c>
      <c r="D462" t="s">
        <v>1109</v>
      </c>
      <c r="E462" s="1" t="s">
        <v>1110</v>
      </c>
      <c r="F462">
        <f>VLOOKUP(A462,Classifications!$A:$E,5,FALSE)</f>
        <v>1</v>
      </c>
      <c r="G462">
        <f>VLOOKUP(A462,Classifications!$A:$F,6,FALSE)</f>
        <v>1</v>
      </c>
      <c r="H462">
        <f>VLOOKUP(A462,Classifications!$A:$G,7,FALSE)</f>
        <v>36</v>
      </c>
      <c r="I462" t="s">
        <v>24</v>
      </c>
      <c r="J462" s="2">
        <v>44229.444131944445</v>
      </c>
    </row>
    <row r="463" spans="1:10" ht="12.75" customHeight="1" x14ac:dyDescent="0.3">
      <c r="A463">
        <v>1357028</v>
      </c>
      <c r="B463" t="s">
        <v>95</v>
      </c>
      <c r="C463" t="s">
        <v>668</v>
      </c>
      <c r="D463" t="s">
        <v>1111</v>
      </c>
      <c r="E463" s="1" t="s">
        <v>1112</v>
      </c>
      <c r="F463">
        <f>VLOOKUP(A463,Classifications!$A:$E,5,FALSE)</f>
        <v>2</v>
      </c>
      <c r="G463">
        <f>VLOOKUP(A463,Classifications!$A:$F,6,FALSE)</f>
        <v>3</v>
      </c>
      <c r="H463">
        <f>VLOOKUP(A463,Classifications!$A:$G,7,FALSE)</f>
        <v>43</v>
      </c>
      <c r="I463" t="s">
        <v>24</v>
      </c>
      <c r="J463" s="2">
        <v>44229.429525462961</v>
      </c>
    </row>
    <row r="464" spans="1:10" ht="12.75" customHeight="1" x14ac:dyDescent="0.3">
      <c r="A464">
        <v>1357027</v>
      </c>
      <c r="B464" t="s">
        <v>331</v>
      </c>
      <c r="C464" t="s">
        <v>332</v>
      </c>
      <c r="D464" t="s">
        <v>1113</v>
      </c>
      <c r="E464" s="1" t="s">
        <v>1114</v>
      </c>
      <c r="F464">
        <f>VLOOKUP(A464,Classifications!$A:$E,5,FALSE)</f>
        <v>1</v>
      </c>
      <c r="G464">
        <f>VLOOKUP(A464,Classifications!$A:$F,6,FALSE)</f>
        <v>3</v>
      </c>
      <c r="H464">
        <f>VLOOKUP(A464,Classifications!$A:$G,7,FALSE)</f>
        <v>41</v>
      </c>
      <c r="I464" t="s">
        <v>11</v>
      </c>
      <c r="J464" s="2">
        <v>44229.427581018521</v>
      </c>
    </row>
    <row r="465" spans="1:10" ht="12.75" customHeight="1" x14ac:dyDescent="0.3">
      <c r="A465">
        <v>1356994</v>
      </c>
      <c r="B465" t="s">
        <v>36</v>
      </c>
      <c r="C465" t="s">
        <v>765</v>
      </c>
      <c r="D465" t="s">
        <v>1115</v>
      </c>
      <c r="E465" s="1" t="s">
        <v>1116</v>
      </c>
      <c r="F465">
        <f>VLOOKUP(A465,Classifications!$A:$E,5,FALSE)</f>
        <v>1</v>
      </c>
      <c r="G465">
        <f>VLOOKUP(A465,Classifications!$A:$F,6,FALSE)</f>
        <v>2</v>
      </c>
      <c r="H465">
        <f>VLOOKUP(A465,Classifications!$A:$G,7,FALSE)</f>
        <v>41</v>
      </c>
      <c r="I465" t="s">
        <v>24</v>
      </c>
      <c r="J465" s="2">
        <v>44229.414814814816</v>
      </c>
    </row>
    <row r="466" spans="1:10" ht="12.75" customHeight="1" x14ac:dyDescent="0.3">
      <c r="A466">
        <v>1356992</v>
      </c>
      <c r="B466" t="s">
        <v>36</v>
      </c>
      <c r="C466" t="s">
        <v>765</v>
      </c>
      <c r="D466" t="s">
        <v>1117</v>
      </c>
      <c r="E466" s="1" t="s">
        <v>1118</v>
      </c>
      <c r="F466">
        <f>VLOOKUP(A466,Classifications!$A:$E,5,FALSE)</f>
        <v>3</v>
      </c>
      <c r="G466">
        <f>VLOOKUP(A466,Classifications!$A:$F,6,FALSE)</f>
        <v>2</v>
      </c>
      <c r="H466">
        <f>VLOOKUP(A466,Classifications!$A:$G,7,FALSE)</f>
        <v>41</v>
      </c>
      <c r="I466" t="s">
        <v>24</v>
      </c>
      <c r="J466" s="2">
        <v>44229.413159722222</v>
      </c>
    </row>
    <row r="467" spans="1:10" ht="12.75" customHeight="1" x14ac:dyDescent="0.3">
      <c r="A467">
        <v>1356988</v>
      </c>
      <c r="B467" t="s">
        <v>350</v>
      </c>
      <c r="C467" t="s">
        <v>1119</v>
      </c>
      <c r="D467" t="s">
        <v>1120</v>
      </c>
      <c r="E467" s="1" t="s">
        <v>1121</v>
      </c>
      <c r="F467">
        <f>VLOOKUP(A467,Classifications!$A:$E,5,FALSE)</f>
        <v>1</v>
      </c>
      <c r="G467">
        <f>VLOOKUP(A467,Classifications!$A:$F,6,FALSE)</f>
        <v>2</v>
      </c>
      <c r="H467">
        <f>VLOOKUP(A467,Classifications!$A:$G,7,FALSE)</f>
        <v>43</v>
      </c>
      <c r="I467" t="s">
        <v>24</v>
      </c>
      <c r="J467" s="2">
        <v>44229.402743055558</v>
      </c>
    </row>
    <row r="468" spans="1:10" ht="12.75" customHeight="1" x14ac:dyDescent="0.3">
      <c r="A468">
        <v>1356980</v>
      </c>
      <c r="B468" t="s">
        <v>20</v>
      </c>
      <c r="C468" t="s">
        <v>158</v>
      </c>
      <c r="D468" t="s">
        <v>1122</v>
      </c>
      <c r="E468" s="1" t="s">
        <v>1123</v>
      </c>
      <c r="F468">
        <f>VLOOKUP(A468,Classifications!$A:$E,5,FALSE)</f>
        <v>1</v>
      </c>
      <c r="G468">
        <f>VLOOKUP(A468,Classifications!$A:$F,6,FALSE)</f>
        <v>2</v>
      </c>
      <c r="H468">
        <f>VLOOKUP(A468,Classifications!$A:$G,7,FALSE)</f>
        <v>41</v>
      </c>
      <c r="I468" t="s">
        <v>11</v>
      </c>
      <c r="J468" s="2">
        <v>44229.395300925928</v>
      </c>
    </row>
    <row r="469" spans="1:10" ht="12.75" customHeight="1" x14ac:dyDescent="0.3">
      <c r="A469">
        <v>1356969</v>
      </c>
      <c r="B469" t="s">
        <v>16</v>
      </c>
      <c r="C469" t="s">
        <v>1124</v>
      </c>
      <c r="D469" t="s">
        <v>1125</v>
      </c>
      <c r="E469" s="1" t="s">
        <v>1126</v>
      </c>
      <c r="F469">
        <f>VLOOKUP(A469,Classifications!$A:$E,5,FALSE)</f>
        <v>2</v>
      </c>
      <c r="G469">
        <f>VLOOKUP(A469,Classifications!$A:$F,6,FALSE)</f>
        <v>2</v>
      </c>
      <c r="H469">
        <f>VLOOKUP(A469,Classifications!$A:$G,7,FALSE)</f>
        <v>41</v>
      </c>
      <c r="I469" t="s">
        <v>11</v>
      </c>
      <c r="J469" s="2">
        <v>44229.378611111111</v>
      </c>
    </row>
    <row r="470" spans="1:10" ht="12.75" customHeight="1" x14ac:dyDescent="0.3">
      <c r="A470">
        <v>1356968</v>
      </c>
      <c r="B470" t="s">
        <v>49</v>
      </c>
      <c r="C470" t="s">
        <v>315</v>
      </c>
      <c r="D470" t="s">
        <v>1127</v>
      </c>
      <c r="E470" s="1" t="s">
        <v>1128</v>
      </c>
      <c r="F470">
        <f>VLOOKUP(A470,Classifications!$A:$E,5,FALSE)</f>
        <v>1</v>
      </c>
      <c r="G470">
        <f>VLOOKUP(A470,Classifications!$A:$F,6,FALSE)</f>
        <v>2</v>
      </c>
      <c r="H470">
        <f>VLOOKUP(A470,Classifications!$A:$G,7,FALSE)</f>
        <v>41</v>
      </c>
      <c r="I470" t="s">
        <v>24</v>
      </c>
      <c r="J470" s="2">
        <v>44229.378020833334</v>
      </c>
    </row>
    <row r="471" spans="1:10" ht="12.75" customHeight="1" x14ac:dyDescent="0.3">
      <c r="A471">
        <v>1356967</v>
      </c>
      <c r="B471" t="s">
        <v>318</v>
      </c>
      <c r="C471" t="s">
        <v>319</v>
      </c>
      <c r="D471" t="s">
        <v>1129</v>
      </c>
      <c r="E471" s="1" t="s">
        <v>1130</v>
      </c>
      <c r="F471">
        <f>VLOOKUP(A471,Classifications!$A:$E,5,FALSE)</f>
        <v>2</v>
      </c>
      <c r="G471">
        <f>VLOOKUP(A471,Classifications!$A:$F,6,FALSE)</f>
        <v>2</v>
      </c>
      <c r="H471">
        <f>VLOOKUP(A471,Classifications!$A:$G,7,FALSE)</f>
        <v>43</v>
      </c>
      <c r="I471" t="s">
        <v>11</v>
      </c>
      <c r="J471" s="2">
        <v>44229.375648148147</v>
      </c>
    </row>
    <row r="472" spans="1:10" ht="12.75" customHeight="1" x14ac:dyDescent="0.3">
      <c r="A472">
        <v>1356965</v>
      </c>
      <c r="B472" t="s">
        <v>36</v>
      </c>
      <c r="C472" t="s">
        <v>989</v>
      </c>
      <c r="D472" t="s">
        <v>1003</v>
      </c>
      <c r="E472" s="1" t="s">
        <v>1131</v>
      </c>
      <c r="F472">
        <f>VLOOKUP(A472,Classifications!$A:$E,5,FALSE)</f>
        <v>1</v>
      </c>
      <c r="G472">
        <f>VLOOKUP(A472,Classifications!$A:$F,6,FALSE)</f>
        <v>1</v>
      </c>
      <c r="H472">
        <f>VLOOKUP(A472,Classifications!$A:$G,7,FALSE)</f>
        <v>43</v>
      </c>
      <c r="I472" t="s">
        <v>11</v>
      </c>
      <c r="J472" s="2">
        <v>44229.366481481484</v>
      </c>
    </row>
    <row r="473" spans="1:10" ht="12.75" customHeight="1" x14ac:dyDescent="0.3">
      <c r="A473">
        <v>1356964</v>
      </c>
      <c r="B473" t="s">
        <v>36</v>
      </c>
      <c r="C473" t="s">
        <v>164</v>
      </c>
      <c r="D473" t="s">
        <v>1132</v>
      </c>
      <c r="E473" s="1" t="s">
        <v>1133</v>
      </c>
      <c r="F473">
        <f>VLOOKUP(A473,Classifications!$A:$E,5,FALSE)</f>
        <v>3</v>
      </c>
      <c r="G473">
        <f>VLOOKUP(A473,Classifications!$A:$F,6,FALSE)</f>
        <v>2</v>
      </c>
      <c r="H473">
        <f>VLOOKUP(A473,Classifications!$A:$G,7,FALSE)</f>
        <v>43</v>
      </c>
      <c r="I473" t="s">
        <v>24</v>
      </c>
      <c r="J473" s="2">
        <v>44229.365798611114</v>
      </c>
    </row>
    <row r="474" spans="1:10" ht="12.75" customHeight="1" x14ac:dyDescent="0.3">
      <c r="A474">
        <v>1356962</v>
      </c>
      <c r="B474" t="s">
        <v>503</v>
      </c>
      <c r="D474" t="s">
        <v>1003</v>
      </c>
      <c r="E474" s="1" t="s">
        <v>1134</v>
      </c>
      <c r="F474">
        <f>VLOOKUP(A474,Classifications!$A:$E,5,FALSE)</f>
        <v>1</v>
      </c>
      <c r="G474">
        <f>VLOOKUP(A474,Classifications!$A:$F,6,FALSE)</f>
        <v>2</v>
      </c>
      <c r="H474">
        <f>VLOOKUP(A474,Classifications!$A:$G,7,FALSE)</f>
        <v>43</v>
      </c>
      <c r="I474" t="s">
        <v>11</v>
      </c>
      <c r="J474" s="2">
        <v>44229.363020833334</v>
      </c>
    </row>
    <row r="475" spans="1:10" ht="12.75" customHeight="1" x14ac:dyDescent="0.3">
      <c r="A475">
        <v>1356960</v>
      </c>
      <c r="B475" t="s">
        <v>281</v>
      </c>
      <c r="C475" t="s">
        <v>282</v>
      </c>
      <c r="D475" t="s">
        <v>1135</v>
      </c>
      <c r="E475" s="1" t="s">
        <v>1136</v>
      </c>
      <c r="F475">
        <f>VLOOKUP(A475,Classifications!$A:$E,5,FALSE)</f>
        <v>2</v>
      </c>
      <c r="G475">
        <f>VLOOKUP(A475,Classifications!$A:$F,6,FALSE)</f>
        <v>2</v>
      </c>
      <c r="H475">
        <f>VLOOKUP(A475,Classifications!$A:$G,7,FALSE)</f>
        <v>41</v>
      </c>
      <c r="I475" t="s">
        <v>11</v>
      </c>
      <c r="J475" s="2">
        <v>44229.359247685185</v>
      </c>
    </row>
    <row r="476" spans="1:10" ht="12.75" customHeight="1" x14ac:dyDescent="0.3">
      <c r="A476">
        <v>1356924</v>
      </c>
      <c r="B476" t="s">
        <v>1137</v>
      </c>
      <c r="C476" t="s">
        <v>1138</v>
      </c>
      <c r="D476" t="s">
        <v>1139</v>
      </c>
      <c r="E476" t="s">
        <v>461</v>
      </c>
      <c r="F476">
        <f>VLOOKUP(A476,Classifications!$A:$E,5,FALSE)</f>
        <v>1</v>
      </c>
      <c r="G476">
        <f>VLOOKUP(A476,Classifications!$A:$F,6,FALSE)</f>
        <v>1</v>
      </c>
      <c r="H476">
        <f>VLOOKUP(A476,Classifications!$A:$G,7,FALSE)</f>
        <v>36</v>
      </c>
      <c r="I476" t="s">
        <v>462</v>
      </c>
      <c r="J476" s="2">
        <v>44229.329375000001</v>
      </c>
    </row>
    <row r="477" spans="1:10" ht="12.75" customHeight="1" x14ac:dyDescent="0.3">
      <c r="A477">
        <v>1356923</v>
      </c>
      <c r="B477" t="s">
        <v>53</v>
      </c>
      <c r="C477" t="s">
        <v>158</v>
      </c>
      <c r="D477" t="s">
        <v>1140</v>
      </c>
      <c r="E477" t="s">
        <v>461</v>
      </c>
      <c r="F477">
        <f>VLOOKUP(A477,Classifications!$A:$E,5,FALSE)</f>
        <v>1</v>
      </c>
      <c r="G477">
        <f>VLOOKUP(A477,Classifications!$A:$F,6,FALSE)</f>
        <v>1</v>
      </c>
      <c r="H477">
        <f>VLOOKUP(A477,Classifications!$A:$G,7,FALSE)</f>
        <v>36</v>
      </c>
      <c r="I477" t="s">
        <v>462</v>
      </c>
      <c r="J477" s="2">
        <v>44229.329375000001</v>
      </c>
    </row>
    <row r="478" spans="1:10" ht="12.75" customHeight="1" x14ac:dyDescent="0.3">
      <c r="A478">
        <v>1356922</v>
      </c>
      <c r="B478" t="s">
        <v>53</v>
      </c>
      <c r="C478" t="s">
        <v>158</v>
      </c>
      <c r="D478" t="s">
        <v>1141</v>
      </c>
      <c r="E478" t="s">
        <v>461</v>
      </c>
      <c r="F478">
        <f>VLOOKUP(A478,Classifications!$A:$E,5,FALSE)</f>
        <v>1</v>
      </c>
      <c r="G478">
        <f>VLOOKUP(A478,Classifications!$A:$F,6,FALSE)</f>
        <v>1</v>
      </c>
      <c r="H478">
        <f>VLOOKUP(A478,Classifications!$A:$G,7,FALSE)</f>
        <v>36</v>
      </c>
      <c r="I478" t="s">
        <v>462</v>
      </c>
      <c r="J478" s="2">
        <v>44229.329363425924</v>
      </c>
    </row>
    <row r="479" spans="1:10" ht="12.75" customHeight="1" x14ac:dyDescent="0.3">
      <c r="A479">
        <v>1356919</v>
      </c>
      <c r="B479" t="s">
        <v>25</v>
      </c>
      <c r="C479" t="s">
        <v>26</v>
      </c>
      <c r="D479" t="s">
        <v>1142</v>
      </c>
      <c r="E479" s="1" t="s">
        <v>1143</v>
      </c>
      <c r="F479">
        <f>VLOOKUP(A479,Classifications!$A:$E,5,FALSE)</f>
        <v>1</v>
      </c>
      <c r="G479">
        <f>VLOOKUP(A479,Classifications!$A:$F,6,FALSE)</f>
        <v>3</v>
      </c>
      <c r="H479">
        <f>VLOOKUP(A479,Classifications!$A:$G,7,FALSE)</f>
        <v>41</v>
      </c>
      <c r="I479" t="s">
        <v>11</v>
      </c>
      <c r="J479" s="2">
        <v>44229.318657407406</v>
      </c>
    </row>
    <row r="480" spans="1:10" ht="12.75" customHeight="1" x14ac:dyDescent="0.3">
      <c r="A480">
        <v>1356915</v>
      </c>
      <c r="B480" t="s">
        <v>53</v>
      </c>
      <c r="C480" t="s">
        <v>1144</v>
      </c>
      <c r="D480" t="s">
        <v>1145</v>
      </c>
      <c r="E480" s="1" t="s">
        <v>1146</v>
      </c>
      <c r="F480">
        <f>VLOOKUP(A480,Classifications!$A:$E,5,FALSE)</f>
        <v>1</v>
      </c>
      <c r="G480">
        <f>VLOOKUP(A480,Classifications!$A:$F,6,FALSE)</f>
        <v>3</v>
      </c>
      <c r="H480">
        <f>VLOOKUP(A480,Classifications!$A:$G,7,FALSE)</f>
        <v>41</v>
      </c>
      <c r="I480" t="s">
        <v>24</v>
      </c>
      <c r="J480" s="2">
        <v>44229.299201388887</v>
      </c>
    </row>
    <row r="481" spans="1:10" ht="12.75" customHeight="1" x14ac:dyDescent="0.3">
      <c r="A481">
        <v>1356914</v>
      </c>
      <c r="B481" t="s">
        <v>32</v>
      </c>
      <c r="C481" t="s">
        <v>1147</v>
      </c>
      <c r="D481" t="s">
        <v>1148</v>
      </c>
      <c r="E481" s="1" t="s">
        <v>1149</v>
      </c>
      <c r="F481">
        <f>VLOOKUP(A481,Classifications!$A:$E,5,FALSE)</f>
        <v>1</v>
      </c>
      <c r="G481">
        <f>VLOOKUP(A481,Classifications!$A:$F,6,FALSE)</f>
        <v>1</v>
      </c>
      <c r="H481">
        <f>VLOOKUP(A481,Classifications!$A:$G,7,FALSE)</f>
        <v>43</v>
      </c>
      <c r="I481" t="s">
        <v>11</v>
      </c>
      <c r="J481" s="2">
        <v>44229.296782407408</v>
      </c>
    </row>
    <row r="482" spans="1:10" ht="12.75" customHeight="1" x14ac:dyDescent="0.3">
      <c r="A482">
        <v>1356911</v>
      </c>
      <c r="B482" t="s">
        <v>36</v>
      </c>
      <c r="C482" t="s">
        <v>1150</v>
      </c>
      <c r="D482" t="s">
        <v>1151</v>
      </c>
      <c r="E482" s="1" t="s">
        <v>1152</v>
      </c>
      <c r="F482">
        <f>VLOOKUP(A482,Classifications!$A:$E,5,FALSE)</f>
        <v>2</v>
      </c>
      <c r="G482">
        <f>VLOOKUP(A482,Classifications!$A:$F,6,FALSE)</f>
        <v>3</v>
      </c>
      <c r="H482">
        <f>VLOOKUP(A482,Classifications!$A:$G,7,FALSE)</f>
        <v>41</v>
      </c>
      <c r="I482" t="s">
        <v>24</v>
      </c>
      <c r="J482" s="2">
        <v>44229.28496527778</v>
      </c>
    </row>
    <row r="483" spans="1:10" ht="12.75" customHeight="1" x14ac:dyDescent="0.3">
      <c r="A483">
        <v>1356819</v>
      </c>
      <c r="B483" t="s">
        <v>87</v>
      </c>
      <c r="C483" t="s">
        <v>1153</v>
      </c>
      <c r="D483" t="s">
        <v>1154</v>
      </c>
      <c r="E483" s="1" t="s">
        <v>1155</v>
      </c>
      <c r="F483">
        <f>VLOOKUP(A483,Classifications!$A:$E,5,FALSE)</f>
        <v>1</v>
      </c>
      <c r="G483">
        <f>VLOOKUP(A483,Classifications!$A:$F,6,FALSE)</f>
        <v>3</v>
      </c>
      <c r="H483">
        <f>VLOOKUP(A483,Classifications!$A:$G,7,FALSE)</f>
        <v>41</v>
      </c>
      <c r="I483" t="s">
        <v>11</v>
      </c>
      <c r="J483" s="2">
        <v>44229.005115740743</v>
      </c>
    </row>
    <row r="484" spans="1:10" ht="12.75" customHeight="1" x14ac:dyDescent="0.3">
      <c r="A484">
        <v>1356792</v>
      </c>
      <c r="B484" t="s">
        <v>1035</v>
      </c>
      <c r="C484" t="s">
        <v>1036</v>
      </c>
      <c r="D484" t="s">
        <v>1156</v>
      </c>
      <c r="E484" s="1" t="s">
        <v>1157</v>
      </c>
      <c r="F484">
        <f>VLOOKUP(A484,Classifications!$A:$E,5,FALSE)</f>
        <v>1</v>
      </c>
      <c r="G484">
        <f>VLOOKUP(A484,Classifications!$A:$F,6,FALSE)</f>
        <v>1</v>
      </c>
      <c r="H484">
        <f>VLOOKUP(A484,Classifications!$A:$G,7,FALSE)</f>
        <v>36</v>
      </c>
      <c r="I484" t="s">
        <v>1158</v>
      </c>
      <c r="J484" s="2">
        <v>44229.000034722223</v>
      </c>
    </row>
    <row r="485" spans="1:10" ht="12.75" customHeight="1" x14ac:dyDescent="0.3">
      <c r="A485">
        <v>1356791</v>
      </c>
      <c r="B485" t="s">
        <v>545</v>
      </c>
      <c r="C485" t="s">
        <v>1058</v>
      </c>
      <c r="D485" t="s">
        <v>1159</v>
      </c>
      <c r="E485" s="1" t="s">
        <v>1160</v>
      </c>
      <c r="F485">
        <f>VLOOKUP(A485,Classifications!$A:$E,5,FALSE)</f>
        <v>1</v>
      </c>
      <c r="G485">
        <f>VLOOKUP(A485,Classifications!$A:$F,6,FALSE)</f>
        <v>1</v>
      </c>
      <c r="H485">
        <f>VLOOKUP(A485,Classifications!$A:$G,7,FALSE)</f>
        <v>36</v>
      </c>
      <c r="I485" t="s">
        <v>1158</v>
      </c>
      <c r="J485" s="2">
        <v>44229.000023148146</v>
      </c>
    </row>
    <row r="486" spans="1:10" ht="12.75" customHeight="1" x14ac:dyDescent="0.3">
      <c r="A486">
        <v>1356651</v>
      </c>
      <c r="B486" t="s">
        <v>53</v>
      </c>
      <c r="C486" t="s">
        <v>1161</v>
      </c>
      <c r="D486" t="s">
        <v>1162</v>
      </c>
      <c r="E486" s="1" t="s">
        <v>1163</v>
      </c>
      <c r="F486">
        <f>VLOOKUP(A486,Classifications!$A:$E,5,FALSE)</f>
        <v>1</v>
      </c>
      <c r="G486">
        <f>VLOOKUP(A486,Classifications!$A:$F,6,FALSE)</f>
        <v>1</v>
      </c>
      <c r="H486">
        <f>VLOOKUP(A486,Classifications!$A:$G,7,FALSE)</f>
        <v>43</v>
      </c>
      <c r="I486" t="s">
        <v>11</v>
      </c>
      <c r="J486" s="2">
        <v>44228.838078703702</v>
      </c>
    </row>
    <row r="487" spans="1:10" ht="12.75" customHeight="1" x14ac:dyDescent="0.3">
      <c r="A487">
        <v>1356639</v>
      </c>
      <c r="B487" t="s">
        <v>53</v>
      </c>
      <c r="C487" t="s">
        <v>158</v>
      </c>
      <c r="D487" t="s">
        <v>1164</v>
      </c>
      <c r="E487" s="1" t="s">
        <v>1165</v>
      </c>
      <c r="F487">
        <f>VLOOKUP(A487,Classifications!$A:$E,5,FALSE)</f>
        <v>1</v>
      </c>
      <c r="G487">
        <f>VLOOKUP(A487,Classifications!$A:$F,6,FALSE)</f>
        <v>1</v>
      </c>
      <c r="H487">
        <f>VLOOKUP(A487,Classifications!$A:$G,7,FALSE)</f>
        <v>43</v>
      </c>
      <c r="I487" t="s">
        <v>11</v>
      </c>
      <c r="J487" s="2">
        <v>44228.810914351852</v>
      </c>
    </row>
    <row r="488" spans="1:10" ht="12.75" customHeight="1" x14ac:dyDescent="0.3">
      <c r="A488">
        <v>1356564</v>
      </c>
      <c r="B488" t="s">
        <v>553</v>
      </c>
      <c r="C488" t="s">
        <v>1166</v>
      </c>
      <c r="D488" t="s">
        <v>1167</v>
      </c>
      <c r="E488" s="1" t="s">
        <v>1168</v>
      </c>
      <c r="F488">
        <f>VLOOKUP(A488,Classifications!$A:$E,5,FALSE)</f>
        <v>1</v>
      </c>
      <c r="G488">
        <f>VLOOKUP(A488,Classifications!$A:$F,6,FALSE)</f>
        <v>1</v>
      </c>
      <c r="H488">
        <f>VLOOKUP(A488,Classifications!$A:$G,7,FALSE)</f>
        <v>36</v>
      </c>
      <c r="I488" t="s">
        <v>11</v>
      </c>
      <c r="J488" s="2">
        <v>44228.716307870367</v>
      </c>
    </row>
    <row r="489" spans="1:10" ht="12.75" customHeight="1" x14ac:dyDescent="0.3">
      <c r="A489">
        <v>1356548</v>
      </c>
      <c r="B489" t="s">
        <v>1169</v>
      </c>
      <c r="C489" t="s">
        <v>1170</v>
      </c>
      <c r="D489" t="s">
        <v>1171</v>
      </c>
      <c r="E489" s="1" t="s">
        <v>1172</v>
      </c>
      <c r="F489">
        <f>VLOOKUP(A489,Classifications!$A:$E,5,FALSE)</f>
        <v>3</v>
      </c>
      <c r="G489">
        <f>VLOOKUP(A489,Classifications!$A:$F,6,FALSE)</f>
        <v>3</v>
      </c>
      <c r="H489">
        <f>VLOOKUP(A489,Classifications!$A:$G,7,FALSE)</f>
        <v>41</v>
      </c>
      <c r="I489" t="s">
        <v>11</v>
      </c>
      <c r="J489" s="2">
        <v>44228.690949074073</v>
      </c>
    </row>
    <row r="490" spans="1:10" ht="12.75" customHeight="1" x14ac:dyDescent="0.3">
      <c r="A490">
        <v>1356540</v>
      </c>
      <c r="B490" t="s">
        <v>350</v>
      </c>
      <c r="C490" t="s">
        <v>351</v>
      </c>
      <c r="D490" t="s">
        <v>1173</v>
      </c>
      <c r="E490" s="1" t="s">
        <v>1174</v>
      </c>
      <c r="F490">
        <f>VLOOKUP(A490,Classifications!$A:$E,5,FALSE)</f>
        <v>1</v>
      </c>
      <c r="G490">
        <f>VLOOKUP(A490,Classifications!$A:$F,6,FALSE)</f>
        <v>2</v>
      </c>
      <c r="H490">
        <f>VLOOKUP(A490,Classifications!$A:$G,7,FALSE)</f>
        <v>43</v>
      </c>
      <c r="I490" t="s">
        <v>24</v>
      </c>
      <c r="J490" s="2">
        <v>44228.684942129628</v>
      </c>
    </row>
    <row r="491" spans="1:10" ht="12.75" customHeight="1" x14ac:dyDescent="0.3">
      <c r="A491">
        <v>1356536</v>
      </c>
      <c r="B491" t="s">
        <v>36</v>
      </c>
      <c r="C491" t="s">
        <v>1175</v>
      </c>
      <c r="D491" t="s">
        <v>1176</v>
      </c>
      <c r="E491" s="1" t="s">
        <v>1177</v>
      </c>
      <c r="F491">
        <f>VLOOKUP(A491,Classifications!$A:$E,5,FALSE)</f>
        <v>1</v>
      </c>
      <c r="G491">
        <f>VLOOKUP(A491,Classifications!$A:$F,6,FALSE)</f>
        <v>2</v>
      </c>
      <c r="H491">
        <f>VLOOKUP(A491,Classifications!$A:$G,7,FALSE)</f>
        <v>43</v>
      </c>
      <c r="I491" t="s">
        <v>24</v>
      </c>
      <c r="J491" s="2">
        <v>44228.680277777778</v>
      </c>
    </row>
    <row r="492" spans="1:10" ht="12.75" customHeight="1" x14ac:dyDescent="0.3">
      <c r="A492">
        <v>1356531</v>
      </c>
      <c r="B492" t="s">
        <v>157</v>
      </c>
      <c r="C492" t="s">
        <v>1178</v>
      </c>
      <c r="D492" t="s">
        <v>1179</v>
      </c>
      <c r="E492" s="1" t="s">
        <v>1180</v>
      </c>
      <c r="F492">
        <f>VLOOKUP(A492,Classifications!$A:$E,5,FALSE)</f>
        <v>1</v>
      </c>
      <c r="G492">
        <f>VLOOKUP(A492,Classifications!$A:$F,6,FALSE)</f>
        <v>1</v>
      </c>
      <c r="H492">
        <f>VLOOKUP(A492,Classifications!$A:$G,7,FALSE)</f>
        <v>41</v>
      </c>
      <c r="I492" t="s">
        <v>11</v>
      </c>
      <c r="J492" s="2">
        <v>44228.670324074075</v>
      </c>
    </row>
    <row r="493" spans="1:10" ht="12.75" customHeight="1" x14ac:dyDescent="0.3">
      <c r="A493">
        <v>1356529</v>
      </c>
      <c r="B493" t="s">
        <v>16</v>
      </c>
      <c r="C493" t="s">
        <v>649</v>
      </c>
      <c r="D493" t="s">
        <v>1181</v>
      </c>
      <c r="E493" s="1" t="s">
        <v>1182</v>
      </c>
      <c r="F493">
        <f>VLOOKUP(A493,Classifications!$A:$E,5,FALSE)</f>
        <v>1</v>
      </c>
      <c r="G493">
        <f>VLOOKUP(A493,Classifications!$A:$F,6,FALSE)</f>
        <v>3</v>
      </c>
      <c r="H493">
        <f>VLOOKUP(A493,Classifications!$A:$G,7,FALSE)</f>
        <v>43</v>
      </c>
      <c r="I493" t="s">
        <v>11</v>
      </c>
      <c r="J493" s="2">
        <v>44228.670185185183</v>
      </c>
    </row>
    <row r="494" spans="1:10" ht="12.75" customHeight="1" x14ac:dyDescent="0.3">
      <c r="A494">
        <v>1356526</v>
      </c>
      <c r="B494" t="s">
        <v>230</v>
      </c>
      <c r="C494" t="s">
        <v>1183</v>
      </c>
      <c r="D494" t="s">
        <v>1184</v>
      </c>
      <c r="E494" s="1" t="s">
        <v>1185</v>
      </c>
      <c r="F494">
        <f>VLOOKUP(A494,Classifications!$A:$E,5,FALSE)</f>
        <v>1</v>
      </c>
      <c r="G494">
        <f>VLOOKUP(A494,Classifications!$A:$F,6,FALSE)</f>
        <v>2</v>
      </c>
      <c r="H494">
        <f>VLOOKUP(A494,Classifications!$A:$G,7,FALSE)</f>
        <v>41</v>
      </c>
      <c r="I494" t="s">
        <v>24</v>
      </c>
      <c r="J494" s="2">
        <v>44228.663645833331</v>
      </c>
    </row>
    <row r="495" spans="1:10" ht="12.75" customHeight="1" x14ac:dyDescent="0.3">
      <c r="A495">
        <v>1356524</v>
      </c>
      <c r="B495" t="s">
        <v>20</v>
      </c>
      <c r="C495" t="s">
        <v>136</v>
      </c>
      <c r="D495" t="s">
        <v>1186</v>
      </c>
      <c r="E495" s="1" t="s">
        <v>1187</v>
      </c>
      <c r="F495">
        <f>VLOOKUP(A495,Classifications!$A:$E,5,FALSE)</f>
        <v>1</v>
      </c>
      <c r="G495">
        <f>VLOOKUP(A495,Classifications!$A:$F,6,FALSE)</f>
        <v>2</v>
      </c>
      <c r="H495">
        <f>VLOOKUP(A495,Classifications!$A:$G,7,FALSE)</f>
        <v>41</v>
      </c>
      <c r="I495" t="s">
        <v>11</v>
      </c>
      <c r="J495" s="2">
        <v>44228.658032407409</v>
      </c>
    </row>
    <row r="496" spans="1:10" ht="12.75" customHeight="1" x14ac:dyDescent="0.3">
      <c r="A496">
        <v>1356522</v>
      </c>
      <c r="B496" t="s">
        <v>157</v>
      </c>
      <c r="C496" t="s">
        <v>1188</v>
      </c>
      <c r="D496" t="s">
        <v>1189</v>
      </c>
      <c r="E496" s="1" t="s">
        <v>1190</v>
      </c>
      <c r="F496">
        <f>VLOOKUP(A496,Classifications!$A:$E,5,FALSE)</f>
        <v>1</v>
      </c>
      <c r="G496">
        <f>VLOOKUP(A496,Classifications!$A:$F,6,FALSE)</f>
        <v>3</v>
      </c>
      <c r="H496">
        <f>VLOOKUP(A496,Classifications!$A:$G,7,FALSE)</f>
        <v>41</v>
      </c>
      <c r="I496" t="s">
        <v>11</v>
      </c>
      <c r="J496" s="2">
        <v>44228.654583333337</v>
      </c>
    </row>
    <row r="497" spans="1:10" ht="12.75" customHeight="1" x14ac:dyDescent="0.3">
      <c r="A497">
        <v>1356516</v>
      </c>
      <c r="B497" t="s">
        <v>177</v>
      </c>
      <c r="C497" t="s">
        <v>1191</v>
      </c>
      <c r="D497" t="s">
        <v>1192</v>
      </c>
      <c r="E497" s="1" t="s">
        <v>1193</v>
      </c>
      <c r="F497">
        <f>VLOOKUP(A497,Classifications!$A:$E,5,FALSE)</f>
        <v>1</v>
      </c>
      <c r="G497">
        <f>VLOOKUP(A497,Classifications!$A:$F,6,FALSE)</f>
        <v>1</v>
      </c>
      <c r="H497">
        <f>VLOOKUP(A497,Classifications!$A:$G,7,FALSE)</f>
        <v>43</v>
      </c>
      <c r="I497" t="s">
        <v>11</v>
      </c>
      <c r="J497" s="2">
        <v>44228.6487037037</v>
      </c>
    </row>
    <row r="498" spans="1:10" ht="12.75" customHeight="1" x14ac:dyDescent="0.3">
      <c r="A498">
        <v>1356512</v>
      </c>
      <c r="B498" t="s">
        <v>53</v>
      </c>
      <c r="C498" t="s">
        <v>1194</v>
      </c>
      <c r="D498" t="s">
        <v>1195</v>
      </c>
      <c r="E498" s="1" t="s">
        <v>1196</v>
      </c>
      <c r="F498">
        <f>VLOOKUP(A498,Classifications!$A:$E,5,FALSE)</f>
        <v>1</v>
      </c>
      <c r="G498">
        <f>VLOOKUP(A498,Classifications!$A:$F,6,FALSE)</f>
        <v>1</v>
      </c>
      <c r="H498">
        <f>VLOOKUP(A498,Classifications!$A:$G,7,FALSE)</f>
        <v>43</v>
      </c>
      <c r="I498" t="s">
        <v>11</v>
      </c>
      <c r="J498" s="2">
        <v>44228.643229166664</v>
      </c>
    </row>
    <row r="499" spans="1:10" ht="12.75" customHeight="1" x14ac:dyDescent="0.3">
      <c r="A499">
        <v>1356505</v>
      </c>
      <c r="B499" t="s">
        <v>1197</v>
      </c>
      <c r="C499" t="s">
        <v>1198</v>
      </c>
      <c r="D499" t="s">
        <v>1199</v>
      </c>
      <c r="E499" s="1" t="s">
        <v>1200</v>
      </c>
      <c r="F499">
        <f>VLOOKUP(A499,Classifications!$A:$E,5,FALSE)</f>
        <v>3</v>
      </c>
      <c r="G499">
        <f>VLOOKUP(A499,Classifications!$A:$F,6,FALSE)</f>
        <v>2</v>
      </c>
      <c r="H499">
        <f>VLOOKUP(A499,Classifications!$A:$G,7,FALSE)</f>
        <v>41</v>
      </c>
      <c r="I499" t="s">
        <v>11</v>
      </c>
      <c r="J499" s="2">
        <v>44228.633703703701</v>
      </c>
    </row>
    <row r="500" spans="1:10" ht="12.75" customHeight="1" x14ac:dyDescent="0.3">
      <c r="A500">
        <v>1356494</v>
      </c>
      <c r="B500" t="s">
        <v>515</v>
      </c>
      <c r="C500" t="s">
        <v>516</v>
      </c>
      <c r="D500" t="s">
        <v>1201</v>
      </c>
      <c r="E500" s="1" t="s">
        <v>1202</v>
      </c>
      <c r="F500">
        <f>VLOOKUP(A500,Classifications!$A:$E,5,FALSE)</f>
        <v>1</v>
      </c>
      <c r="G500">
        <f>VLOOKUP(A500,Classifications!$A:$F,6,FALSE)</f>
        <v>1</v>
      </c>
      <c r="H500">
        <f>VLOOKUP(A500,Classifications!$A:$G,7,FALSE)</f>
        <v>43</v>
      </c>
      <c r="I500" t="s">
        <v>11</v>
      </c>
      <c r="J500" s="2">
        <v>44228.619328703702</v>
      </c>
    </row>
    <row r="501" spans="1:10" ht="12.75" customHeight="1" x14ac:dyDescent="0.3">
      <c r="A501">
        <v>1356483</v>
      </c>
      <c r="B501" t="s">
        <v>746</v>
      </c>
      <c r="C501" t="s">
        <v>1203</v>
      </c>
      <c r="D501" t="s">
        <v>1204</v>
      </c>
      <c r="E501" s="1" t="s">
        <v>1205</v>
      </c>
      <c r="F501">
        <f>VLOOKUP(A501,Classifications!$A:$E,5,FALSE)</f>
        <v>3</v>
      </c>
      <c r="G501">
        <f>VLOOKUP(A501,Classifications!$A:$F,6,FALSE)</f>
        <v>1</v>
      </c>
      <c r="H501">
        <f>VLOOKUP(A501,Classifications!$A:$G,7,FALSE)</f>
        <v>43</v>
      </c>
      <c r="I501" t="s">
        <v>24</v>
      </c>
      <c r="J501" s="2">
        <v>44228.607465277775</v>
      </c>
    </row>
    <row r="502" spans="1:10" ht="12.75" customHeight="1" x14ac:dyDescent="0.3">
      <c r="A502">
        <v>1356467</v>
      </c>
      <c r="B502" t="s">
        <v>813</v>
      </c>
      <c r="C502" t="s">
        <v>1206</v>
      </c>
      <c r="D502" t="s">
        <v>1207</v>
      </c>
      <c r="E502" s="1" t="s">
        <v>1208</v>
      </c>
      <c r="F502">
        <f>VLOOKUP(A502,Classifications!$A:$E,5,FALSE)</f>
        <v>1</v>
      </c>
      <c r="G502">
        <f>VLOOKUP(A502,Classifications!$A:$F,6,FALSE)</f>
        <v>2</v>
      </c>
      <c r="H502">
        <f>VLOOKUP(A502,Classifications!$A:$G,7,FALSE)</f>
        <v>41</v>
      </c>
      <c r="I502" t="s">
        <v>11</v>
      </c>
      <c r="J502" s="2">
        <v>44228.577928240738</v>
      </c>
    </row>
    <row r="503" spans="1:10" ht="12.75" customHeight="1" x14ac:dyDescent="0.3">
      <c r="A503">
        <v>1356460</v>
      </c>
      <c r="B503" t="s">
        <v>95</v>
      </c>
      <c r="C503" t="s">
        <v>668</v>
      </c>
      <c r="D503" t="s">
        <v>1209</v>
      </c>
      <c r="E503" s="1" t="s">
        <v>1210</v>
      </c>
      <c r="F503">
        <f>VLOOKUP(A503,Classifications!$A:$E,5,FALSE)</f>
        <v>1</v>
      </c>
      <c r="G503">
        <f>VLOOKUP(A503,Classifications!$A:$F,6,FALSE)</f>
        <v>1</v>
      </c>
      <c r="H503">
        <f>VLOOKUP(A503,Classifications!$A:$G,7,FALSE)</f>
        <v>41</v>
      </c>
      <c r="I503" t="s">
        <v>11</v>
      </c>
      <c r="J503" s="2">
        <v>44228.569537037038</v>
      </c>
    </row>
    <row r="504" spans="1:10" ht="12.75" customHeight="1" x14ac:dyDescent="0.3">
      <c r="A504">
        <v>1356457</v>
      </c>
      <c r="B504" t="s">
        <v>16</v>
      </c>
      <c r="C504" t="s">
        <v>649</v>
      </c>
      <c r="D504" t="s">
        <v>1211</v>
      </c>
      <c r="E504" s="1" t="s">
        <v>1212</v>
      </c>
      <c r="F504">
        <f>VLOOKUP(A504,Classifications!$A:$E,5,FALSE)</f>
        <v>1</v>
      </c>
      <c r="G504">
        <f>VLOOKUP(A504,Classifications!$A:$F,6,FALSE)</f>
        <v>3</v>
      </c>
      <c r="H504">
        <f>VLOOKUP(A504,Classifications!$A:$G,7,FALSE)</f>
        <v>43</v>
      </c>
      <c r="I504" t="s">
        <v>11</v>
      </c>
      <c r="J504" s="2">
        <v>44228.564317129632</v>
      </c>
    </row>
    <row r="505" spans="1:10" ht="12.75" customHeight="1" x14ac:dyDescent="0.3">
      <c r="A505">
        <v>1356456</v>
      </c>
      <c r="B505" t="s">
        <v>350</v>
      </c>
      <c r="C505" t="s">
        <v>1213</v>
      </c>
      <c r="D505" t="s">
        <v>1214</v>
      </c>
      <c r="E505" s="1" t="s">
        <v>1215</v>
      </c>
      <c r="F505">
        <f>VLOOKUP(A505,Classifications!$A:$E,5,FALSE)</f>
        <v>1</v>
      </c>
      <c r="G505">
        <f>VLOOKUP(A505,Classifications!$A:$F,6,FALSE)</f>
        <v>3</v>
      </c>
      <c r="H505">
        <f>VLOOKUP(A505,Classifications!$A:$G,7,FALSE)</f>
        <v>41</v>
      </c>
      <c r="I505" t="s">
        <v>24</v>
      </c>
      <c r="J505" s="2">
        <v>44228.562800925924</v>
      </c>
    </row>
    <row r="506" spans="1:10" ht="12.75" customHeight="1" x14ac:dyDescent="0.3">
      <c r="A506">
        <v>1356449</v>
      </c>
      <c r="B506" t="s">
        <v>7</v>
      </c>
      <c r="C506" t="s">
        <v>923</v>
      </c>
      <c r="D506" t="s">
        <v>1216</v>
      </c>
      <c r="E506" s="1" t="s">
        <v>925</v>
      </c>
      <c r="F506">
        <f>VLOOKUP(A506,Classifications!$A:$E,5,FALSE)</f>
        <v>1</v>
      </c>
      <c r="G506">
        <f>VLOOKUP(A506,Classifications!$A:$F,6,FALSE)</f>
        <v>2</v>
      </c>
      <c r="H506">
        <f>VLOOKUP(A506,Classifications!$A:$G,7,FALSE)</f>
        <v>43</v>
      </c>
      <c r="I506" t="s">
        <v>24</v>
      </c>
      <c r="J506" s="2">
        <v>44228.546932870369</v>
      </c>
    </row>
    <row r="507" spans="1:10" ht="12.75" customHeight="1" x14ac:dyDescent="0.3">
      <c r="A507">
        <v>1356448</v>
      </c>
      <c r="B507" t="s">
        <v>16</v>
      </c>
      <c r="C507" t="s">
        <v>1217</v>
      </c>
      <c r="D507" t="s">
        <v>1218</v>
      </c>
      <c r="E507" s="1" t="s">
        <v>1219</v>
      </c>
      <c r="F507">
        <f>VLOOKUP(A507,Classifications!$A:$E,5,FALSE)</f>
        <v>1</v>
      </c>
      <c r="G507">
        <f>VLOOKUP(A507,Classifications!$A:$F,6,FALSE)</f>
        <v>2</v>
      </c>
      <c r="H507">
        <f>VLOOKUP(A507,Classifications!$A:$G,7,FALSE)</f>
        <v>43</v>
      </c>
      <c r="I507" t="s">
        <v>11</v>
      </c>
      <c r="J507" s="2">
        <v>44228.545983796299</v>
      </c>
    </row>
    <row r="508" spans="1:10" ht="12.75" customHeight="1" x14ac:dyDescent="0.3">
      <c r="A508">
        <v>1356442</v>
      </c>
      <c r="B508" t="s">
        <v>118</v>
      </c>
      <c r="C508" t="s">
        <v>200</v>
      </c>
      <c r="D508" t="s">
        <v>1220</v>
      </c>
      <c r="E508" s="1" t="s">
        <v>1221</v>
      </c>
      <c r="F508">
        <f>VLOOKUP(A508,Classifications!$A:$E,5,FALSE)</f>
        <v>1</v>
      </c>
      <c r="G508">
        <f>VLOOKUP(A508,Classifications!$A:$F,6,FALSE)</f>
        <v>1</v>
      </c>
      <c r="H508">
        <f>VLOOKUP(A508,Classifications!$A:$G,7,FALSE)</f>
        <v>43</v>
      </c>
      <c r="I508" t="s">
        <v>11</v>
      </c>
      <c r="J508" s="2">
        <v>44228.536446759259</v>
      </c>
    </row>
    <row r="509" spans="1:10" ht="12.75" customHeight="1" x14ac:dyDescent="0.3">
      <c r="A509">
        <v>1356431</v>
      </c>
      <c r="B509" t="s">
        <v>281</v>
      </c>
      <c r="C509" t="s">
        <v>1222</v>
      </c>
      <c r="D509" t="s">
        <v>1223</v>
      </c>
      <c r="E509" s="1" t="s">
        <v>1224</v>
      </c>
      <c r="F509">
        <f>VLOOKUP(A509,Classifications!$A:$E,5,FALSE)</f>
        <v>1</v>
      </c>
      <c r="G509">
        <f>VLOOKUP(A509,Classifications!$A:$F,6,FALSE)</f>
        <v>1</v>
      </c>
      <c r="H509">
        <f>VLOOKUP(A509,Classifications!$A:$G,7,FALSE)</f>
        <v>43</v>
      </c>
      <c r="I509" t="s">
        <v>11</v>
      </c>
      <c r="J509" s="2">
        <v>44228.516099537039</v>
      </c>
    </row>
    <row r="510" spans="1:10" ht="12.75" customHeight="1" x14ac:dyDescent="0.3">
      <c r="A510">
        <v>1356430</v>
      </c>
      <c r="B510" t="s">
        <v>70</v>
      </c>
      <c r="C510" t="s">
        <v>1225</v>
      </c>
      <c r="D510" t="s">
        <v>1226</v>
      </c>
      <c r="E510" s="1" t="s">
        <v>1227</v>
      </c>
      <c r="F510">
        <f>VLOOKUP(A510,Classifications!$A:$E,5,FALSE)</f>
        <v>1</v>
      </c>
      <c r="G510">
        <f>VLOOKUP(A510,Classifications!$A:$F,6,FALSE)</f>
        <v>1</v>
      </c>
      <c r="H510">
        <f>VLOOKUP(A510,Classifications!$A:$G,7,FALSE)</f>
        <v>41</v>
      </c>
      <c r="I510" t="s">
        <v>11</v>
      </c>
      <c r="J510" s="2">
        <v>44228.513865740744</v>
      </c>
    </row>
    <row r="511" spans="1:10" ht="12.75" customHeight="1" x14ac:dyDescent="0.3">
      <c r="A511">
        <v>1356423</v>
      </c>
      <c r="B511" t="s">
        <v>746</v>
      </c>
      <c r="C511" t="s">
        <v>1228</v>
      </c>
      <c r="D511" t="s">
        <v>1229</v>
      </c>
      <c r="E511" s="1" t="s">
        <v>1230</v>
      </c>
      <c r="F511">
        <f>VLOOKUP(A511,Classifications!$A:$E,5,FALSE)</f>
        <v>1</v>
      </c>
      <c r="G511">
        <f>VLOOKUP(A511,Classifications!$A:$F,6,FALSE)</f>
        <v>2</v>
      </c>
      <c r="H511">
        <f>VLOOKUP(A511,Classifications!$A:$G,7,FALSE)</f>
        <v>43</v>
      </c>
      <c r="I511" t="s">
        <v>11</v>
      </c>
      <c r="J511" s="2">
        <v>44228.494988425926</v>
      </c>
    </row>
    <row r="512" spans="1:10" ht="12.75" customHeight="1" x14ac:dyDescent="0.3">
      <c r="A512">
        <v>1356421</v>
      </c>
      <c r="B512" t="s">
        <v>157</v>
      </c>
      <c r="C512" t="s">
        <v>1178</v>
      </c>
      <c r="D512" t="s">
        <v>1231</v>
      </c>
      <c r="E512" s="1" t="s">
        <v>1232</v>
      </c>
      <c r="F512">
        <f>VLOOKUP(A512,Classifications!$A:$E,5,FALSE)</f>
        <v>1</v>
      </c>
      <c r="G512">
        <f>VLOOKUP(A512,Classifications!$A:$F,6,FALSE)</f>
        <v>2</v>
      </c>
      <c r="H512">
        <f>VLOOKUP(A512,Classifications!$A:$G,7,FALSE)</f>
        <v>41</v>
      </c>
      <c r="I512" t="s">
        <v>11</v>
      </c>
      <c r="J512" s="2">
        <v>44228.484780092593</v>
      </c>
    </row>
    <row r="513" spans="1:10" ht="12.75" customHeight="1" x14ac:dyDescent="0.3">
      <c r="A513">
        <v>1356419</v>
      </c>
      <c r="B513" t="s">
        <v>1197</v>
      </c>
      <c r="C513" t="s">
        <v>1233</v>
      </c>
      <c r="D513" t="s">
        <v>1234</v>
      </c>
      <c r="E513" s="1" t="s">
        <v>1235</v>
      </c>
      <c r="F513">
        <f>VLOOKUP(A513,Classifications!$A:$E,5,FALSE)</f>
        <v>2</v>
      </c>
      <c r="G513">
        <f>VLOOKUP(A513,Classifications!$A:$F,6,FALSE)</f>
        <v>3</v>
      </c>
      <c r="H513">
        <f>VLOOKUP(A513,Classifications!$A:$G,7,FALSE)</f>
        <v>41</v>
      </c>
      <c r="I513" t="s">
        <v>11</v>
      </c>
      <c r="J513" s="2">
        <v>44228.480636574073</v>
      </c>
    </row>
    <row r="514" spans="1:10" ht="12.75" customHeight="1" x14ac:dyDescent="0.3">
      <c r="A514">
        <v>1356416</v>
      </c>
      <c r="B514" t="s">
        <v>1236</v>
      </c>
      <c r="C514" t="s">
        <v>1237</v>
      </c>
      <c r="D514" t="s">
        <v>1238</v>
      </c>
      <c r="E514" s="1" t="s">
        <v>1239</v>
      </c>
      <c r="F514">
        <f>VLOOKUP(A514,Classifications!$A:$E,5,FALSE)</f>
        <v>1</v>
      </c>
      <c r="G514">
        <f>VLOOKUP(A514,Classifications!$A:$F,6,FALSE)</f>
        <v>1</v>
      </c>
      <c r="H514">
        <f>VLOOKUP(A514,Classifications!$A:$G,7,FALSE)</f>
        <v>43</v>
      </c>
      <c r="I514" t="s">
        <v>11</v>
      </c>
      <c r="J514" s="2">
        <v>44228.474976851852</v>
      </c>
    </row>
    <row r="515" spans="1:10" ht="12.75" customHeight="1" x14ac:dyDescent="0.3">
      <c r="A515">
        <v>1356414</v>
      </c>
      <c r="B515" t="s">
        <v>53</v>
      </c>
      <c r="C515" t="s">
        <v>1240</v>
      </c>
      <c r="D515" t="s">
        <v>1241</v>
      </c>
      <c r="E515" s="1" t="s">
        <v>1242</v>
      </c>
      <c r="F515">
        <f>VLOOKUP(A515,Classifications!$A:$E,5,FALSE)</f>
        <v>1</v>
      </c>
      <c r="G515">
        <f>VLOOKUP(A515,Classifications!$A:$F,6,FALSE)</f>
        <v>2</v>
      </c>
      <c r="H515">
        <f>VLOOKUP(A515,Classifications!$A:$G,7,FALSE)</f>
        <v>41</v>
      </c>
      <c r="I515" t="s">
        <v>11</v>
      </c>
      <c r="J515" s="2">
        <v>44228.472141203703</v>
      </c>
    </row>
    <row r="516" spans="1:10" ht="12.75" customHeight="1" x14ac:dyDescent="0.3">
      <c r="A516">
        <v>1356413</v>
      </c>
      <c r="B516" t="s">
        <v>1052</v>
      </c>
      <c r="C516" t="s">
        <v>1243</v>
      </c>
      <c r="D516" t="s">
        <v>1244</v>
      </c>
      <c r="E516" s="1" t="s">
        <v>1245</v>
      </c>
      <c r="F516">
        <f>VLOOKUP(A516,Classifications!$A:$E,5,FALSE)</f>
        <v>1</v>
      </c>
      <c r="G516">
        <f>VLOOKUP(A516,Classifications!$A:$F,6,FALSE)</f>
        <v>2</v>
      </c>
      <c r="H516">
        <f>VLOOKUP(A516,Classifications!$A:$G,7,FALSE)</f>
        <v>41</v>
      </c>
      <c r="I516" t="s">
        <v>11</v>
      </c>
      <c r="J516" s="2">
        <v>44228.470729166664</v>
      </c>
    </row>
    <row r="517" spans="1:10" ht="12.75" customHeight="1" x14ac:dyDescent="0.3">
      <c r="A517">
        <v>1356411</v>
      </c>
      <c r="B517" t="s">
        <v>36</v>
      </c>
      <c r="C517" t="s">
        <v>1246</v>
      </c>
      <c r="D517" t="s">
        <v>1247</v>
      </c>
      <c r="E517" s="1" t="s">
        <v>1248</v>
      </c>
      <c r="F517">
        <f>VLOOKUP(A517,Classifications!$A:$E,5,FALSE)</f>
        <v>2</v>
      </c>
      <c r="G517">
        <f>VLOOKUP(A517,Classifications!$A:$F,6,FALSE)</f>
        <v>2</v>
      </c>
      <c r="H517">
        <f>VLOOKUP(A517,Classifications!$A:$G,7,FALSE)</f>
        <v>41</v>
      </c>
      <c r="I517" t="s">
        <v>24</v>
      </c>
      <c r="J517" s="2">
        <v>44228.460613425923</v>
      </c>
    </row>
    <row r="518" spans="1:10" ht="12.75" customHeight="1" x14ac:dyDescent="0.3">
      <c r="A518">
        <v>1356410</v>
      </c>
      <c r="B518" t="s">
        <v>16</v>
      </c>
      <c r="C518" t="s">
        <v>272</v>
      </c>
      <c r="D518" t="s">
        <v>1249</v>
      </c>
      <c r="E518" s="1" t="s">
        <v>1250</v>
      </c>
      <c r="F518">
        <f>VLOOKUP(A518,Classifications!$A:$E,5,FALSE)</f>
        <v>1</v>
      </c>
      <c r="G518">
        <f>VLOOKUP(A518,Classifications!$A:$F,6,FALSE)</f>
        <v>2</v>
      </c>
      <c r="H518">
        <f>VLOOKUP(A518,Classifications!$A:$G,7,FALSE)</f>
        <v>43</v>
      </c>
      <c r="I518" t="s">
        <v>11</v>
      </c>
      <c r="J518" s="2">
        <v>44228.460474537038</v>
      </c>
    </row>
    <row r="519" spans="1:10" ht="12.75" customHeight="1" x14ac:dyDescent="0.3">
      <c r="A519">
        <v>1356409</v>
      </c>
      <c r="B519" t="s">
        <v>53</v>
      </c>
      <c r="C519" t="s">
        <v>54</v>
      </c>
      <c r="D519" t="s">
        <v>1251</v>
      </c>
      <c r="E519" s="1" t="s">
        <v>1252</v>
      </c>
      <c r="F519">
        <f>VLOOKUP(A519,Classifications!$A:$E,5,FALSE)</f>
        <v>1</v>
      </c>
      <c r="G519">
        <f>VLOOKUP(A519,Classifications!$A:$F,6,FALSE)</f>
        <v>2</v>
      </c>
      <c r="H519">
        <f>VLOOKUP(A519,Classifications!$A:$G,7,FALSE)</f>
        <v>43</v>
      </c>
      <c r="I519" t="s">
        <v>11</v>
      </c>
      <c r="J519" s="2">
        <v>44228.459270833337</v>
      </c>
    </row>
    <row r="520" spans="1:10" ht="12.75" customHeight="1" x14ac:dyDescent="0.3">
      <c r="A520">
        <v>1356406</v>
      </c>
      <c r="B520" t="s">
        <v>20</v>
      </c>
      <c r="C520" t="s">
        <v>57</v>
      </c>
      <c r="D520" t="s">
        <v>1253</v>
      </c>
      <c r="E520" s="1" t="s">
        <v>1254</v>
      </c>
      <c r="F520">
        <f>VLOOKUP(A520,Classifications!$A:$E,5,FALSE)</f>
        <v>1</v>
      </c>
      <c r="G520">
        <f>VLOOKUP(A520,Classifications!$A:$F,6,FALSE)</f>
        <v>2</v>
      </c>
      <c r="H520">
        <f>VLOOKUP(A520,Classifications!$A:$G,7,FALSE)</f>
        <v>41</v>
      </c>
      <c r="I520" t="s">
        <v>24</v>
      </c>
      <c r="J520" s="2">
        <v>44228.451111111113</v>
      </c>
    </row>
    <row r="521" spans="1:10" ht="12.75" customHeight="1" x14ac:dyDescent="0.3">
      <c r="A521">
        <v>1356405</v>
      </c>
      <c r="B521" t="s">
        <v>7</v>
      </c>
      <c r="C521" t="s">
        <v>107</v>
      </c>
      <c r="D521" t="s">
        <v>1255</v>
      </c>
      <c r="E521" s="1" t="s">
        <v>1256</v>
      </c>
      <c r="F521">
        <f>VLOOKUP(A521,Classifications!$A:$E,5,FALSE)</f>
        <v>1</v>
      </c>
      <c r="G521">
        <f>VLOOKUP(A521,Classifications!$A:$F,6,FALSE)</f>
        <v>2</v>
      </c>
      <c r="H521">
        <f>VLOOKUP(A521,Classifications!$A:$G,7,FALSE)</f>
        <v>41</v>
      </c>
      <c r="I521" t="s">
        <v>11</v>
      </c>
      <c r="J521" s="2">
        <v>44228.450891203705</v>
      </c>
    </row>
    <row r="522" spans="1:10" ht="12.75" customHeight="1" x14ac:dyDescent="0.3">
      <c r="A522">
        <v>1356401</v>
      </c>
      <c r="B522" t="s">
        <v>32</v>
      </c>
      <c r="C522" t="s">
        <v>1257</v>
      </c>
      <c r="D522" t="s">
        <v>1258</v>
      </c>
      <c r="E522" s="1" t="s">
        <v>1259</v>
      </c>
      <c r="F522">
        <f>VLOOKUP(A522,Classifications!$A:$E,5,FALSE)</f>
        <v>1</v>
      </c>
      <c r="G522">
        <f>VLOOKUP(A522,Classifications!$A:$F,6,FALSE)</f>
        <v>1</v>
      </c>
      <c r="H522">
        <f>VLOOKUP(A522,Classifications!$A:$G,7,FALSE)</f>
        <v>43</v>
      </c>
      <c r="I522" t="s">
        <v>11</v>
      </c>
      <c r="J522" s="2">
        <v>44228.443020833336</v>
      </c>
    </row>
    <row r="523" spans="1:10" ht="12.75" customHeight="1" x14ac:dyDescent="0.3">
      <c r="A523">
        <v>1356396</v>
      </c>
      <c r="B523" t="s">
        <v>53</v>
      </c>
      <c r="C523" t="s">
        <v>54</v>
      </c>
      <c r="D523" t="s">
        <v>1260</v>
      </c>
      <c r="E523" s="1" t="s">
        <v>1261</v>
      </c>
      <c r="F523">
        <f>VLOOKUP(A523,Classifications!$A:$E,5,FALSE)</f>
        <v>1</v>
      </c>
      <c r="G523">
        <f>VLOOKUP(A523,Classifications!$A:$F,6,FALSE)</f>
        <v>1</v>
      </c>
      <c r="H523">
        <f>VLOOKUP(A523,Classifications!$A:$G,7,FALSE)</f>
        <v>43</v>
      </c>
      <c r="I523" t="s">
        <v>11</v>
      </c>
      <c r="J523" s="2">
        <v>44228.421446759261</v>
      </c>
    </row>
    <row r="524" spans="1:10" ht="12.75" customHeight="1" x14ac:dyDescent="0.3">
      <c r="A524">
        <v>1356366</v>
      </c>
      <c r="B524" t="s">
        <v>12</v>
      </c>
      <c r="C524" t="s">
        <v>161</v>
      </c>
      <c r="D524" t="s">
        <v>1262</v>
      </c>
      <c r="E524" s="1" t="s">
        <v>1263</v>
      </c>
      <c r="F524">
        <f>VLOOKUP(A524,Classifications!$A:$E,5,FALSE)</f>
        <v>1</v>
      </c>
      <c r="G524">
        <f>VLOOKUP(A524,Classifications!$A:$F,6,FALSE)</f>
        <v>1</v>
      </c>
      <c r="H524">
        <f>VLOOKUP(A524,Classifications!$A:$G,7,FALSE)</f>
        <v>41</v>
      </c>
      <c r="I524" t="s">
        <v>11</v>
      </c>
      <c r="J524" s="2">
        <v>44228.41715277778</v>
      </c>
    </row>
    <row r="525" spans="1:10" ht="12.75" customHeight="1" x14ac:dyDescent="0.3">
      <c r="A525">
        <v>1356361</v>
      </c>
      <c r="B525" t="s">
        <v>1264</v>
      </c>
      <c r="C525" t="s">
        <v>1265</v>
      </c>
      <c r="D525" t="s">
        <v>1266</v>
      </c>
      <c r="E525" s="1" t="s">
        <v>1267</v>
      </c>
      <c r="F525">
        <f>VLOOKUP(A525,Classifications!$A:$E,5,FALSE)</f>
        <v>1</v>
      </c>
      <c r="G525">
        <f>VLOOKUP(A525,Classifications!$A:$F,6,FALSE)</f>
        <v>1</v>
      </c>
      <c r="H525">
        <f>VLOOKUP(A525,Classifications!$A:$G,7,FALSE)</f>
        <v>41</v>
      </c>
      <c r="I525" t="s">
        <v>11</v>
      </c>
      <c r="J525" s="2">
        <v>44228.410277777781</v>
      </c>
    </row>
    <row r="526" spans="1:10" ht="12.75" customHeight="1" x14ac:dyDescent="0.3">
      <c r="A526">
        <v>1356360</v>
      </c>
      <c r="B526" t="s">
        <v>1268</v>
      </c>
      <c r="C526" t="s">
        <v>1269</v>
      </c>
      <c r="D526" t="s">
        <v>1270</v>
      </c>
      <c r="E526" s="1" t="s">
        <v>1271</v>
      </c>
      <c r="F526">
        <f>VLOOKUP(A526,Classifications!$A:$E,5,FALSE)</f>
        <v>2</v>
      </c>
      <c r="G526">
        <f>VLOOKUP(A526,Classifications!$A:$F,6,FALSE)</f>
        <v>2</v>
      </c>
      <c r="H526">
        <f>VLOOKUP(A526,Classifications!$A:$G,7,FALSE)</f>
        <v>43</v>
      </c>
      <c r="I526" t="s">
        <v>11</v>
      </c>
      <c r="J526" s="2">
        <v>44228.409675925926</v>
      </c>
    </row>
    <row r="527" spans="1:10" ht="12.75" customHeight="1" x14ac:dyDescent="0.3">
      <c r="A527">
        <v>1356345</v>
      </c>
      <c r="B527" t="s">
        <v>70</v>
      </c>
      <c r="C527" t="s">
        <v>1272</v>
      </c>
      <c r="D527" t="s">
        <v>1273</v>
      </c>
      <c r="E527" s="1" t="s">
        <v>1274</v>
      </c>
      <c r="F527">
        <f>VLOOKUP(A527,Classifications!$A:$E,5,FALSE)</f>
        <v>1</v>
      </c>
      <c r="G527">
        <f>VLOOKUP(A527,Classifications!$A:$F,6,FALSE)</f>
        <v>1</v>
      </c>
      <c r="H527">
        <f>VLOOKUP(A527,Classifications!$A:$G,7,FALSE)</f>
        <v>41</v>
      </c>
      <c r="I527" t="s">
        <v>11</v>
      </c>
      <c r="J527" s="2">
        <v>44228.387719907405</v>
      </c>
    </row>
    <row r="528" spans="1:10" ht="12.75" customHeight="1" x14ac:dyDescent="0.3">
      <c r="A528">
        <v>1356343</v>
      </c>
      <c r="B528" t="s">
        <v>1275</v>
      </c>
      <c r="C528" t="s">
        <v>1276</v>
      </c>
      <c r="D528" t="s">
        <v>1277</v>
      </c>
      <c r="E528" s="1" t="s">
        <v>1278</v>
      </c>
      <c r="F528">
        <f>VLOOKUP(A528,Classifications!$A:$E,5,FALSE)</f>
        <v>1</v>
      </c>
      <c r="G528">
        <f>VLOOKUP(A528,Classifications!$A:$F,6,FALSE)</f>
        <v>1</v>
      </c>
      <c r="H528">
        <f>VLOOKUP(A528,Classifications!$A:$G,7,FALSE)</f>
        <v>43</v>
      </c>
      <c r="I528" t="s">
        <v>11</v>
      </c>
      <c r="J528" s="2">
        <v>44228.385914351849</v>
      </c>
    </row>
    <row r="529" spans="1:10" ht="12.75" customHeight="1" x14ac:dyDescent="0.3">
      <c r="A529">
        <v>1356342</v>
      </c>
      <c r="B529" t="s">
        <v>53</v>
      </c>
      <c r="C529" t="s">
        <v>609</v>
      </c>
      <c r="D529" t="s">
        <v>1279</v>
      </c>
      <c r="E529" s="1" t="s">
        <v>1280</v>
      </c>
      <c r="F529">
        <f>VLOOKUP(A529,Classifications!$A:$E,5,FALSE)</f>
        <v>1</v>
      </c>
      <c r="G529">
        <f>VLOOKUP(A529,Classifications!$A:$F,6,FALSE)</f>
        <v>1</v>
      </c>
      <c r="H529">
        <f>VLOOKUP(A529,Classifications!$A:$G,7,FALSE)</f>
        <v>43</v>
      </c>
      <c r="I529" t="s">
        <v>11</v>
      </c>
      <c r="J529" s="2">
        <v>44228.385671296295</v>
      </c>
    </row>
    <row r="530" spans="1:10" ht="12.75" customHeight="1" x14ac:dyDescent="0.3">
      <c r="A530">
        <v>1356341</v>
      </c>
      <c r="B530" t="s">
        <v>1281</v>
      </c>
      <c r="C530" t="s">
        <v>298</v>
      </c>
      <c r="D530" t="s">
        <v>1282</v>
      </c>
      <c r="E530" s="1" t="s">
        <v>1283</v>
      </c>
      <c r="F530">
        <f>VLOOKUP(A530,Classifications!$A:$E,5,FALSE)</f>
        <v>2</v>
      </c>
      <c r="G530">
        <f>VLOOKUP(A530,Classifications!$A:$F,6,FALSE)</f>
        <v>2</v>
      </c>
      <c r="H530">
        <f>VLOOKUP(A530,Classifications!$A:$G,7,FALSE)</f>
        <v>41</v>
      </c>
      <c r="I530" t="s">
        <v>11</v>
      </c>
      <c r="J530" s="2">
        <v>44228.384502314817</v>
      </c>
    </row>
    <row r="531" spans="1:10" ht="12.75" customHeight="1" x14ac:dyDescent="0.3">
      <c r="A531">
        <v>1356335</v>
      </c>
      <c r="B531" t="s">
        <v>16</v>
      </c>
      <c r="C531" t="s">
        <v>1000</v>
      </c>
      <c r="D531" t="s">
        <v>1284</v>
      </c>
      <c r="E531" s="1" t="s">
        <v>1285</v>
      </c>
      <c r="F531">
        <f>VLOOKUP(A531,Classifications!$A:$E,5,FALSE)</f>
        <v>1</v>
      </c>
      <c r="G531">
        <f>VLOOKUP(A531,Classifications!$A:$F,6,FALSE)</f>
        <v>2</v>
      </c>
      <c r="H531">
        <f>VLOOKUP(A531,Classifications!$A:$G,7,FALSE)</f>
        <v>41</v>
      </c>
      <c r="I531" t="s">
        <v>11</v>
      </c>
      <c r="J531" s="2">
        <v>44228.378009259257</v>
      </c>
    </row>
    <row r="532" spans="1:10" ht="12.75" customHeight="1" x14ac:dyDescent="0.3">
      <c r="A532">
        <v>1356334</v>
      </c>
      <c r="B532" t="s">
        <v>1286</v>
      </c>
      <c r="C532" t="s">
        <v>1287</v>
      </c>
      <c r="D532" t="s">
        <v>1288</v>
      </c>
      <c r="E532" s="1" t="s">
        <v>1289</v>
      </c>
      <c r="F532">
        <f>VLOOKUP(A532,Classifications!$A:$E,5,FALSE)</f>
        <v>1</v>
      </c>
      <c r="G532">
        <f>VLOOKUP(A532,Classifications!$A:$F,6,FALSE)</f>
        <v>1</v>
      </c>
      <c r="H532">
        <f>VLOOKUP(A532,Classifications!$A:$G,7,FALSE)</f>
        <v>36</v>
      </c>
      <c r="I532" t="s">
        <v>24</v>
      </c>
      <c r="J532" s="2">
        <v>44228.374745370369</v>
      </c>
    </row>
    <row r="533" spans="1:10" ht="12.75" customHeight="1" x14ac:dyDescent="0.3">
      <c r="A533">
        <v>1356332</v>
      </c>
      <c r="B533" t="s">
        <v>503</v>
      </c>
      <c r="D533" t="s">
        <v>1290</v>
      </c>
      <c r="E533" s="1" t="s">
        <v>1291</v>
      </c>
      <c r="F533">
        <f>VLOOKUP(A533,Classifications!$A:$E,5,FALSE)</f>
        <v>1</v>
      </c>
      <c r="G533">
        <f>VLOOKUP(A533,Classifications!$A:$F,6,FALSE)</f>
        <v>1</v>
      </c>
      <c r="H533">
        <f>VLOOKUP(A533,Classifications!$A:$G,7,FALSE)</f>
        <v>36</v>
      </c>
      <c r="I533" t="s">
        <v>11</v>
      </c>
      <c r="J533" s="2">
        <v>44228.370208333334</v>
      </c>
    </row>
    <row r="534" spans="1:10" ht="12.75" customHeight="1" x14ac:dyDescent="0.3">
      <c r="A534">
        <v>1356330</v>
      </c>
      <c r="B534" t="s">
        <v>74</v>
      </c>
      <c r="C534" t="s">
        <v>450</v>
      </c>
      <c r="D534" t="s">
        <v>1292</v>
      </c>
      <c r="E534" s="1" t="s">
        <v>1293</v>
      </c>
      <c r="F534">
        <f>VLOOKUP(A534,Classifications!$A:$E,5,FALSE)</f>
        <v>1</v>
      </c>
      <c r="G534">
        <f>VLOOKUP(A534,Classifications!$A:$F,6,FALSE)</f>
        <v>1</v>
      </c>
      <c r="H534">
        <f>VLOOKUP(A534,Classifications!$A:$G,7,FALSE)</f>
        <v>43</v>
      </c>
      <c r="I534" t="s">
        <v>11</v>
      </c>
      <c r="J534" s="2">
        <v>44228.36650462963</v>
      </c>
    </row>
    <row r="535" spans="1:10" ht="12.75" customHeight="1" x14ac:dyDescent="0.3">
      <c r="A535">
        <v>1356329</v>
      </c>
      <c r="B535" t="s">
        <v>157</v>
      </c>
      <c r="C535" t="s">
        <v>708</v>
      </c>
      <c r="D535" t="s">
        <v>709</v>
      </c>
      <c r="E535" s="1" t="s">
        <v>1294</v>
      </c>
      <c r="F535">
        <f>VLOOKUP(A535,Classifications!$A:$E,5,FALSE)</f>
        <v>1</v>
      </c>
      <c r="G535">
        <f>VLOOKUP(A535,Classifications!$A:$F,6,FALSE)</f>
        <v>3</v>
      </c>
      <c r="H535">
        <f>VLOOKUP(A535,Classifications!$A:$G,7,FALSE)</f>
        <v>41</v>
      </c>
      <c r="I535" t="s">
        <v>24</v>
      </c>
      <c r="J535" s="2">
        <v>44228.361550925925</v>
      </c>
    </row>
    <row r="536" spans="1:10" ht="12.75" customHeight="1" x14ac:dyDescent="0.3">
      <c r="A536">
        <v>1356328</v>
      </c>
      <c r="B536" t="s">
        <v>431</v>
      </c>
      <c r="C536" t="s">
        <v>708</v>
      </c>
      <c r="D536" t="s">
        <v>1295</v>
      </c>
      <c r="E536" s="1" t="s">
        <v>1296</v>
      </c>
      <c r="F536">
        <f>VLOOKUP(A536,Classifications!$A:$E,5,FALSE)</f>
        <v>1</v>
      </c>
      <c r="G536">
        <f>VLOOKUP(A536,Classifications!$A:$F,6,FALSE)</f>
        <v>1</v>
      </c>
      <c r="H536">
        <f>VLOOKUP(A536,Classifications!$A:$G,7,FALSE)</f>
        <v>43</v>
      </c>
      <c r="I536" t="s">
        <v>11</v>
      </c>
      <c r="J536" s="2">
        <v>44228.361076388886</v>
      </c>
    </row>
    <row r="537" spans="1:10" ht="12.75" customHeight="1" x14ac:dyDescent="0.3">
      <c r="A537">
        <v>1356327</v>
      </c>
      <c r="B537" t="s">
        <v>184</v>
      </c>
      <c r="C537" t="s">
        <v>185</v>
      </c>
      <c r="D537" t="s">
        <v>1290</v>
      </c>
      <c r="E537" s="1" t="s">
        <v>1291</v>
      </c>
      <c r="F537">
        <f>VLOOKUP(A537,Classifications!$A:$E,5,FALSE)</f>
        <v>1</v>
      </c>
      <c r="G537">
        <f>VLOOKUP(A537,Classifications!$A:$F,6,FALSE)</f>
        <v>1</v>
      </c>
      <c r="H537">
        <f>VLOOKUP(A537,Classifications!$A:$G,7,FALSE)</f>
        <v>36</v>
      </c>
      <c r="I537" t="s">
        <v>11</v>
      </c>
      <c r="J537" s="2">
        <v>44228.360717592594</v>
      </c>
    </row>
    <row r="538" spans="1:10" ht="12.75" customHeight="1" x14ac:dyDescent="0.3">
      <c r="A538">
        <v>1356326</v>
      </c>
      <c r="B538" t="s">
        <v>36</v>
      </c>
      <c r="C538" t="s">
        <v>164</v>
      </c>
      <c r="D538" t="s">
        <v>1297</v>
      </c>
      <c r="E538" s="1" t="s">
        <v>1298</v>
      </c>
      <c r="F538">
        <f>VLOOKUP(A538,Classifications!$A:$E,5,FALSE)</f>
        <v>2</v>
      </c>
      <c r="G538">
        <f>VLOOKUP(A538,Classifications!$A:$F,6,FALSE)</f>
        <v>2</v>
      </c>
      <c r="H538">
        <f>VLOOKUP(A538,Classifications!$A:$G,7,FALSE)</f>
        <v>43</v>
      </c>
      <c r="I538" t="s">
        <v>24</v>
      </c>
      <c r="J538" s="2">
        <v>44228.35833333333</v>
      </c>
    </row>
    <row r="539" spans="1:10" ht="12.75" customHeight="1" x14ac:dyDescent="0.3">
      <c r="A539">
        <v>1356322</v>
      </c>
      <c r="B539" t="s">
        <v>397</v>
      </c>
      <c r="D539" t="s">
        <v>1299</v>
      </c>
      <c r="E539" s="1" t="s">
        <v>1300</v>
      </c>
      <c r="F539">
        <f>VLOOKUP(A539,Classifications!$A:$E,5,FALSE)</f>
        <v>1</v>
      </c>
      <c r="G539">
        <f>VLOOKUP(A539,Classifications!$A:$F,6,FALSE)</f>
        <v>1</v>
      </c>
      <c r="H539">
        <f>VLOOKUP(A539,Classifications!$A:$G,7,FALSE)</f>
        <v>43</v>
      </c>
      <c r="I539" t="s">
        <v>11</v>
      </c>
      <c r="J539" s="2">
        <v>44228.345543981479</v>
      </c>
    </row>
    <row r="540" spans="1:10" ht="12.75" customHeight="1" x14ac:dyDescent="0.3">
      <c r="A540">
        <v>1356320</v>
      </c>
      <c r="B540" t="s">
        <v>32</v>
      </c>
      <c r="C540" t="s">
        <v>1257</v>
      </c>
      <c r="D540" t="s">
        <v>1301</v>
      </c>
      <c r="E540" s="1" t="s">
        <v>1302</v>
      </c>
      <c r="F540">
        <f>VLOOKUP(A540,Classifications!$A:$E,5,FALSE)</f>
        <v>1</v>
      </c>
      <c r="G540">
        <f>VLOOKUP(A540,Classifications!$A:$F,6,FALSE)</f>
        <v>3</v>
      </c>
      <c r="H540">
        <f>VLOOKUP(A540,Classifications!$A:$G,7,FALSE)</f>
        <v>41</v>
      </c>
      <c r="I540" t="s">
        <v>11</v>
      </c>
      <c r="J540" s="2">
        <v>44228.34138888889</v>
      </c>
    </row>
    <row r="541" spans="1:10" ht="12.75" customHeight="1" x14ac:dyDescent="0.3">
      <c r="A541">
        <v>1356317</v>
      </c>
      <c r="B541" t="s">
        <v>32</v>
      </c>
      <c r="C541" t="s">
        <v>1257</v>
      </c>
      <c r="D541" t="s">
        <v>1303</v>
      </c>
      <c r="E541" s="1" t="s">
        <v>1304</v>
      </c>
      <c r="F541">
        <f>VLOOKUP(A541,Classifications!$A:$E,5,FALSE)</f>
        <v>1</v>
      </c>
      <c r="G541">
        <f>VLOOKUP(A541,Classifications!$A:$F,6,FALSE)</f>
        <v>3</v>
      </c>
      <c r="H541">
        <f>VLOOKUP(A541,Classifications!$A:$G,7,FALSE)</f>
        <v>41</v>
      </c>
      <c r="I541" t="s">
        <v>11</v>
      </c>
      <c r="J541" s="2">
        <v>44228.339479166665</v>
      </c>
    </row>
    <row r="542" spans="1:10" ht="12.75" customHeight="1" x14ac:dyDescent="0.3">
      <c r="A542">
        <v>1356269</v>
      </c>
      <c r="B542" t="s">
        <v>746</v>
      </c>
      <c r="C542" t="s">
        <v>1305</v>
      </c>
      <c r="D542" t="s">
        <v>1306</v>
      </c>
      <c r="E542" s="1" t="s">
        <v>1307</v>
      </c>
      <c r="F542">
        <f>VLOOKUP(A542,Classifications!$A:$E,5,FALSE)</f>
        <v>3</v>
      </c>
      <c r="G542">
        <f>VLOOKUP(A542,Classifications!$A:$F,6,FALSE)</f>
        <v>2</v>
      </c>
      <c r="H542">
        <f>VLOOKUP(A542,Classifications!$A:$G,7,FALSE)</f>
        <v>41</v>
      </c>
      <c r="I542" t="s">
        <v>11</v>
      </c>
      <c r="J542" s="2">
        <v>44228.214317129627</v>
      </c>
    </row>
    <row r="543" spans="1:10" ht="12.75" customHeight="1" x14ac:dyDescent="0.3">
      <c r="A543">
        <v>1356235</v>
      </c>
      <c r="B543" t="s">
        <v>118</v>
      </c>
      <c r="C543" t="s">
        <v>1308</v>
      </c>
      <c r="D543" t="s">
        <v>1309</v>
      </c>
      <c r="E543" s="1" t="s">
        <v>1310</v>
      </c>
      <c r="F543">
        <f>VLOOKUP(A543,Classifications!$A:$E,5,FALSE)</f>
        <v>1</v>
      </c>
      <c r="G543">
        <f>VLOOKUP(A543,Classifications!$A:$F,6,FALSE)</f>
        <v>1</v>
      </c>
      <c r="H543">
        <f>VLOOKUP(A543,Classifications!$A:$G,7,FALSE)</f>
        <v>36</v>
      </c>
      <c r="I543" t="s">
        <v>11</v>
      </c>
      <c r="J543" s="2">
        <v>44228.106678240743</v>
      </c>
    </row>
    <row r="544" spans="1:10" ht="12.75" customHeight="1" x14ac:dyDescent="0.3">
      <c r="A544">
        <v>1356200</v>
      </c>
      <c r="B544" t="s">
        <v>95</v>
      </c>
      <c r="C544" t="s">
        <v>601</v>
      </c>
      <c r="D544" t="s">
        <v>602</v>
      </c>
      <c r="E544" t="s">
        <v>603</v>
      </c>
      <c r="F544">
        <f>VLOOKUP(A544,Classifications!$A:$E,5,FALSE)</f>
        <v>3</v>
      </c>
      <c r="G544">
        <f>VLOOKUP(A544,Classifications!$A:$F,6,FALSE)</f>
        <v>2</v>
      </c>
      <c r="H544">
        <f>VLOOKUP(A544,Classifications!$A:$G,7,FALSE)</f>
        <v>43</v>
      </c>
      <c r="I544" t="s">
        <v>188</v>
      </c>
      <c r="J544" s="2">
        <v>44228.042060185187</v>
      </c>
    </row>
    <row r="545" spans="1:10" ht="12.75" customHeight="1" x14ac:dyDescent="0.3">
      <c r="A545">
        <v>1356175</v>
      </c>
      <c r="B545" t="s">
        <v>1052</v>
      </c>
      <c r="C545" t="s">
        <v>1053</v>
      </c>
      <c r="D545" t="s">
        <v>1156</v>
      </c>
      <c r="E545" s="1" t="s">
        <v>1157</v>
      </c>
      <c r="F545">
        <f>VLOOKUP(A545,Classifications!$A:$E,5,FALSE)</f>
        <v>2</v>
      </c>
      <c r="G545">
        <f>VLOOKUP(A545,Classifications!$A:$F,6,FALSE)</f>
        <v>2</v>
      </c>
      <c r="H545">
        <f>VLOOKUP(A545,Classifications!$A:$G,7,FALSE)</f>
        <v>36</v>
      </c>
      <c r="I545" t="s">
        <v>1158</v>
      </c>
      <c r="J545" s="2">
        <v>44228.000023148146</v>
      </c>
    </row>
    <row r="546" spans="1:10" ht="12.75" customHeight="1" x14ac:dyDescent="0.3">
      <c r="A546">
        <v>1356166</v>
      </c>
      <c r="B546" t="s">
        <v>1105</v>
      </c>
      <c r="C546" t="s">
        <v>1106</v>
      </c>
      <c r="D546" t="s">
        <v>1311</v>
      </c>
      <c r="E546" s="1" t="s">
        <v>1312</v>
      </c>
      <c r="F546">
        <f>VLOOKUP(A546,Classifications!$A:$E,5,FALSE)</f>
        <v>1</v>
      </c>
      <c r="G546">
        <f>VLOOKUP(A546,Classifications!$A:$F,6,FALSE)</f>
        <v>1</v>
      </c>
      <c r="H546">
        <f>VLOOKUP(A546,Classifications!$A:$G,7,FALSE)</f>
        <v>43</v>
      </c>
      <c r="I546" t="s">
        <v>24</v>
      </c>
      <c r="J546" s="2">
        <v>44227.964432870373</v>
      </c>
    </row>
    <row r="547" spans="1:10" ht="12.75" customHeight="1" x14ac:dyDescent="0.3">
      <c r="A547">
        <v>1355972</v>
      </c>
      <c r="B547" t="s">
        <v>70</v>
      </c>
      <c r="C547" t="s">
        <v>369</v>
      </c>
      <c r="D547" t="s">
        <v>1313</v>
      </c>
      <c r="E547" s="1" t="s">
        <v>1314</v>
      </c>
      <c r="F547">
        <f>VLOOKUP(A547,Classifications!$A:$E,5,FALSE)</f>
        <v>1</v>
      </c>
      <c r="G547">
        <f>VLOOKUP(A547,Classifications!$A:$F,6,FALSE)</f>
        <v>1</v>
      </c>
      <c r="H547">
        <f>VLOOKUP(A547,Classifications!$A:$G,7,FALSE)</f>
        <v>43</v>
      </c>
      <c r="I547" t="s">
        <v>11</v>
      </c>
      <c r="J547" s="2">
        <v>44227.551087962966</v>
      </c>
    </row>
    <row r="548" spans="1:10" ht="12.75" customHeight="1" x14ac:dyDescent="0.3">
      <c r="A548">
        <v>1355964</v>
      </c>
      <c r="B548" t="s">
        <v>20</v>
      </c>
      <c r="C548" t="s">
        <v>78</v>
      </c>
      <c r="D548" t="s">
        <v>1315</v>
      </c>
      <c r="E548" s="1" t="s">
        <v>1316</v>
      </c>
      <c r="F548">
        <f>VLOOKUP(A548,Classifications!$A:$E,5,FALSE)</f>
        <v>1</v>
      </c>
      <c r="G548">
        <f>VLOOKUP(A548,Classifications!$A:$F,6,FALSE)</f>
        <v>3</v>
      </c>
      <c r="H548">
        <f>VLOOKUP(A548,Classifications!$A:$G,7,FALSE)</f>
        <v>43</v>
      </c>
      <c r="I548" t="s">
        <v>11</v>
      </c>
      <c r="J548" s="2">
        <v>44227.520995370367</v>
      </c>
    </row>
    <row r="549" spans="1:10" ht="12.75" customHeight="1" x14ac:dyDescent="0.3">
      <c r="A549">
        <v>1355963</v>
      </c>
      <c r="B549" t="s">
        <v>20</v>
      </c>
      <c r="C549" t="s">
        <v>78</v>
      </c>
      <c r="D549" t="s">
        <v>1317</v>
      </c>
      <c r="E549" s="1" t="s">
        <v>1318</v>
      </c>
      <c r="F549">
        <f>VLOOKUP(A549,Classifications!$A:$E,5,FALSE)</f>
        <v>1</v>
      </c>
      <c r="G549">
        <f>VLOOKUP(A549,Classifications!$A:$F,6,FALSE)</f>
        <v>1</v>
      </c>
      <c r="H549">
        <f>VLOOKUP(A549,Classifications!$A:$G,7,FALSE)</f>
        <v>43</v>
      </c>
      <c r="I549" t="s">
        <v>11</v>
      </c>
      <c r="J549" s="2">
        <v>44227.518750000003</v>
      </c>
    </row>
    <row r="550" spans="1:10" ht="12.75" customHeight="1" x14ac:dyDescent="0.3">
      <c r="A550">
        <v>1355959</v>
      </c>
      <c r="B550" t="s">
        <v>53</v>
      </c>
      <c r="C550" t="s">
        <v>54</v>
      </c>
      <c r="D550" t="s">
        <v>1319</v>
      </c>
      <c r="E550" s="1" t="s">
        <v>1320</v>
      </c>
      <c r="F550">
        <f>VLOOKUP(A550,Classifications!$A:$E,5,FALSE)</f>
        <v>1</v>
      </c>
      <c r="G550">
        <f>VLOOKUP(A550,Classifications!$A:$F,6,FALSE)</f>
        <v>1</v>
      </c>
      <c r="H550">
        <f>VLOOKUP(A550,Classifications!$A:$G,7,FALSE)</f>
        <v>43</v>
      </c>
      <c r="I550" t="s">
        <v>11</v>
      </c>
      <c r="J550" s="2">
        <v>44227.465104166666</v>
      </c>
    </row>
    <row r="551" spans="1:10" ht="12.75" customHeight="1" x14ac:dyDescent="0.3">
      <c r="A551">
        <v>1355924</v>
      </c>
      <c r="B551" t="s">
        <v>74</v>
      </c>
      <c r="C551" t="s">
        <v>450</v>
      </c>
      <c r="D551" t="s">
        <v>1321</v>
      </c>
      <c r="E551" s="1" t="s">
        <v>1322</v>
      </c>
      <c r="F551">
        <f>VLOOKUP(A551,Classifications!$A:$E,5,FALSE)</f>
        <v>1</v>
      </c>
      <c r="G551">
        <f>VLOOKUP(A551,Classifications!$A:$F,6,FALSE)</f>
        <v>1</v>
      </c>
      <c r="H551">
        <f>VLOOKUP(A551,Classifications!$A:$G,7,FALSE)</f>
        <v>43</v>
      </c>
      <c r="I551" t="s">
        <v>11</v>
      </c>
      <c r="J551" s="2">
        <v>44227.400289351855</v>
      </c>
    </row>
    <row r="552" spans="1:10" ht="12.75" customHeight="1" x14ac:dyDescent="0.3">
      <c r="A552">
        <v>1355807</v>
      </c>
      <c r="B552" t="s">
        <v>95</v>
      </c>
      <c r="C552" t="s">
        <v>668</v>
      </c>
      <c r="D552" t="s">
        <v>1323</v>
      </c>
      <c r="E552" t="s">
        <v>1324</v>
      </c>
      <c r="F552">
        <f>VLOOKUP(A552,Classifications!$A:$E,5,FALSE)</f>
        <v>1</v>
      </c>
      <c r="G552">
        <f>VLOOKUP(A552,Classifications!$A:$F,6,FALSE)</f>
        <v>1</v>
      </c>
      <c r="H552">
        <f>VLOOKUP(A552,Classifications!$A:$G,7,FALSE)</f>
        <v>36</v>
      </c>
      <c r="I552" t="s">
        <v>1158</v>
      </c>
      <c r="J552" s="2">
        <v>44227.000057870369</v>
      </c>
    </row>
    <row r="553" spans="1:10" ht="12.75" customHeight="1" x14ac:dyDescent="0.3">
      <c r="A553">
        <v>1355806</v>
      </c>
      <c r="B553" t="s">
        <v>95</v>
      </c>
      <c r="C553" t="s">
        <v>668</v>
      </c>
      <c r="D553" t="s">
        <v>1323</v>
      </c>
      <c r="E553" t="s">
        <v>1324</v>
      </c>
      <c r="F553">
        <f>VLOOKUP(A553,Classifications!$A:$E,5,FALSE)</f>
        <v>1</v>
      </c>
      <c r="G553">
        <f>VLOOKUP(A553,Classifications!$A:$F,6,FALSE)</f>
        <v>1</v>
      </c>
      <c r="H553">
        <f>VLOOKUP(A553,Classifications!$A:$G,7,FALSE)</f>
        <v>36</v>
      </c>
      <c r="I553" t="s">
        <v>1158</v>
      </c>
      <c r="J553" s="2">
        <v>44227.000057870369</v>
      </c>
    </row>
    <row r="554" spans="1:10" ht="12.75" customHeight="1" x14ac:dyDescent="0.3">
      <c r="A554">
        <v>1355805</v>
      </c>
      <c r="B554" t="s">
        <v>95</v>
      </c>
      <c r="C554" t="s">
        <v>668</v>
      </c>
      <c r="D554" t="s">
        <v>1325</v>
      </c>
      <c r="E554" s="1" t="s">
        <v>1326</v>
      </c>
      <c r="F554">
        <f>VLOOKUP(A554,Classifications!$A:$E,5,FALSE)</f>
        <v>1</v>
      </c>
      <c r="G554">
        <f>VLOOKUP(A554,Classifications!$A:$F,6,FALSE)</f>
        <v>1</v>
      </c>
      <c r="H554">
        <f>VLOOKUP(A554,Classifications!$A:$G,7,FALSE)</f>
        <v>36</v>
      </c>
      <c r="I554" t="s">
        <v>1158</v>
      </c>
      <c r="J554" s="2">
        <v>44227.0000462963</v>
      </c>
    </row>
    <row r="555" spans="1:10" ht="12.75" customHeight="1" x14ac:dyDescent="0.3">
      <c r="A555">
        <v>1355804</v>
      </c>
      <c r="B555" t="s">
        <v>95</v>
      </c>
      <c r="C555" t="s">
        <v>668</v>
      </c>
      <c r="D555" t="s">
        <v>1325</v>
      </c>
      <c r="E555" s="1" t="s">
        <v>1326</v>
      </c>
      <c r="F555">
        <f>VLOOKUP(A555,Classifications!$A:$E,5,FALSE)</f>
        <v>1</v>
      </c>
      <c r="G555">
        <f>VLOOKUP(A555,Classifications!$A:$F,6,FALSE)</f>
        <v>1</v>
      </c>
      <c r="H555">
        <f>VLOOKUP(A555,Classifications!$A:$G,7,FALSE)</f>
        <v>36</v>
      </c>
      <c r="I555" t="s">
        <v>1158</v>
      </c>
      <c r="J555" s="2">
        <v>44227.000034722223</v>
      </c>
    </row>
    <row r="556" spans="1:10" ht="12.75" customHeight="1" x14ac:dyDescent="0.3">
      <c r="A556">
        <v>1355803</v>
      </c>
      <c r="B556" t="s">
        <v>860</v>
      </c>
      <c r="C556" t="s">
        <v>861</v>
      </c>
      <c r="D556" t="s">
        <v>1156</v>
      </c>
      <c r="E556" s="1" t="s">
        <v>1157</v>
      </c>
      <c r="F556">
        <f>VLOOKUP(A556,Classifications!$A:$E,5,FALSE)</f>
        <v>1</v>
      </c>
      <c r="G556">
        <f>VLOOKUP(A556,Classifications!$A:$F,6,FALSE)</f>
        <v>2</v>
      </c>
      <c r="H556">
        <f>VLOOKUP(A556,Classifications!$A:$G,7,FALSE)</f>
        <v>36</v>
      </c>
      <c r="I556" t="s">
        <v>1158</v>
      </c>
      <c r="J556" s="2">
        <v>44227.000034722223</v>
      </c>
    </row>
    <row r="557" spans="1:10" ht="12.75" customHeight="1" x14ac:dyDescent="0.3">
      <c r="A557">
        <v>1355802</v>
      </c>
      <c r="B557" t="s">
        <v>16</v>
      </c>
      <c r="C557" t="s">
        <v>394</v>
      </c>
      <c r="D557" t="s">
        <v>1327</v>
      </c>
      <c r="E557" s="1" t="s">
        <v>1160</v>
      </c>
      <c r="F557">
        <f>VLOOKUP(A557,Classifications!$A:$E,5,FALSE)</f>
        <v>3</v>
      </c>
      <c r="G557">
        <f>VLOOKUP(A557,Classifications!$A:$F,6,FALSE)</f>
        <v>1</v>
      </c>
      <c r="H557">
        <f>VLOOKUP(A557,Classifications!$A:$G,7,FALSE)</f>
        <v>36</v>
      </c>
      <c r="I557" t="s">
        <v>1158</v>
      </c>
      <c r="J557" s="2">
        <v>44227.000023148146</v>
      </c>
    </row>
    <row r="558" spans="1:10" ht="12.75" customHeight="1" x14ac:dyDescent="0.3">
      <c r="A558">
        <v>1355634</v>
      </c>
      <c r="B558" t="s">
        <v>32</v>
      </c>
      <c r="C558" t="s">
        <v>1257</v>
      </c>
      <c r="D558" t="s">
        <v>1328</v>
      </c>
      <c r="E558" s="1" t="s">
        <v>1329</v>
      </c>
      <c r="F558">
        <f>VLOOKUP(A558,Classifications!$A:$E,5,FALSE)</f>
        <v>1</v>
      </c>
      <c r="G558">
        <f>VLOOKUP(A558,Classifications!$A:$F,6,FALSE)</f>
        <v>1</v>
      </c>
      <c r="H558">
        <f>VLOOKUP(A558,Classifications!$A:$G,7,FALSE)</f>
        <v>43</v>
      </c>
      <c r="I558" t="s">
        <v>11</v>
      </c>
      <c r="J558" s="2">
        <v>44226.785532407404</v>
      </c>
    </row>
    <row r="559" spans="1:10" ht="12.75" customHeight="1" x14ac:dyDescent="0.3">
      <c r="A559">
        <v>1355632</v>
      </c>
      <c r="B559" t="s">
        <v>32</v>
      </c>
      <c r="C559" t="s">
        <v>1257</v>
      </c>
      <c r="D559" t="s">
        <v>1330</v>
      </c>
      <c r="E559" s="1" t="s">
        <v>1331</v>
      </c>
      <c r="F559">
        <f>VLOOKUP(A559,Classifications!$A:$E,5,FALSE)</f>
        <v>1</v>
      </c>
      <c r="G559">
        <f>VLOOKUP(A559,Classifications!$A:$F,6,FALSE)</f>
        <v>1</v>
      </c>
      <c r="H559">
        <f>VLOOKUP(A559,Classifications!$A:$G,7,FALSE)</f>
        <v>43</v>
      </c>
      <c r="I559" t="s">
        <v>11</v>
      </c>
      <c r="J559" s="2">
        <v>44226.784687500003</v>
      </c>
    </row>
    <row r="560" spans="1:10" ht="12.75" customHeight="1" x14ac:dyDescent="0.3">
      <c r="A560">
        <v>1355570</v>
      </c>
      <c r="B560" t="s">
        <v>746</v>
      </c>
      <c r="C560" t="s">
        <v>1203</v>
      </c>
      <c r="D560" t="s">
        <v>1332</v>
      </c>
      <c r="E560" s="1" t="s">
        <v>1333</v>
      </c>
      <c r="F560">
        <f>VLOOKUP(A560,Classifications!$A:$E,5,FALSE)</f>
        <v>2</v>
      </c>
      <c r="G560">
        <f>VLOOKUP(A560,Classifications!$A:$F,6,FALSE)</f>
        <v>2</v>
      </c>
      <c r="H560">
        <f>VLOOKUP(A560,Classifications!$A:$G,7,FALSE)</f>
        <v>41</v>
      </c>
      <c r="I560" t="s">
        <v>11</v>
      </c>
      <c r="J560" s="2">
        <v>44226.565115740741</v>
      </c>
    </row>
    <row r="561" spans="1:10" ht="12.75" customHeight="1" x14ac:dyDescent="0.3">
      <c r="A561">
        <v>1355569</v>
      </c>
      <c r="B561" t="s">
        <v>318</v>
      </c>
      <c r="C561" t="s">
        <v>319</v>
      </c>
      <c r="D561" t="s">
        <v>1334</v>
      </c>
      <c r="E561" s="1" t="s">
        <v>1335</v>
      </c>
      <c r="F561">
        <f>VLOOKUP(A561,Classifications!$A:$E,5,FALSE)</f>
        <v>1</v>
      </c>
      <c r="G561">
        <f>VLOOKUP(A561,Classifications!$A:$F,6,FALSE)</f>
        <v>1</v>
      </c>
      <c r="H561">
        <f>VLOOKUP(A561,Classifications!$A:$G,7,FALSE)</f>
        <v>43</v>
      </c>
      <c r="I561" t="s">
        <v>11</v>
      </c>
      <c r="J561" s="2">
        <v>44226.5625</v>
      </c>
    </row>
    <row r="562" spans="1:10" ht="12.75" customHeight="1" x14ac:dyDescent="0.3">
      <c r="A562">
        <v>1355536</v>
      </c>
      <c r="B562" t="s">
        <v>157</v>
      </c>
      <c r="C562" t="s">
        <v>713</v>
      </c>
      <c r="D562" t="s">
        <v>1336</v>
      </c>
      <c r="E562" s="1" t="s">
        <v>1337</v>
      </c>
      <c r="F562">
        <f>VLOOKUP(A562,Classifications!$A:$E,5,FALSE)</f>
        <v>1</v>
      </c>
      <c r="G562">
        <f>VLOOKUP(A562,Classifications!$A:$F,6,FALSE)</f>
        <v>2</v>
      </c>
      <c r="H562">
        <f>VLOOKUP(A562,Classifications!$A:$G,7,FALSE)</f>
        <v>43</v>
      </c>
      <c r="I562" t="s">
        <v>24</v>
      </c>
      <c r="J562" s="2">
        <v>44226.460173611114</v>
      </c>
    </row>
    <row r="563" spans="1:10" ht="12.75" customHeight="1" x14ac:dyDescent="0.3">
      <c r="A563">
        <v>1355495</v>
      </c>
      <c r="B563" t="s">
        <v>118</v>
      </c>
      <c r="C563" t="s">
        <v>119</v>
      </c>
      <c r="D563" t="s">
        <v>1338</v>
      </c>
      <c r="E563" s="1" t="s">
        <v>1339</v>
      </c>
      <c r="F563">
        <f>VLOOKUP(A563,Classifications!$A:$E,5,FALSE)</f>
        <v>1</v>
      </c>
      <c r="G563">
        <f>VLOOKUP(A563,Classifications!$A:$F,6,FALSE)</f>
        <v>3</v>
      </c>
      <c r="H563">
        <f>VLOOKUP(A563,Classifications!$A:$G,7,FALSE)</f>
        <v>41</v>
      </c>
      <c r="I563" t="s">
        <v>11</v>
      </c>
      <c r="J563" s="2">
        <v>44226.393171296295</v>
      </c>
    </row>
    <row r="564" spans="1:10" ht="12.75" customHeight="1" x14ac:dyDescent="0.3">
      <c r="A564">
        <v>1355492</v>
      </c>
      <c r="B564" t="s">
        <v>74</v>
      </c>
      <c r="C564" t="s">
        <v>450</v>
      </c>
      <c r="D564" t="s">
        <v>1340</v>
      </c>
      <c r="E564" s="1" t="s">
        <v>1341</v>
      </c>
      <c r="F564">
        <f>VLOOKUP(A564,Classifications!$A:$E,5,FALSE)</f>
        <v>1</v>
      </c>
      <c r="G564">
        <f>VLOOKUP(A564,Classifications!$A:$F,6,FALSE)</f>
        <v>1</v>
      </c>
      <c r="H564">
        <f>VLOOKUP(A564,Classifications!$A:$G,7,FALSE)</f>
        <v>43</v>
      </c>
      <c r="I564" t="s">
        <v>11</v>
      </c>
      <c r="J564" s="2">
        <v>44226.362743055557</v>
      </c>
    </row>
    <row r="565" spans="1:10" ht="12.75" customHeight="1" x14ac:dyDescent="0.3">
      <c r="A565">
        <v>1355364</v>
      </c>
      <c r="B565" t="s">
        <v>36</v>
      </c>
      <c r="C565" t="s">
        <v>1342</v>
      </c>
      <c r="D565" t="s">
        <v>1343</v>
      </c>
      <c r="E565" s="1" t="s">
        <v>1344</v>
      </c>
      <c r="F565">
        <f>VLOOKUP(A565,Classifications!$A:$E,5,FALSE)</f>
        <v>1</v>
      </c>
      <c r="G565">
        <f>VLOOKUP(A565,Classifications!$A:$F,6,FALSE)</f>
        <v>1</v>
      </c>
      <c r="H565">
        <f>VLOOKUP(A565,Classifications!$A:$G,7,FALSE)</f>
        <v>36</v>
      </c>
      <c r="I565" t="s">
        <v>1158</v>
      </c>
      <c r="J565" s="2">
        <v>44226.000034722223</v>
      </c>
    </row>
    <row r="566" spans="1:10" ht="12.75" customHeight="1" x14ac:dyDescent="0.3">
      <c r="A566">
        <v>1355363</v>
      </c>
      <c r="B566" t="s">
        <v>177</v>
      </c>
      <c r="C566" t="s">
        <v>643</v>
      </c>
      <c r="D566" t="s">
        <v>1156</v>
      </c>
      <c r="E566" s="1" t="s">
        <v>1157</v>
      </c>
      <c r="F566">
        <f>VLOOKUP(A566,Classifications!$A:$E,5,FALSE)</f>
        <v>1</v>
      </c>
      <c r="G566">
        <f>VLOOKUP(A566,Classifications!$A:$F,6,FALSE)</f>
        <v>1</v>
      </c>
      <c r="H566">
        <f>VLOOKUP(A566,Classifications!$A:$G,7,FALSE)</f>
        <v>36</v>
      </c>
      <c r="I566" t="s">
        <v>1158</v>
      </c>
      <c r="J566" s="2">
        <v>44226.000023148146</v>
      </c>
    </row>
    <row r="567" spans="1:10" ht="12.75" customHeight="1" x14ac:dyDescent="0.3">
      <c r="A567">
        <v>1355362</v>
      </c>
      <c r="B567" t="s">
        <v>746</v>
      </c>
      <c r="C567" t="s">
        <v>1203</v>
      </c>
      <c r="D567" t="s">
        <v>1345</v>
      </c>
      <c r="E567" s="1" t="s">
        <v>1160</v>
      </c>
      <c r="F567">
        <f>VLOOKUP(A567,Classifications!$A:$E,5,FALSE)</f>
        <v>1</v>
      </c>
      <c r="G567">
        <f>VLOOKUP(A567,Classifications!$A:$F,6,FALSE)</f>
        <v>1</v>
      </c>
      <c r="H567">
        <f>VLOOKUP(A567,Classifications!$A:$G,7,FALSE)</f>
        <v>36</v>
      </c>
      <c r="I567" t="s">
        <v>1158</v>
      </c>
      <c r="J567" s="2">
        <v>44226.000023148146</v>
      </c>
    </row>
    <row r="568" spans="1:10" ht="12.75" customHeight="1" x14ac:dyDescent="0.3">
      <c r="A568">
        <v>1355173</v>
      </c>
      <c r="B568" t="s">
        <v>32</v>
      </c>
      <c r="C568" t="s">
        <v>463</v>
      </c>
      <c r="D568" t="s">
        <v>1346</v>
      </c>
      <c r="E568" s="1" t="s">
        <v>1347</v>
      </c>
      <c r="F568">
        <f>VLOOKUP(A568,Classifications!$A:$E,5,FALSE)</f>
        <v>1</v>
      </c>
      <c r="G568">
        <f>VLOOKUP(A568,Classifications!$A:$F,6,FALSE)</f>
        <v>1</v>
      </c>
      <c r="H568">
        <f>VLOOKUP(A568,Classifications!$A:$G,7,FALSE)</f>
        <v>36</v>
      </c>
      <c r="I568" t="s">
        <v>24</v>
      </c>
      <c r="J568" s="2">
        <v>44225.750590277778</v>
      </c>
    </row>
    <row r="569" spans="1:10" ht="12.75" customHeight="1" x14ac:dyDescent="0.3">
      <c r="A569">
        <v>1355148</v>
      </c>
      <c r="B569" t="s">
        <v>36</v>
      </c>
      <c r="C569" t="s">
        <v>263</v>
      </c>
      <c r="D569" t="s">
        <v>1348</v>
      </c>
      <c r="E569" s="1" t="s">
        <v>1349</v>
      </c>
      <c r="F569">
        <f>VLOOKUP(A569,Classifications!$A:$E,5,FALSE)</f>
        <v>1</v>
      </c>
      <c r="G569">
        <f>VLOOKUP(A569,Classifications!$A:$F,6,FALSE)</f>
        <v>1</v>
      </c>
      <c r="H569">
        <f>VLOOKUP(A569,Classifications!$A:$G,7,FALSE)</f>
        <v>43</v>
      </c>
      <c r="I569" t="s">
        <v>24</v>
      </c>
      <c r="J569" s="2">
        <v>44225.692615740743</v>
      </c>
    </row>
    <row r="570" spans="1:10" ht="12.75" customHeight="1" x14ac:dyDescent="0.3">
      <c r="A570">
        <v>1355140</v>
      </c>
      <c r="B570" t="s">
        <v>53</v>
      </c>
      <c r="C570" t="s">
        <v>158</v>
      </c>
      <c r="D570" t="s">
        <v>1350</v>
      </c>
      <c r="E570" s="1" t="s">
        <v>1351</v>
      </c>
      <c r="F570">
        <f>VLOOKUP(A570,Classifications!$A:$E,5,FALSE)</f>
        <v>1</v>
      </c>
      <c r="G570">
        <f>VLOOKUP(A570,Classifications!$A:$F,6,FALSE)</f>
        <v>1</v>
      </c>
      <c r="H570">
        <f>VLOOKUP(A570,Classifications!$A:$G,7,FALSE)</f>
        <v>43</v>
      </c>
      <c r="I570" t="s">
        <v>11</v>
      </c>
      <c r="J570" s="2">
        <v>44225.660763888889</v>
      </c>
    </row>
    <row r="571" spans="1:10" ht="12.75" customHeight="1" x14ac:dyDescent="0.3">
      <c r="A571">
        <v>1355136</v>
      </c>
      <c r="B571" t="s">
        <v>53</v>
      </c>
      <c r="C571" t="s">
        <v>1352</v>
      </c>
      <c r="D571" t="s">
        <v>1353</v>
      </c>
      <c r="E571" s="1" t="s">
        <v>1354</v>
      </c>
      <c r="F571">
        <f>VLOOKUP(A571,Classifications!$A:$E,5,FALSE)</f>
        <v>1</v>
      </c>
      <c r="G571">
        <f>VLOOKUP(A571,Classifications!$A:$F,6,FALSE)</f>
        <v>2</v>
      </c>
      <c r="H571">
        <f>VLOOKUP(A571,Classifications!$A:$G,7,FALSE)</f>
        <v>41</v>
      </c>
      <c r="I571" t="s">
        <v>11</v>
      </c>
      <c r="J571" s="2">
        <v>44225.648252314815</v>
      </c>
    </row>
    <row r="572" spans="1:10" ht="12.75" customHeight="1" x14ac:dyDescent="0.3">
      <c r="A572">
        <v>1355124</v>
      </c>
      <c r="B572" t="s">
        <v>489</v>
      </c>
      <c r="C572" t="s">
        <v>490</v>
      </c>
      <c r="D572" t="s">
        <v>1355</v>
      </c>
      <c r="E572" s="1" t="s">
        <v>1356</v>
      </c>
      <c r="F572">
        <f>VLOOKUP(A572,Classifications!$A:$E,5,FALSE)</f>
        <v>1</v>
      </c>
      <c r="G572">
        <f>VLOOKUP(A572,Classifications!$A:$F,6,FALSE)</f>
        <v>1</v>
      </c>
      <c r="H572">
        <f>VLOOKUP(A572,Classifications!$A:$G,7,FALSE)</f>
        <v>43</v>
      </c>
      <c r="I572" t="s">
        <v>11</v>
      </c>
      <c r="J572" s="2">
        <v>44225.629421296297</v>
      </c>
    </row>
    <row r="573" spans="1:10" ht="12.75" customHeight="1" x14ac:dyDescent="0.3">
      <c r="A573">
        <v>1355118</v>
      </c>
      <c r="B573" t="s">
        <v>350</v>
      </c>
      <c r="C573" t="s">
        <v>351</v>
      </c>
      <c r="D573" t="s">
        <v>1357</v>
      </c>
      <c r="E573" s="1" t="s">
        <v>1358</v>
      </c>
      <c r="F573">
        <f>VLOOKUP(A573,Classifications!$A:$E,5,FALSE)</f>
        <v>1</v>
      </c>
      <c r="G573">
        <f>VLOOKUP(A573,Classifications!$A:$F,6,FALSE)</f>
        <v>1</v>
      </c>
      <c r="H573">
        <f>VLOOKUP(A573,Classifications!$A:$G,7,FALSE)</f>
        <v>43</v>
      </c>
      <c r="I573" t="s">
        <v>24</v>
      </c>
      <c r="J573" s="2">
        <v>44225.624745370369</v>
      </c>
    </row>
    <row r="574" spans="1:10" ht="12.75" customHeight="1" x14ac:dyDescent="0.3">
      <c r="A574">
        <v>1355116</v>
      </c>
      <c r="B574" t="s">
        <v>36</v>
      </c>
      <c r="C574" t="s">
        <v>1175</v>
      </c>
      <c r="D574" t="s">
        <v>1359</v>
      </c>
      <c r="E574" s="1" t="s">
        <v>1360</v>
      </c>
      <c r="F574">
        <f>VLOOKUP(A574,Classifications!$A:$E,5,FALSE)</f>
        <v>1</v>
      </c>
      <c r="G574">
        <f>VLOOKUP(A574,Classifications!$A:$F,6,FALSE)</f>
        <v>1</v>
      </c>
      <c r="H574">
        <f>VLOOKUP(A574,Classifications!$A:$G,7,FALSE)</f>
        <v>41</v>
      </c>
      <c r="I574" t="s">
        <v>24</v>
      </c>
      <c r="J574" s="2">
        <v>44225.623229166667</v>
      </c>
    </row>
    <row r="575" spans="1:10" ht="12.75" customHeight="1" x14ac:dyDescent="0.3">
      <c r="A575">
        <v>1355110</v>
      </c>
      <c r="B575" t="s">
        <v>1361</v>
      </c>
      <c r="C575" t="s">
        <v>1362</v>
      </c>
      <c r="D575" t="s">
        <v>1363</v>
      </c>
      <c r="E575" s="1" t="s">
        <v>1364</v>
      </c>
      <c r="F575">
        <f>VLOOKUP(A575,Classifications!$A:$E,5,FALSE)</f>
        <v>2</v>
      </c>
      <c r="G575">
        <f>VLOOKUP(A575,Classifications!$A:$F,6,FALSE)</f>
        <v>3</v>
      </c>
      <c r="H575">
        <f>VLOOKUP(A575,Classifications!$A:$G,7,FALSE)</f>
        <v>41</v>
      </c>
      <c r="I575" t="s">
        <v>24</v>
      </c>
      <c r="J575" s="2">
        <v>44225.617418981485</v>
      </c>
    </row>
    <row r="576" spans="1:10" ht="12.75" customHeight="1" x14ac:dyDescent="0.3">
      <c r="A576">
        <v>1355108</v>
      </c>
      <c r="B576" t="s">
        <v>746</v>
      </c>
      <c r="C576" t="s">
        <v>1203</v>
      </c>
      <c r="D576" t="s">
        <v>1365</v>
      </c>
      <c r="E576" s="1" t="s">
        <v>1366</v>
      </c>
      <c r="F576">
        <f>VLOOKUP(A576,Classifications!$A:$E,5,FALSE)</f>
        <v>1</v>
      </c>
      <c r="G576">
        <f>VLOOKUP(A576,Classifications!$A:$F,6,FALSE)</f>
        <v>1</v>
      </c>
      <c r="H576">
        <f>VLOOKUP(A576,Classifications!$A:$G,7,FALSE)</f>
        <v>43</v>
      </c>
      <c r="I576" t="s">
        <v>11</v>
      </c>
      <c r="J576" s="2">
        <v>44225.601886574077</v>
      </c>
    </row>
    <row r="577" spans="1:10" ht="12.75" customHeight="1" x14ac:dyDescent="0.3">
      <c r="A577">
        <v>1355107</v>
      </c>
      <c r="B577" t="s">
        <v>157</v>
      </c>
      <c r="C577" t="s">
        <v>414</v>
      </c>
      <c r="D577" t="s">
        <v>1367</v>
      </c>
      <c r="E577" s="1" t="s">
        <v>1368</v>
      </c>
      <c r="F577">
        <f>VLOOKUP(A577,Classifications!$A:$E,5,FALSE)</f>
        <v>1</v>
      </c>
      <c r="G577">
        <f>VLOOKUP(A577,Classifications!$A:$F,6,FALSE)</f>
        <v>1</v>
      </c>
      <c r="H577">
        <f>VLOOKUP(A577,Classifications!$A:$G,7,FALSE)</f>
        <v>43</v>
      </c>
      <c r="I577" t="s">
        <v>11</v>
      </c>
      <c r="J577" s="2">
        <v>44225.600347222222</v>
      </c>
    </row>
    <row r="578" spans="1:10" ht="12.75" customHeight="1" x14ac:dyDescent="0.3">
      <c r="A578">
        <v>1355104</v>
      </c>
      <c r="B578" t="s">
        <v>36</v>
      </c>
      <c r="C578" t="s">
        <v>989</v>
      </c>
      <c r="D578" t="s">
        <v>1369</v>
      </c>
      <c r="E578" s="1" t="s">
        <v>1370</v>
      </c>
      <c r="F578">
        <f>VLOOKUP(A578,Classifications!$A:$E,5,FALSE)</f>
        <v>1</v>
      </c>
      <c r="G578">
        <f>VLOOKUP(A578,Classifications!$A:$F,6,FALSE)</f>
        <v>1</v>
      </c>
      <c r="H578">
        <f>VLOOKUP(A578,Classifications!$A:$G,7,FALSE)</f>
        <v>43</v>
      </c>
      <c r="I578" t="s">
        <v>24</v>
      </c>
      <c r="J578" s="2">
        <v>44225.594317129631</v>
      </c>
    </row>
    <row r="579" spans="1:10" ht="12.75" customHeight="1" x14ac:dyDescent="0.3">
      <c r="A579">
        <v>1355092</v>
      </c>
      <c r="B579" t="s">
        <v>7</v>
      </c>
      <c r="C579" t="s">
        <v>1371</v>
      </c>
      <c r="D579" t="s">
        <v>1372</v>
      </c>
      <c r="E579" s="1" t="s">
        <v>1373</v>
      </c>
      <c r="F579">
        <f>VLOOKUP(A579,Classifications!$A:$E,5,FALSE)</f>
        <v>1</v>
      </c>
      <c r="G579">
        <f>VLOOKUP(A579,Classifications!$A:$F,6,FALSE)</f>
        <v>1</v>
      </c>
      <c r="H579">
        <f>VLOOKUP(A579,Classifications!$A:$G,7,FALSE)</f>
        <v>43</v>
      </c>
      <c r="I579" t="s">
        <v>24</v>
      </c>
      <c r="J579" s="2">
        <v>44225.578773148147</v>
      </c>
    </row>
    <row r="580" spans="1:10" ht="12.75" customHeight="1" x14ac:dyDescent="0.3">
      <c r="A580">
        <v>1355086</v>
      </c>
      <c r="B580" t="s">
        <v>74</v>
      </c>
      <c r="C580" t="s">
        <v>1374</v>
      </c>
      <c r="D580">
        <v>1353256</v>
      </c>
      <c r="E580" s="1" t="s">
        <v>1375</v>
      </c>
      <c r="F580">
        <f>VLOOKUP(A580,Classifications!$A:$E,5,FALSE)</f>
        <v>1</v>
      </c>
      <c r="G580">
        <f>VLOOKUP(A580,Classifications!$A:$F,6,FALSE)</f>
        <v>1</v>
      </c>
      <c r="H580">
        <f>VLOOKUP(A580,Classifications!$A:$G,7,FALSE)</f>
        <v>41</v>
      </c>
      <c r="I580" t="s">
        <v>11</v>
      </c>
      <c r="J580" s="2">
        <v>44225.572164351855</v>
      </c>
    </row>
    <row r="581" spans="1:10" ht="12.75" customHeight="1" x14ac:dyDescent="0.3">
      <c r="A581">
        <v>1355050</v>
      </c>
      <c r="B581" t="s">
        <v>214</v>
      </c>
      <c r="C581" t="s">
        <v>1100</v>
      </c>
      <c r="D581" t="s">
        <v>1376</v>
      </c>
      <c r="E581" s="1" t="s">
        <v>1377</v>
      </c>
      <c r="F581">
        <f>VLOOKUP(A581,Classifications!$A:$E,5,FALSE)</f>
        <v>1</v>
      </c>
      <c r="G581">
        <f>VLOOKUP(A581,Classifications!$A:$F,6,FALSE)</f>
        <v>1</v>
      </c>
      <c r="H581">
        <f>VLOOKUP(A581,Classifications!$A:$G,7,FALSE)</f>
        <v>41</v>
      </c>
      <c r="I581" t="s">
        <v>11</v>
      </c>
      <c r="J581" s="2">
        <v>44225.519502314812</v>
      </c>
    </row>
    <row r="582" spans="1:10" ht="12.75" customHeight="1" x14ac:dyDescent="0.3">
      <c r="A582">
        <v>1355021</v>
      </c>
      <c r="B582" t="s">
        <v>746</v>
      </c>
      <c r="C582" t="s">
        <v>1228</v>
      </c>
      <c r="D582" t="s">
        <v>1378</v>
      </c>
      <c r="E582" s="1" t="s">
        <v>1230</v>
      </c>
      <c r="F582">
        <f>VLOOKUP(A582,Classifications!$A:$E,5,FALSE)</f>
        <v>1</v>
      </c>
      <c r="G582">
        <f>VLOOKUP(A582,Classifications!$A:$F,6,FALSE)</f>
        <v>3</v>
      </c>
      <c r="H582">
        <f>VLOOKUP(A582,Classifications!$A:$G,7,FALSE)</f>
        <v>43</v>
      </c>
      <c r="I582" t="s">
        <v>11</v>
      </c>
      <c r="J582" s="2">
        <v>44225.478796296295</v>
      </c>
    </row>
    <row r="583" spans="1:10" ht="12.75" customHeight="1" x14ac:dyDescent="0.3">
      <c r="A583">
        <v>1355012</v>
      </c>
      <c r="B583" t="s">
        <v>230</v>
      </c>
      <c r="C583" t="s">
        <v>480</v>
      </c>
      <c r="D583" t="s">
        <v>1379</v>
      </c>
      <c r="E583" s="1" t="s">
        <v>1380</v>
      </c>
      <c r="F583">
        <f>VLOOKUP(A583,Classifications!$A:$E,5,FALSE)</f>
        <v>1</v>
      </c>
      <c r="G583">
        <f>VLOOKUP(A583,Classifications!$A:$F,6,FALSE)</f>
        <v>1</v>
      </c>
      <c r="H583">
        <f>VLOOKUP(A583,Classifications!$A:$G,7,FALSE)</f>
        <v>43</v>
      </c>
      <c r="I583" t="s">
        <v>24</v>
      </c>
      <c r="J583" s="2">
        <v>44225.470532407409</v>
      </c>
    </row>
    <row r="584" spans="1:10" ht="12.75" customHeight="1" x14ac:dyDescent="0.3">
      <c r="A584">
        <v>1355003</v>
      </c>
      <c r="B584" t="s">
        <v>473</v>
      </c>
      <c r="C584" t="s">
        <v>1381</v>
      </c>
      <c r="D584" t="s">
        <v>958</v>
      </c>
      <c r="E584" s="1" t="s">
        <v>1382</v>
      </c>
      <c r="F584">
        <f>VLOOKUP(A584,Classifications!$A:$E,5,FALSE)</f>
        <v>1</v>
      </c>
      <c r="G584">
        <f>VLOOKUP(A584,Classifications!$A:$F,6,FALSE)</f>
        <v>1</v>
      </c>
      <c r="H584">
        <f>VLOOKUP(A584,Classifications!$A:$G,7,FALSE)</f>
        <v>41</v>
      </c>
      <c r="I584" t="s">
        <v>11</v>
      </c>
      <c r="J584" s="2">
        <v>44225.462557870371</v>
      </c>
    </row>
    <row r="585" spans="1:10" ht="12.75" customHeight="1" x14ac:dyDescent="0.3">
      <c r="A585">
        <v>1354995</v>
      </c>
      <c r="B585" t="s">
        <v>7</v>
      </c>
      <c r="C585" t="s">
        <v>1383</v>
      </c>
      <c r="D585" t="s">
        <v>1384</v>
      </c>
      <c r="E585" s="1" t="s">
        <v>1385</v>
      </c>
      <c r="F585">
        <f>VLOOKUP(A585,Classifications!$A:$E,5,FALSE)</f>
        <v>1</v>
      </c>
      <c r="G585">
        <f>VLOOKUP(A585,Classifications!$A:$F,6,FALSE)</f>
        <v>1</v>
      </c>
      <c r="H585">
        <f>VLOOKUP(A585,Classifications!$A:$G,7,FALSE)</f>
        <v>41</v>
      </c>
      <c r="I585" t="s">
        <v>24</v>
      </c>
      <c r="J585" s="2">
        <v>44225.452268518522</v>
      </c>
    </row>
    <row r="586" spans="1:10" ht="12.75" customHeight="1" x14ac:dyDescent="0.3">
      <c r="A586">
        <v>1354989</v>
      </c>
      <c r="B586" t="s">
        <v>1105</v>
      </c>
      <c r="C586" t="s">
        <v>158</v>
      </c>
      <c r="D586" t="s">
        <v>1386</v>
      </c>
      <c r="E586" s="1" t="s">
        <v>1387</v>
      </c>
      <c r="F586">
        <f>VLOOKUP(A586,Classifications!$A:$E,5,FALSE)</f>
        <v>1</v>
      </c>
      <c r="G586">
        <f>VLOOKUP(A586,Classifications!$A:$F,6,FALSE)</f>
        <v>2</v>
      </c>
      <c r="H586">
        <f>VLOOKUP(A586,Classifications!$A:$G,7,FALSE)</f>
        <v>41</v>
      </c>
      <c r="I586" t="s">
        <v>11</v>
      </c>
      <c r="J586" s="2">
        <v>44225.447685185187</v>
      </c>
    </row>
    <row r="587" spans="1:10" ht="12.75" customHeight="1" x14ac:dyDescent="0.3">
      <c r="A587">
        <v>1354987</v>
      </c>
      <c r="B587" t="s">
        <v>36</v>
      </c>
      <c r="C587" t="s">
        <v>1388</v>
      </c>
      <c r="D587" t="s">
        <v>1389</v>
      </c>
      <c r="E587" s="1" t="s">
        <v>1390</v>
      </c>
      <c r="F587">
        <f>VLOOKUP(A587,Classifications!$A:$E,5,FALSE)</f>
        <v>1</v>
      </c>
      <c r="G587">
        <f>VLOOKUP(A587,Classifications!$A:$F,6,FALSE)</f>
        <v>1</v>
      </c>
      <c r="H587">
        <f>VLOOKUP(A587,Classifications!$A:$G,7,FALSE)</f>
        <v>36</v>
      </c>
      <c r="I587" t="s">
        <v>24</v>
      </c>
      <c r="J587" s="2">
        <v>44225.4450462963</v>
      </c>
    </row>
    <row r="588" spans="1:10" ht="12.75" customHeight="1" x14ac:dyDescent="0.3">
      <c r="A588">
        <v>1354986</v>
      </c>
      <c r="B588" t="s">
        <v>1052</v>
      </c>
      <c r="C588" t="s">
        <v>1391</v>
      </c>
      <c r="D588" t="s">
        <v>1392</v>
      </c>
      <c r="E588" s="1" t="s">
        <v>1393</v>
      </c>
      <c r="F588">
        <f>VLOOKUP(A588,Classifications!$A:$E,5,FALSE)</f>
        <v>1</v>
      </c>
      <c r="G588">
        <f>VLOOKUP(A588,Classifications!$A:$F,6,FALSE)</f>
        <v>3</v>
      </c>
      <c r="H588">
        <f>VLOOKUP(A588,Classifications!$A:$G,7,FALSE)</f>
        <v>41</v>
      </c>
      <c r="I588" t="s">
        <v>11</v>
      </c>
      <c r="J588" s="2">
        <v>44225.443460648145</v>
      </c>
    </row>
    <row r="589" spans="1:10" ht="12.75" customHeight="1" x14ac:dyDescent="0.3">
      <c r="A589">
        <v>1354982</v>
      </c>
      <c r="B589" t="s">
        <v>36</v>
      </c>
      <c r="C589" t="s">
        <v>405</v>
      </c>
      <c r="D589" t="s">
        <v>1394</v>
      </c>
      <c r="E589" s="1" t="s">
        <v>1395</v>
      </c>
      <c r="F589">
        <f>VLOOKUP(A589,Classifications!$A:$E,5,FALSE)</f>
        <v>1</v>
      </c>
      <c r="G589">
        <f>VLOOKUP(A589,Classifications!$A:$F,6,FALSE)</f>
        <v>1</v>
      </c>
      <c r="H589">
        <f>VLOOKUP(A589,Classifications!$A:$G,7,FALSE)</f>
        <v>36</v>
      </c>
      <c r="I589" t="s">
        <v>24</v>
      </c>
      <c r="J589" s="2">
        <v>44225.441469907404</v>
      </c>
    </row>
    <row r="590" spans="1:10" ht="12.75" customHeight="1" x14ac:dyDescent="0.3">
      <c r="A590">
        <v>1354973</v>
      </c>
      <c r="B590" t="s">
        <v>1396</v>
      </c>
      <c r="C590" t="s">
        <v>1397</v>
      </c>
      <c r="D590" t="s">
        <v>1398</v>
      </c>
      <c r="E590" s="1" t="s">
        <v>1399</v>
      </c>
      <c r="F590">
        <f>VLOOKUP(A590,Classifications!$A:$E,5,FALSE)</f>
        <v>3</v>
      </c>
      <c r="G590">
        <f>VLOOKUP(A590,Classifications!$A:$F,6,FALSE)</f>
        <v>1</v>
      </c>
      <c r="H590">
        <f>VLOOKUP(A590,Classifications!$A:$G,7,FALSE)</f>
        <v>43</v>
      </c>
      <c r="I590" t="s">
        <v>11</v>
      </c>
      <c r="J590" s="2">
        <v>44225.433657407404</v>
      </c>
    </row>
    <row r="591" spans="1:10" ht="12.75" customHeight="1" x14ac:dyDescent="0.3">
      <c r="A591">
        <v>1354917</v>
      </c>
      <c r="B591" t="s">
        <v>12</v>
      </c>
      <c r="C591" t="s">
        <v>338</v>
      </c>
      <c r="D591" t="s">
        <v>1400</v>
      </c>
      <c r="E591" s="1" t="s">
        <v>1401</v>
      </c>
      <c r="F591">
        <f>VLOOKUP(A591,Classifications!$A:$E,5,FALSE)</f>
        <v>1</v>
      </c>
      <c r="G591">
        <f>VLOOKUP(A591,Classifications!$A:$F,6,FALSE)</f>
        <v>1</v>
      </c>
      <c r="H591">
        <f>VLOOKUP(A591,Classifications!$A:$G,7,FALSE)</f>
        <v>43</v>
      </c>
      <c r="I591" t="s">
        <v>11</v>
      </c>
      <c r="J591" s="2">
        <v>44225.410717592589</v>
      </c>
    </row>
    <row r="592" spans="1:10" ht="12.75" customHeight="1" x14ac:dyDescent="0.3">
      <c r="A592">
        <v>1354910</v>
      </c>
      <c r="B592" t="s">
        <v>401</v>
      </c>
      <c r="C592" t="s">
        <v>1402</v>
      </c>
      <c r="D592" t="s">
        <v>1403</v>
      </c>
      <c r="E592" s="1" t="s">
        <v>1404</v>
      </c>
      <c r="F592">
        <f>VLOOKUP(A592,Classifications!$A:$E,5,FALSE)</f>
        <v>1</v>
      </c>
      <c r="G592">
        <f>VLOOKUP(A592,Classifications!$A:$F,6,FALSE)</f>
        <v>1</v>
      </c>
      <c r="H592">
        <f>VLOOKUP(A592,Classifications!$A:$G,7,FALSE)</f>
        <v>41</v>
      </c>
      <c r="I592" t="s">
        <v>11</v>
      </c>
      <c r="J592" s="2">
        <v>44225.399710648147</v>
      </c>
    </row>
    <row r="593" spans="1:10" ht="12.75" customHeight="1" x14ac:dyDescent="0.3">
      <c r="A593">
        <v>1354885</v>
      </c>
      <c r="B593" t="s">
        <v>53</v>
      </c>
      <c r="C593" t="s">
        <v>54</v>
      </c>
      <c r="D593" t="s">
        <v>1405</v>
      </c>
      <c r="E593" s="1" t="s">
        <v>1406</v>
      </c>
      <c r="F593">
        <f>VLOOKUP(A593,Classifications!$A:$E,5,FALSE)</f>
        <v>1</v>
      </c>
      <c r="G593">
        <f>VLOOKUP(A593,Classifications!$A:$F,6,FALSE)</f>
        <v>1</v>
      </c>
      <c r="H593">
        <f>VLOOKUP(A593,Classifications!$A:$G,7,FALSE)</f>
        <v>43</v>
      </c>
      <c r="I593" t="s">
        <v>11</v>
      </c>
      <c r="J593" s="2">
        <v>44225.37394675926</v>
      </c>
    </row>
    <row r="594" spans="1:10" ht="12.75" customHeight="1" x14ac:dyDescent="0.3">
      <c r="A594">
        <v>1354884</v>
      </c>
      <c r="B594" t="s">
        <v>7</v>
      </c>
      <c r="C594" t="s">
        <v>1407</v>
      </c>
      <c r="D594" t="s">
        <v>1408</v>
      </c>
      <c r="E594" s="1" t="s">
        <v>1409</v>
      </c>
      <c r="F594">
        <f>VLOOKUP(A594,Classifications!$A:$E,5,FALSE)</f>
        <v>1</v>
      </c>
      <c r="G594">
        <f>VLOOKUP(A594,Classifications!$A:$F,6,FALSE)</f>
        <v>2</v>
      </c>
      <c r="H594">
        <f>VLOOKUP(A594,Classifications!$A:$G,7,FALSE)</f>
        <v>43</v>
      </c>
      <c r="I594" t="s">
        <v>11</v>
      </c>
      <c r="J594" s="2">
        <v>44225.372314814813</v>
      </c>
    </row>
    <row r="595" spans="1:10" ht="12.75" customHeight="1" x14ac:dyDescent="0.3">
      <c r="A595">
        <v>1354881</v>
      </c>
      <c r="B595" t="s">
        <v>1013</v>
      </c>
      <c r="C595" t="s">
        <v>1410</v>
      </c>
      <c r="D595" t="s">
        <v>1411</v>
      </c>
      <c r="E595" s="1" t="s">
        <v>1412</v>
      </c>
      <c r="F595">
        <f>VLOOKUP(A595,Classifications!$A:$E,5,FALSE)</f>
        <v>1</v>
      </c>
      <c r="G595">
        <f>VLOOKUP(A595,Classifications!$A:$F,6,FALSE)</f>
        <v>1</v>
      </c>
      <c r="H595">
        <f>VLOOKUP(A595,Classifications!$A:$G,7,FALSE)</f>
        <v>43</v>
      </c>
      <c r="I595" t="s">
        <v>11</v>
      </c>
      <c r="J595" s="2">
        <v>44225.367349537039</v>
      </c>
    </row>
    <row r="596" spans="1:10" ht="12.75" customHeight="1" x14ac:dyDescent="0.3">
      <c r="A596">
        <v>1354878</v>
      </c>
      <c r="B596" t="s">
        <v>1413</v>
      </c>
      <c r="C596" t="s">
        <v>1414</v>
      </c>
      <c r="D596" t="s">
        <v>1415</v>
      </c>
      <c r="E596" s="1" t="s">
        <v>1416</v>
      </c>
      <c r="F596">
        <f>VLOOKUP(A596,Classifications!$A:$E,5,FALSE)</f>
        <v>1</v>
      </c>
      <c r="G596">
        <f>VLOOKUP(A596,Classifications!$A:$F,6,FALSE)</f>
        <v>2</v>
      </c>
      <c r="H596">
        <f>VLOOKUP(A596,Classifications!$A:$G,7,FALSE)</f>
        <v>41</v>
      </c>
      <c r="I596" t="s">
        <v>11</v>
      </c>
      <c r="J596" s="2">
        <v>44225.362604166665</v>
      </c>
    </row>
    <row r="597" spans="1:10" ht="12.75" customHeight="1" x14ac:dyDescent="0.3">
      <c r="A597">
        <v>1354873</v>
      </c>
      <c r="B597" t="s">
        <v>1169</v>
      </c>
      <c r="C597" t="s">
        <v>1170</v>
      </c>
      <c r="D597" t="s">
        <v>1417</v>
      </c>
      <c r="E597" s="1" t="s">
        <v>1418</v>
      </c>
      <c r="F597">
        <f>VLOOKUP(A597,Classifications!$A:$E,5,FALSE)</f>
        <v>3</v>
      </c>
      <c r="G597">
        <f>VLOOKUP(A597,Classifications!$A:$F,6,FALSE)</f>
        <v>2</v>
      </c>
      <c r="H597">
        <f>VLOOKUP(A597,Classifications!$A:$G,7,FALSE)</f>
        <v>41</v>
      </c>
      <c r="I597" t="s">
        <v>11</v>
      </c>
      <c r="J597" s="2">
        <v>44225.355034722219</v>
      </c>
    </row>
    <row r="598" spans="1:10" ht="12.75" customHeight="1" x14ac:dyDescent="0.3">
      <c r="A598">
        <v>1354869</v>
      </c>
      <c r="B598" t="s">
        <v>331</v>
      </c>
      <c r="C598" t="s">
        <v>1060</v>
      </c>
      <c r="D598" t="s">
        <v>1419</v>
      </c>
      <c r="E598" s="1" t="s">
        <v>1420</v>
      </c>
      <c r="F598">
        <f>VLOOKUP(A598,Classifications!$A:$E,5,FALSE)</f>
        <v>1</v>
      </c>
      <c r="G598">
        <f>VLOOKUP(A598,Classifications!$A:$F,6,FALSE)</f>
        <v>1</v>
      </c>
      <c r="H598">
        <f>VLOOKUP(A598,Classifications!$A:$G,7,FALSE)</f>
        <v>43</v>
      </c>
      <c r="I598" t="s">
        <v>11</v>
      </c>
      <c r="J598" s="2">
        <v>44225.345254629632</v>
      </c>
    </row>
    <row r="599" spans="1:10" ht="12.75" customHeight="1" x14ac:dyDescent="0.3">
      <c r="A599">
        <v>1354864</v>
      </c>
      <c r="B599" t="s">
        <v>16</v>
      </c>
      <c r="C599" t="s">
        <v>181</v>
      </c>
      <c r="D599" t="s">
        <v>1421</v>
      </c>
      <c r="E599" s="1" t="s">
        <v>1422</v>
      </c>
      <c r="F599">
        <f>VLOOKUP(A599,Classifications!$A:$E,5,FALSE)</f>
        <v>1</v>
      </c>
      <c r="G599">
        <f>VLOOKUP(A599,Classifications!$A:$F,6,FALSE)</f>
        <v>1</v>
      </c>
      <c r="H599">
        <f>VLOOKUP(A599,Classifications!$A:$G,7,FALSE)</f>
        <v>41</v>
      </c>
      <c r="I599" t="s">
        <v>11</v>
      </c>
      <c r="J599" s="2">
        <v>44225.341921296298</v>
      </c>
    </row>
    <row r="600" spans="1:10" ht="12.75" customHeight="1" x14ac:dyDescent="0.3">
      <c r="A600">
        <v>1354843</v>
      </c>
      <c r="B600" t="s">
        <v>32</v>
      </c>
      <c r="C600" t="s">
        <v>205</v>
      </c>
      <c r="D600" t="s">
        <v>1423</v>
      </c>
      <c r="E600" s="1" t="s">
        <v>1424</v>
      </c>
      <c r="F600">
        <f>VLOOKUP(A600,Classifications!$A:$E,5,FALSE)</f>
        <v>1</v>
      </c>
      <c r="G600">
        <f>VLOOKUP(A600,Classifications!$A:$F,6,FALSE)</f>
        <v>1</v>
      </c>
      <c r="H600">
        <f>VLOOKUP(A600,Classifications!$A:$G,7,FALSE)</f>
        <v>41</v>
      </c>
      <c r="I600" t="s">
        <v>11</v>
      </c>
      <c r="J600" s="2">
        <v>44225.331377314818</v>
      </c>
    </row>
    <row r="601" spans="1:10" ht="12.75" customHeight="1" x14ac:dyDescent="0.3">
      <c r="A601">
        <v>1354833</v>
      </c>
      <c r="B601" t="s">
        <v>16</v>
      </c>
      <c r="C601" t="s">
        <v>649</v>
      </c>
      <c r="D601" t="s">
        <v>907</v>
      </c>
      <c r="E601" s="1" t="s">
        <v>1425</v>
      </c>
      <c r="F601">
        <f>VLOOKUP(A601,Classifications!$A:$E,5,FALSE)</f>
        <v>1</v>
      </c>
      <c r="G601">
        <f>VLOOKUP(A601,Classifications!$A:$F,6,FALSE)</f>
        <v>2</v>
      </c>
      <c r="H601">
        <f>VLOOKUP(A601,Classifications!$A:$G,7,FALSE)</f>
        <v>41</v>
      </c>
      <c r="I601" t="s">
        <v>11</v>
      </c>
      <c r="J601" s="2">
        <v>44225.309467592589</v>
      </c>
    </row>
    <row r="602" spans="1:10" ht="12.75" customHeight="1" x14ac:dyDescent="0.3">
      <c r="A602">
        <v>1354829</v>
      </c>
      <c r="B602" t="s">
        <v>16</v>
      </c>
      <c r="C602" t="s">
        <v>649</v>
      </c>
      <c r="D602" t="s">
        <v>650</v>
      </c>
      <c r="E602" s="1" t="s">
        <v>1426</v>
      </c>
      <c r="F602">
        <f>VLOOKUP(A602,Classifications!$A:$E,5,FALSE)</f>
        <v>1</v>
      </c>
      <c r="G602">
        <f>VLOOKUP(A602,Classifications!$A:$F,6,FALSE)</f>
        <v>1</v>
      </c>
      <c r="H602">
        <f>VLOOKUP(A602,Classifications!$A:$G,7,FALSE)</f>
        <v>43</v>
      </c>
      <c r="I602" t="s">
        <v>11</v>
      </c>
      <c r="J602" s="2">
        <v>44225.297233796293</v>
      </c>
    </row>
    <row r="603" spans="1:10" ht="12.75" customHeight="1" x14ac:dyDescent="0.3">
      <c r="A603">
        <v>1354729</v>
      </c>
      <c r="B603" t="s">
        <v>32</v>
      </c>
      <c r="C603" t="s">
        <v>463</v>
      </c>
      <c r="D603" t="s">
        <v>1427</v>
      </c>
      <c r="E603" t="s">
        <v>1324</v>
      </c>
      <c r="F603">
        <f>VLOOKUP(A603,Classifications!$A:$E,5,FALSE)</f>
        <v>2</v>
      </c>
      <c r="G603">
        <f>VLOOKUP(A603,Classifications!$A:$F,6,FALSE)</f>
        <v>1</v>
      </c>
      <c r="H603">
        <f>VLOOKUP(A603,Classifications!$A:$G,7,FALSE)</f>
        <v>36</v>
      </c>
      <c r="I603" t="s">
        <v>1158</v>
      </c>
      <c r="J603" s="2">
        <v>44225.000034722223</v>
      </c>
    </row>
    <row r="604" spans="1:10" ht="12.75" customHeight="1" x14ac:dyDescent="0.3">
      <c r="A604">
        <v>1354728</v>
      </c>
      <c r="B604" t="s">
        <v>184</v>
      </c>
      <c r="C604" t="s">
        <v>1428</v>
      </c>
      <c r="D604" t="s">
        <v>1429</v>
      </c>
      <c r="E604" s="1" t="s">
        <v>1160</v>
      </c>
      <c r="F604">
        <f>VLOOKUP(A604,Classifications!$A:$E,5,FALSE)</f>
        <v>1</v>
      </c>
      <c r="G604">
        <f>VLOOKUP(A604,Classifications!$A:$F,6,FALSE)</f>
        <v>1</v>
      </c>
      <c r="H604">
        <f>VLOOKUP(A604,Classifications!$A:$G,7,FALSE)</f>
        <v>36</v>
      </c>
      <c r="I604" t="s">
        <v>1158</v>
      </c>
      <c r="J604" s="2">
        <v>44225.000023148146</v>
      </c>
    </row>
    <row r="605" spans="1:10" ht="12.75" customHeight="1" x14ac:dyDescent="0.3">
      <c r="A605">
        <v>1354625</v>
      </c>
      <c r="B605" t="s">
        <v>774</v>
      </c>
      <c r="C605" t="s">
        <v>775</v>
      </c>
      <c r="D605" t="s">
        <v>1430</v>
      </c>
      <c r="E605" s="1" t="s">
        <v>1431</v>
      </c>
      <c r="F605">
        <f>VLOOKUP(A605,Classifications!$A:$E,5,FALSE)</f>
        <v>1</v>
      </c>
      <c r="G605">
        <f>VLOOKUP(A605,Classifications!$A:$F,6,FALSE)</f>
        <v>1</v>
      </c>
      <c r="H605">
        <f>VLOOKUP(A605,Classifications!$A:$G,7,FALSE)</f>
        <v>41</v>
      </c>
      <c r="I605" t="s">
        <v>11</v>
      </c>
      <c r="J605" s="2">
        <v>44224.855358796296</v>
      </c>
    </row>
    <row r="606" spans="1:10" ht="12.75" customHeight="1" x14ac:dyDescent="0.3">
      <c r="A606">
        <v>1354516</v>
      </c>
      <c r="B606" t="s">
        <v>157</v>
      </c>
      <c r="C606" t="s">
        <v>414</v>
      </c>
      <c r="D606" t="s">
        <v>1432</v>
      </c>
      <c r="E606" s="1" t="s">
        <v>1433</v>
      </c>
      <c r="F606">
        <f>VLOOKUP(A606,Classifications!$A:$E,5,FALSE)</f>
        <v>1</v>
      </c>
      <c r="G606">
        <f>VLOOKUP(A606,Classifications!$A:$F,6,FALSE)</f>
        <v>3</v>
      </c>
      <c r="H606">
        <f>VLOOKUP(A606,Classifications!$A:$G,7,FALSE)</f>
        <v>43</v>
      </c>
      <c r="I606" t="s">
        <v>11</v>
      </c>
      <c r="J606" s="2">
        <v>44224.707013888888</v>
      </c>
    </row>
    <row r="607" spans="1:10" ht="12.75" customHeight="1" x14ac:dyDescent="0.3">
      <c r="A607">
        <v>1354515</v>
      </c>
      <c r="B607" t="s">
        <v>1434</v>
      </c>
      <c r="C607" t="s">
        <v>1435</v>
      </c>
      <c r="D607" t="s">
        <v>1436</v>
      </c>
      <c r="E607" s="1" t="s">
        <v>1437</v>
      </c>
      <c r="F607">
        <f>VLOOKUP(A607,Classifications!$A:$E,5,FALSE)</f>
        <v>1</v>
      </c>
      <c r="G607">
        <f>VLOOKUP(A607,Classifications!$A:$F,6,FALSE)</f>
        <v>1</v>
      </c>
      <c r="H607">
        <f>VLOOKUP(A607,Classifications!$A:$G,7,FALSE)</f>
        <v>43</v>
      </c>
      <c r="I607" t="s">
        <v>188</v>
      </c>
      <c r="J607" s="2">
        <v>44224.7031712963</v>
      </c>
    </row>
    <row r="608" spans="1:10" ht="12.75" customHeight="1" x14ac:dyDescent="0.3">
      <c r="A608">
        <v>1354514</v>
      </c>
      <c r="B608" t="s">
        <v>1105</v>
      </c>
      <c r="C608" t="s">
        <v>1438</v>
      </c>
      <c r="D608" t="s">
        <v>1439</v>
      </c>
      <c r="E608" s="1" t="s">
        <v>1440</v>
      </c>
      <c r="F608">
        <f>VLOOKUP(A608,Classifications!$A:$E,5,FALSE)</f>
        <v>1</v>
      </c>
      <c r="G608">
        <f>VLOOKUP(A608,Classifications!$A:$F,6,FALSE)</f>
        <v>2</v>
      </c>
      <c r="H608">
        <f>VLOOKUP(A608,Classifications!$A:$G,7,FALSE)</f>
        <v>41</v>
      </c>
      <c r="I608" t="s">
        <v>11</v>
      </c>
      <c r="J608" s="2">
        <v>44224.697928240741</v>
      </c>
    </row>
    <row r="609" spans="1:10" ht="12.75" customHeight="1" x14ac:dyDescent="0.3">
      <c r="A609">
        <v>1354511</v>
      </c>
      <c r="B609" t="s">
        <v>74</v>
      </c>
      <c r="C609" t="s">
        <v>1374</v>
      </c>
      <c r="D609" t="s">
        <v>1441</v>
      </c>
      <c r="E609" s="1" t="s">
        <v>1442</v>
      </c>
      <c r="F609">
        <f>VLOOKUP(A609,Classifications!$A:$E,5,FALSE)</f>
        <v>1</v>
      </c>
      <c r="G609">
        <f>VLOOKUP(A609,Classifications!$A:$F,6,FALSE)</f>
        <v>1</v>
      </c>
      <c r="H609">
        <f>VLOOKUP(A609,Classifications!$A:$G,7,FALSE)</f>
        <v>43</v>
      </c>
      <c r="I609" t="s">
        <v>11</v>
      </c>
      <c r="J609" s="2">
        <v>44224.69427083333</v>
      </c>
    </row>
    <row r="610" spans="1:10" ht="12.75" customHeight="1" x14ac:dyDescent="0.3">
      <c r="A610">
        <v>1354508</v>
      </c>
      <c r="B610" t="s">
        <v>1236</v>
      </c>
      <c r="C610" t="s">
        <v>158</v>
      </c>
      <c r="D610" t="s">
        <v>1443</v>
      </c>
      <c r="E610" s="1" t="s">
        <v>1444</v>
      </c>
      <c r="F610">
        <f>VLOOKUP(A610,Classifications!$A:$E,5,FALSE)</f>
        <v>1</v>
      </c>
      <c r="G610">
        <f>VLOOKUP(A610,Classifications!$A:$F,6,FALSE)</f>
        <v>1</v>
      </c>
      <c r="H610">
        <f>VLOOKUP(A610,Classifications!$A:$G,7,FALSE)</f>
        <v>43</v>
      </c>
      <c r="I610" t="s">
        <v>24</v>
      </c>
      <c r="J610" s="2">
        <v>44224.690393518518</v>
      </c>
    </row>
    <row r="611" spans="1:10" ht="12.75" customHeight="1" x14ac:dyDescent="0.3">
      <c r="A611">
        <v>1354495</v>
      </c>
      <c r="B611" t="s">
        <v>157</v>
      </c>
      <c r="C611" t="s">
        <v>414</v>
      </c>
      <c r="D611" t="s">
        <v>1445</v>
      </c>
      <c r="E611" s="1" t="s">
        <v>1446</v>
      </c>
      <c r="F611">
        <f>VLOOKUP(A611,Classifications!$A:$E,5,FALSE)</f>
        <v>1</v>
      </c>
      <c r="G611">
        <f>VLOOKUP(A611,Classifications!$A:$F,6,FALSE)</f>
        <v>1</v>
      </c>
      <c r="H611">
        <f>VLOOKUP(A611,Classifications!$A:$G,7,FALSE)</f>
        <v>43</v>
      </c>
      <c r="I611" t="s">
        <v>11</v>
      </c>
      <c r="J611" s="2">
        <v>44224.653784722221</v>
      </c>
    </row>
    <row r="612" spans="1:10" ht="12.75" customHeight="1" x14ac:dyDescent="0.3">
      <c r="A612">
        <v>1354492</v>
      </c>
      <c r="B612" t="s">
        <v>350</v>
      </c>
      <c r="C612" t="s">
        <v>351</v>
      </c>
      <c r="D612" t="s">
        <v>1447</v>
      </c>
      <c r="E612" s="1" t="s">
        <v>1448</v>
      </c>
      <c r="F612">
        <f>VLOOKUP(A612,Classifications!$A:$E,5,FALSE)</f>
        <v>1</v>
      </c>
      <c r="G612">
        <f>VLOOKUP(A612,Classifications!$A:$F,6,FALSE)</f>
        <v>2</v>
      </c>
      <c r="H612">
        <f>VLOOKUP(A612,Classifications!$A:$G,7,FALSE)</f>
        <v>43</v>
      </c>
      <c r="I612" t="s">
        <v>24</v>
      </c>
      <c r="J612" s="2">
        <v>44224.644131944442</v>
      </c>
    </row>
    <row r="613" spans="1:10" ht="12.75" customHeight="1" x14ac:dyDescent="0.3">
      <c r="A613">
        <v>1354491</v>
      </c>
      <c r="B613" t="s">
        <v>804</v>
      </c>
      <c r="C613" t="s">
        <v>1449</v>
      </c>
      <c r="D613" t="s">
        <v>1450</v>
      </c>
      <c r="E613" s="1" t="s">
        <v>1451</v>
      </c>
      <c r="F613">
        <f>VLOOKUP(A613,Classifications!$A:$E,5,FALSE)</f>
        <v>1</v>
      </c>
      <c r="G613">
        <f>VLOOKUP(A613,Classifications!$A:$F,6,FALSE)</f>
        <v>2</v>
      </c>
      <c r="H613">
        <f>VLOOKUP(A613,Classifications!$A:$G,7,FALSE)</f>
        <v>36</v>
      </c>
      <c r="I613" t="s">
        <v>24</v>
      </c>
      <c r="J613" s="2">
        <v>44224.638831018521</v>
      </c>
    </row>
    <row r="614" spans="1:10" ht="12.75" customHeight="1" x14ac:dyDescent="0.3">
      <c r="A614">
        <v>1354490</v>
      </c>
      <c r="B614" t="s">
        <v>350</v>
      </c>
      <c r="C614" t="s">
        <v>351</v>
      </c>
      <c r="D614" t="s">
        <v>1452</v>
      </c>
      <c r="E614" s="1" t="s">
        <v>1453</v>
      </c>
      <c r="F614">
        <f>VLOOKUP(A614,Classifications!$A:$E,5,FALSE)</f>
        <v>1</v>
      </c>
      <c r="G614">
        <f>VLOOKUP(A614,Classifications!$A:$F,6,FALSE)</f>
        <v>1</v>
      </c>
      <c r="H614">
        <f>VLOOKUP(A614,Classifications!$A:$G,7,FALSE)</f>
        <v>43</v>
      </c>
      <c r="I614" t="s">
        <v>24</v>
      </c>
      <c r="J614" s="2">
        <v>44224.63212962963</v>
      </c>
    </row>
    <row r="615" spans="1:10" ht="12.75" customHeight="1" x14ac:dyDescent="0.3">
      <c r="A615">
        <v>1354485</v>
      </c>
      <c r="B615" t="s">
        <v>1454</v>
      </c>
      <c r="C615" t="s">
        <v>1455</v>
      </c>
      <c r="D615" t="s">
        <v>1456</v>
      </c>
      <c r="E615" s="1" t="s">
        <v>1457</v>
      </c>
      <c r="F615">
        <f>VLOOKUP(A615,Classifications!$A:$E,5,FALSE)</f>
        <v>1</v>
      </c>
      <c r="G615">
        <f>VLOOKUP(A615,Classifications!$A:$F,6,FALSE)</f>
        <v>1</v>
      </c>
      <c r="H615">
        <f>VLOOKUP(A615,Classifications!$A:$G,7,FALSE)</f>
        <v>43</v>
      </c>
      <c r="I615" t="s">
        <v>11</v>
      </c>
      <c r="J615" s="2">
        <v>44224.625104166669</v>
      </c>
    </row>
    <row r="616" spans="1:10" ht="12.75" customHeight="1" x14ac:dyDescent="0.3">
      <c r="A616">
        <v>1354482</v>
      </c>
      <c r="B616" t="s">
        <v>1105</v>
      </c>
      <c r="C616" t="s">
        <v>1458</v>
      </c>
      <c r="D616" t="s">
        <v>1459</v>
      </c>
      <c r="E616" s="1" t="s">
        <v>1460</v>
      </c>
      <c r="F616">
        <f>VLOOKUP(A616,Classifications!$A:$E,5,FALSE)</f>
        <v>1</v>
      </c>
      <c r="G616">
        <f>VLOOKUP(A616,Classifications!$A:$F,6,FALSE)</f>
        <v>3</v>
      </c>
      <c r="H616">
        <f>VLOOKUP(A616,Classifications!$A:$G,7,FALSE)</f>
        <v>41</v>
      </c>
      <c r="I616" t="s">
        <v>11</v>
      </c>
      <c r="J616" s="2">
        <v>44224.62190972222</v>
      </c>
    </row>
    <row r="617" spans="1:10" ht="12.75" customHeight="1" x14ac:dyDescent="0.3">
      <c r="A617">
        <v>1354481</v>
      </c>
      <c r="B617" t="s">
        <v>36</v>
      </c>
      <c r="C617" t="s">
        <v>1461</v>
      </c>
      <c r="D617" t="s">
        <v>1462</v>
      </c>
      <c r="E617" s="1" t="s">
        <v>1463</v>
      </c>
      <c r="F617">
        <f>VLOOKUP(A617,Classifications!$A:$E,5,FALSE)</f>
        <v>1</v>
      </c>
      <c r="G617">
        <f>VLOOKUP(A617,Classifications!$A:$F,6,FALSE)</f>
        <v>1</v>
      </c>
      <c r="H617">
        <f>VLOOKUP(A617,Classifications!$A:$G,7,FALSE)</f>
        <v>36</v>
      </c>
      <c r="I617" t="s">
        <v>24</v>
      </c>
      <c r="J617" s="2">
        <v>44224.615034722221</v>
      </c>
    </row>
    <row r="618" spans="1:10" ht="12.75" customHeight="1" x14ac:dyDescent="0.3">
      <c r="A618">
        <v>1354479</v>
      </c>
      <c r="B618" t="s">
        <v>290</v>
      </c>
      <c r="C618" t="s">
        <v>1464</v>
      </c>
      <c r="D618" t="s">
        <v>1465</v>
      </c>
      <c r="E618" s="1" t="s">
        <v>1466</v>
      </c>
      <c r="F618">
        <f>VLOOKUP(A618,Classifications!$A:$E,5,FALSE)</f>
        <v>1</v>
      </c>
      <c r="G618">
        <f>VLOOKUP(A618,Classifications!$A:$F,6,FALSE)</f>
        <v>2</v>
      </c>
      <c r="H618">
        <f>VLOOKUP(A618,Classifications!$A:$G,7,FALSE)</f>
        <v>41</v>
      </c>
      <c r="I618" t="s">
        <v>11</v>
      </c>
      <c r="J618" s="2">
        <v>44224.604467592595</v>
      </c>
    </row>
    <row r="619" spans="1:10" ht="12.75" customHeight="1" x14ac:dyDescent="0.3">
      <c r="A619">
        <v>1354477</v>
      </c>
      <c r="B619" t="s">
        <v>157</v>
      </c>
      <c r="C619" t="s">
        <v>414</v>
      </c>
      <c r="D619" t="s">
        <v>1467</v>
      </c>
      <c r="E619" s="1" t="s">
        <v>1468</v>
      </c>
      <c r="F619">
        <f>VLOOKUP(A619,Classifications!$A:$E,5,FALSE)</f>
        <v>1</v>
      </c>
      <c r="G619">
        <f>VLOOKUP(A619,Classifications!$A:$F,6,FALSE)</f>
        <v>3</v>
      </c>
      <c r="H619">
        <f>VLOOKUP(A619,Classifications!$A:$G,7,FALSE)</f>
        <v>43</v>
      </c>
      <c r="I619" t="s">
        <v>11</v>
      </c>
      <c r="J619" s="2">
        <v>44224.601493055554</v>
      </c>
    </row>
    <row r="620" spans="1:10" ht="12.75" customHeight="1" x14ac:dyDescent="0.3">
      <c r="A620">
        <v>1354452</v>
      </c>
      <c r="B620" t="s">
        <v>49</v>
      </c>
      <c r="C620" t="s">
        <v>1469</v>
      </c>
      <c r="D620" t="s">
        <v>1470</v>
      </c>
      <c r="E620" s="1" t="s">
        <v>1471</v>
      </c>
      <c r="F620">
        <f>VLOOKUP(A620,Classifications!$A:$E,5,FALSE)</f>
        <v>1</v>
      </c>
      <c r="G620">
        <f>VLOOKUP(A620,Classifications!$A:$F,6,FALSE)</f>
        <v>1</v>
      </c>
      <c r="H620">
        <f>VLOOKUP(A620,Classifications!$A:$G,7,FALSE)</f>
        <v>36</v>
      </c>
      <c r="I620" t="s">
        <v>24</v>
      </c>
      <c r="J620" s="2">
        <v>44224.53564814815</v>
      </c>
    </row>
    <row r="621" spans="1:10" ht="12.75" customHeight="1" x14ac:dyDescent="0.3">
      <c r="A621">
        <v>1354451</v>
      </c>
      <c r="B621" t="s">
        <v>45</v>
      </c>
      <c r="C621" t="s">
        <v>1472</v>
      </c>
      <c r="D621" t="s">
        <v>1473</v>
      </c>
      <c r="E621" s="1" t="s">
        <v>1474</v>
      </c>
      <c r="F621">
        <f>VLOOKUP(A621,Classifications!$A:$E,5,FALSE)</f>
        <v>1</v>
      </c>
      <c r="G621">
        <f>VLOOKUP(A621,Classifications!$A:$F,6,FALSE)</f>
        <v>1</v>
      </c>
      <c r="H621">
        <f>VLOOKUP(A621,Classifications!$A:$G,7,FALSE)</f>
        <v>43</v>
      </c>
      <c r="I621" t="s">
        <v>11</v>
      </c>
      <c r="J621" s="2">
        <v>44224.534444444442</v>
      </c>
    </row>
    <row r="622" spans="1:10" ht="12.75" customHeight="1" x14ac:dyDescent="0.3">
      <c r="A622">
        <v>1354445</v>
      </c>
      <c r="B622" t="s">
        <v>435</v>
      </c>
      <c r="C622" t="s">
        <v>436</v>
      </c>
      <c r="D622">
        <v>1353844</v>
      </c>
      <c r="E622" s="1" t="s">
        <v>1475</v>
      </c>
      <c r="F622">
        <f>VLOOKUP(A622,Classifications!$A:$E,5,FALSE)</f>
        <v>1</v>
      </c>
      <c r="G622">
        <f>VLOOKUP(A622,Classifications!$A:$F,6,FALSE)</f>
        <v>1</v>
      </c>
      <c r="H622">
        <f>VLOOKUP(A622,Classifications!$A:$G,7,FALSE)</f>
        <v>41</v>
      </c>
      <c r="I622" t="s">
        <v>11</v>
      </c>
      <c r="J622" s="2">
        <v>44224.524050925924</v>
      </c>
    </row>
    <row r="623" spans="1:10" ht="12.75" customHeight="1" x14ac:dyDescent="0.3">
      <c r="A623">
        <v>1354443</v>
      </c>
      <c r="B623" t="s">
        <v>1476</v>
      </c>
      <c r="C623" t="s">
        <v>1477</v>
      </c>
      <c r="D623" t="s">
        <v>1478</v>
      </c>
      <c r="E623" s="1" t="s">
        <v>1479</v>
      </c>
      <c r="F623">
        <f>VLOOKUP(A623,Classifications!$A:$E,5,FALSE)</f>
        <v>1</v>
      </c>
      <c r="G623">
        <f>VLOOKUP(A623,Classifications!$A:$F,6,FALSE)</f>
        <v>1</v>
      </c>
      <c r="H623">
        <f>VLOOKUP(A623,Classifications!$A:$G,7,FALSE)</f>
        <v>41</v>
      </c>
      <c r="I623" t="s">
        <v>11</v>
      </c>
      <c r="J623" s="2">
        <v>44224.523784722223</v>
      </c>
    </row>
    <row r="624" spans="1:10" ht="12.75" customHeight="1" x14ac:dyDescent="0.3">
      <c r="A624">
        <v>1354439</v>
      </c>
      <c r="B624" t="s">
        <v>458</v>
      </c>
      <c r="C624" t="s">
        <v>1480</v>
      </c>
      <c r="D624" t="s">
        <v>1481</v>
      </c>
      <c r="E624" s="1" t="s">
        <v>1482</v>
      </c>
      <c r="F624">
        <f>VLOOKUP(A624,Classifications!$A:$E,5,FALSE)</f>
        <v>1</v>
      </c>
      <c r="G624">
        <f>VLOOKUP(A624,Classifications!$A:$F,6,FALSE)</f>
        <v>1</v>
      </c>
      <c r="H624">
        <f>VLOOKUP(A624,Classifications!$A:$G,7,FALSE)</f>
        <v>41</v>
      </c>
      <c r="I624" t="s">
        <v>11</v>
      </c>
      <c r="J624" s="2">
        <v>44224.511365740742</v>
      </c>
    </row>
    <row r="625" spans="1:10" ht="12.75" customHeight="1" x14ac:dyDescent="0.3">
      <c r="A625">
        <v>1354436</v>
      </c>
      <c r="B625" t="s">
        <v>70</v>
      </c>
      <c r="C625" t="s">
        <v>369</v>
      </c>
      <c r="D625" t="s">
        <v>1483</v>
      </c>
      <c r="E625" s="1" t="s">
        <v>1484</v>
      </c>
      <c r="F625">
        <f>VLOOKUP(A625,Classifications!$A:$E,5,FALSE)</f>
        <v>1</v>
      </c>
      <c r="G625">
        <f>VLOOKUP(A625,Classifications!$A:$F,6,FALSE)</f>
        <v>1</v>
      </c>
      <c r="H625">
        <f>VLOOKUP(A625,Classifications!$A:$G,7,FALSE)</f>
        <v>43</v>
      </c>
      <c r="I625" t="s">
        <v>11</v>
      </c>
      <c r="J625" s="2">
        <v>44224.510277777779</v>
      </c>
    </row>
    <row r="626" spans="1:10" ht="12.75" customHeight="1" x14ac:dyDescent="0.3">
      <c r="A626">
        <v>1354435</v>
      </c>
      <c r="B626" t="s">
        <v>746</v>
      </c>
      <c r="C626" t="s">
        <v>1485</v>
      </c>
      <c r="D626" t="s">
        <v>1486</v>
      </c>
      <c r="E626" s="1" t="s">
        <v>1487</v>
      </c>
      <c r="F626">
        <f>VLOOKUP(A626,Classifications!$A:$E,5,FALSE)</f>
        <v>1</v>
      </c>
      <c r="G626">
        <f>VLOOKUP(A626,Classifications!$A:$F,6,FALSE)</f>
        <v>1</v>
      </c>
      <c r="H626">
        <f>VLOOKUP(A626,Classifications!$A:$G,7,FALSE)</f>
        <v>43</v>
      </c>
      <c r="I626" t="s">
        <v>11</v>
      </c>
      <c r="J626" s="2">
        <v>44224.509432870371</v>
      </c>
    </row>
    <row r="627" spans="1:10" ht="12.75" customHeight="1" x14ac:dyDescent="0.3">
      <c r="A627">
        <v>1354430</v>
      </c>
      <c r="B627" t="s">
        <v>157</v>
      </c>
      <c r="C627" t="s">
        <v>1488</v>
      </c>
      <c r="D627" t="s">
        <v>1489</v>
      </c>
      <c r="E627" s="1" t="s">
        <v>1490</v>
      </c>
      <c r="F627">
        <f>VLOOKUP(A627,Classifications!$A:$E,5,FALSE)</f>
        <v>1</v>
      </c>
      <c r="G627">
        <f>VLOOKUP(A627,Classifications!$A:$F,6,FALSE)</f>
        <v>2</v>
      </c>
      <c r="H627">
        <f>VLOOKUP(A627,Classifications!$A:$G,7,FALSE)</f>
        <v>43</v>
      </c>
      <c r="I627" t="s">
        <v>11</v>
      </c>
      <c r="J627" s="2">
        <v>44224.494722222225</v>
      </c>
    </row>
    <row r="628" spans="1:10" ht="12.75" customHeight="1" x14ac:dyDescent="0.3">
      <c r="A628">
        <v>1354428</v>
      </c>
      <c r="B628" t="s">
        <v>16</v>
      </c>
      <c r="C628" t="s">
        <v>1491</v>
      </c>
      <c r="D628" t="s">
        <v>1492</v>
      </c>
      <c r="E628" s="1" t="s">
        <v>1493</v>
      </c>
      <c r="F628">
        <f>VLOOKUP(A628,Classifications!$A:$E,5,FALSE)</f>
        <v>1</v>
      </c>
      <c r="G628">
        <f>VLOOKUP(A628,Classifications!$A:$F,6,FALSE)</f>
        <v>1</v>
      </c>
      <c r="H628">
        <f>VLOOKUP(A628,Classifications!$A:$G,7,FALSE)</f>
        <v>41</v>
      </c>
      <c r="I628" t="s">
        <v>11</v>
      </c>
      <c r="J628" s="2">
        <v>44224.485312500001</v>
      </c>
    </row>
    <row r="629" spans="1:10" ht="12.75" customHeight="1" x14ac:dyDescent="0.3">
      <c r="A629">
        <v>1354426</v>
      </c>
      <c r="B629" t="s">
        <v>350</v>
      </c>
      <c r="C629" t="s">
        <v>351</v>
      </c>
      <c r="D629" t="s">
        <v>1494</v>
      </c>
      <c r="E629" s="1" t="s">
        <v>1495</v>
      </c>
      <c r="F629">
        <f>VLOOKUP(A629,Classifications!$A:$E,5,FALSE)</f>
        <v>1</v>
      </c>
      <c r="G629">
        <f>VLOOKUP(A629,Classifications!$A:$F,6,FALSE)</f>
        <v>1</v>
      </c>
      <c r="H629">
        <f>VLOOKUP(A629,Classifications!$A:$G,7,FALSE)</f>
        <v>43</v>
      </c>
      <c r="I629" t="s">
        <v>24</v>
      </c>
      <c r="J629" s="2">
        <v>44224.485034722224</v>
      </c>
    </row>
    <row r="630" spans="1:10" ht="12.75" customHeight="1" x14ac:dyDescent="0.3">
      <c r="A630">
        <v>1354424</v>
      </c>
      <c r="B630" t="s">
        <v>70</v>
      </c>
      <c r="C630" t="s">
        <v>1496</v>
      </c>
      <c r="D630" t="s">
        <v>1497</v>
      </c>
      <c r="E630" s="1" t="s">
        <v>1498</v>
      </c>
      <c r="F630">
        <f>VLOOKUP(A630,Classifications!$A:$E,5,FALSE)</f>
        <v>1</v>
      </c>
      <c r="G630">
        <f>VLOOKUP(A630,Classifications!$A:$F,6,FALSE)</f>
        <v>1</v>
      </c>
      <c r="H630">
        <f>VLOOKUP(A630,Classifications!$A:$G,7,FALSE)</f>
        <v>41</v>
      </c>
      <c r="I630" t="s">
        <v>11</v>
      </c>
      <c r="J630" s="2">
        <v>44224.483483796299</v>
      </c>
    </row>
    <row r="631" spans="1:10" ht="12.75" customHeight="1" x14ac:dyDescent="0.3">
      <c r="A631">
        <v>1354421</v>
      </c>
      <c r="B631" t="s">
        <v>70</v>
      </c>
      <c r="C631" t="s">
        <v>660</v>
      </c>
      <c r="D631" t="s">
        <v>1499</v>
      </c>
      <c r="E631" s="1" t="s">
        <v>1500</v>
      </c>
      <c r="F631">
        <f>VLOOKUP(A631,Classifications!$A:$E,5,FALSE)</f>
        <v>1</v>
      </c>
      <c r="G631">
        <f>VLOOKUP(A631,Classifications!$A:$F,6,FALSE)</f>
        <v>1</v>
      </c>
      <c r="H631">
        <f>VLOOKUP(A631,Classifications!$A:$G,7,FALSE)</f>
        <v>41</v>
      </c>
      <c r="I631" t="s">
        <v>11</v>
      </c>
      <c r="J631" s="2">
        <v>44224.480034722219</v>
      </c>
    </row>
    <row r="632" spans="1:10" ht="12.75" customHeight="1" x14ac:dyDescent="0.3">
      <c r="A632">
        <v>1354420</v>
      </c>
      <c r="B632" t="s">
        <v>350</v>
      </c>
      <c r="C632" t="s">
        <v>351</v>
      </c>
      <c r="D632" t="s">
        <v>1501</v>
      </c>
      <c r="E632" s="1" t="s">
        <v>1502</v>
      </c>
      <c r="F632">
        <f>VLOOKUP(A632,Classifications!$A:$E,5,FALSE)</f>
        <v>1</v>
      </c>
      <c r="G632">
        <f>VLOOKUP(A632,Classifications!$A:$F,6,FALSE)</f>
        <v>3</v>
      </c>
      <c r="H632">
        <f>VLOOKUP(A632,Classifications!$A:$G,7,FALSE)</f>
        <v>43</v>
      </c>
      <c r="I632" t="s">
        <v>24</v>
      </c>
      <c r="J632" s="2">
        <v>44224.479756944442</v>
      </c>
    </row>
    <row r="633" spans="1:10" ht="12.75" customHeight="1" x14ac:dyDescent="0.3">
      <c r="A633">
        <v>1354415</v>
      </c>
      <c r="B633" t="s">
        <v>16</v>
      </c>
      <c r="C633" t="s">
        <v>1503</v>
      </c>
      <c r="D633" t="s">
        <v>1504</v>
      </c>
      <c r="E633" s="1" t="s">
        <v>1505</v>
      </c>
      <c r="F633">
        <f>VLOOKUP(A633,Classifications!$A:$E,5,FALSE)</f>
        <v>1</v>
      </c>
      <c r="G633">
        <f>VLOOKUP(A633,Classifications!$A:$F,6,FALSE)</f>
        <v>1</v>
      </c>
      <c r="H633">
        <f>VLOOKUP(A633,Classifications!$A:$G,7,FALSE)</f>
        <v>41</v>
      </c>
      <c r="I633" t="s">
        <v>11</v>
      </c>
      <c r="J633" s="2">
        <v>44224.471412037034</v>
      </c>
    </row>
    <row r="634" spans="1:10" ht="12.75" customHeight="1" x14ac:dyDescent="0.3">
      <c r="A634">
        <v>1354410</v>
      </c>
      <c r="B634" t="s">
        <v>118</v>
      </c>
      <c r="C634" t="s">
        <v>200</v>
      </c>
      <c r="D634" t="s">
        <v>1506</v>
      </c>
      <c r="E634" s="1" t="s">
        <v>1507</v>
      </c>
      <c r="F634">
        <f>VLOOKUP(A634,Classifications!$A:$E,5,FALSE)</f>
        <v>1</v>
      </c>
      <c r="G634">
        <f>VLOOKUP(A634,Classifications!$A:$F,6,FALSE)</f>
        <v>1</v>
      </c>
      <c r="H634">
        <f>VLOOKUP(A634,Classifications!$A:$G,7,FALSE)</f>
        <v>43</v>
      </c>
      <c r="I634" t="s">
        <v>11</v>
      </c>
      <c r="J634" s="2">
        <v>44224.46738425926</v>
      </c>
    </row>
    <row r="635" spans="1:10" ht="12.75" customHeight="1" x14ac:dyDescent="0.3">
      <c r="A635">
        <v>1354402</v>
      </c>
      <c r="B635" t="s">
        <v>16</v>
      </c>
      <c r="C635" t="s">
        <v>158</v>
      </c>
      <c r="D635" t="s">
        <v>1508</v>
      </c>
      <c r="E635" s="1" t="s">
        <v>1509</v>
      </c>
      <c r="F635">
        <f>VLOOKUP(A635,Classifications!$A:$E,5,FALSE)</f>
        <v>1</v>
      </c>
      <c r="G635">
        <f>VLOOKUP(A635,Classifications!$A:$F,6,FALSE)</f>
        <v>2</v>
      </c>
      <c r="H635">
        <f>VLOOKUP(A635,Classifications!$A:$G,7,FALSE)</f>
        <v>41</v>
      </c>
      <c r="I635" t="s">
        <v>11</v>
      </c>
      <c r="J635" s="2">
        <v>44224.459409722222</v>
      </c>
    </row>
    <row r="636" spans="1:10" ht="12.75" customHeight="1" x14ac:dyDescent="0.3">
      <c r="A636">
        <v>1354397</v>
      </c>
      <c r="B636" t="s">
        <v>53</v>
      </c>
      <c r="C636" t="s">
        <v>1510</v>
      </c>
      <c r="D636" t="s">
        <v>1511</v>
      </c>
      <c r="E636" s="1" t="s">
        <v>1512</v>
      </c>
      <c r="F636">
        <f>VLOOKUP(A636,Classifications!$A:$E,5,FALSE)</f>
        <v>1</v>
      </c>
      <c r="G636">
        <f>VLOOKUP(A636,Classifications!$A:$F,6,FALSE)</f>
        <v>2</v>
      </c>
      <c r="H636">
        <f>VLOOKUP(A636,Classifications!$A:$G,7,FALSE)</f>
        <v>43</v>
      </c>
      <c r="I636" t="s">
        <v>24</v>
      </c>
      <c r="J636" s="2">
        <v>44224.45853009259</v>
      </c>
    </row>
    <row r="637" spans="1:10" ht="12.75" customHeight="1" x14ac:dyDescent="0.3">
      <c r="A637">
        <v>1354368</v>
      </c>
      <c r="B637" t="s">
        <v>70</v>
      </c>
      <c r="C637" t="s">
        <v>1513</v>
      </c>
      <c r="D637" t="s">
        <v>1514</v>
      </c>
      <c r="E637" s="1" t="s">
        <v>1515</v>
      </c>
      <c r="F637">
        <f>VLOOKUP(A637,Classifications!$A:$E,5,FALSE)</f>
        <v>1</v>
      </c>
      <c r="G637">
        <f>VLOOKUP(A637,Classifications!$A:$F,6,FALSE)</f>
        <v>1</v>
      </c>
      <c r="H637">
        <f>VLOOKUP(A637,Classifications!$A:$G,7,FALSE)</f>
        <v>41</v>
      </c>
      <c r="I637" t="s">
        <v>11</v>
      </c>
      <c r="J637" s="2">
        <v>44224.430335648147</v>
      </c>
    </row>
    <row r="638" spans="1:10" ht="12.75" customHeight="1" x14ac:dyDescent="0.3">
      <c r="A638">
        <v>1354366</v>
      </c>
      <c r="B638" t="s">
        <v>70</v>
      </c>
      <c r="C638" t="s">
        <v>1225</v>
      </c>
      <c r="D638" t="s">
        <v>1516</v>
      </c>
      <c r="E638" s="1" t="s">
        <v>1517</v>
      </c>
      <c r="F638">
        <f>VLOOKUP(A638,Classifications!$A:$E,5,FALSE)</f>
        <v>1</v>
      </c>
      <c r="G638">
        <f>VLOOKUP(A638,Classifications!$A:$F,6,FALSE)</f>
        <v>1</v>
      </c>
      <c r="H638">
        <f>VLOOKUP(A638,Classifications!$A:$G,7,FALSE)</f>
        <v>43</v>
      </c>
      <c r="I638" t="s">
        <v>11</v>
      </c>
      <c r="J638" s="2">
        <v>44224.428877314815</v>
      </c>
    </row>
    <row r="639" spans="1:10" ht="12.75" customHeight="1" x14ac:dyDescent="0.3">
      <c r="A639">
        <v>1354364</v>
      </c>
      <c r="B639" t="s">
        <v>16</v>
      </c>
      <c r="C639" t="s">
        <v>1518</v>
      </c>
      <c r="D639" t="s">
        <v>1519</v>
      </c>
      <c r="E639" s="1" t="s">
        <v>1520</v>
      </c>
      <c r="F639">
        <f>VLOOKUP(A639,Classifications!$A:$E,5,FALSE)</f>
        <v>1</v>
      </c>
      <c r="G639">
        <f>VLOOKUP(A639,Classifications!$A:$F,6,FALSE)</f>
        <v>1</v>
      </c>
      <c r="H639">
        <f>VLOOKUP(A639,Classifications!$A:$G,7,FALSE)</f>
        <v>36</v>
      </c>
      <c r="I639" t="s">
        <v>11</v>
      </c>
      <c r="J639" s="2">
        <v>44224.425983796296</v>
      </c>
    </row>
    <row r="640" spans="1:10" ht="12.75" customHeight="1" x14ac:dyDescent="0.3">
      <c r="A640">
        <v>1354333</v>
      </c>
      <c r="B640" t="s">
        <v>7</v>
      </c>
      <c r="C640" t="s">
        <v>158</v>
      </c>
      <c r="D640" t="s">
        <v>737</v>
      </c>
      <c r="E640" s="1" t="s">
        <v>1521</v>
      </c>
      <c r="F640">
        <f>VLOOKUP(A640,Classifications!$A:$E,5,FALSE)</f>
        <v>1</v>
      </c>
      <c r="G640">
        <f>VLOOKUP(A640,Classifications!$A:$F,6,FALSE)</f>
        <v>1</v>
      </c>
      <c r="H640">
        <f>VLOOKUP(A640,Classifications!$A:$G,7,FALSE)</f>
        <v>41</v>
      </c>
      <c r="I640" t="s">
        <v>11</v>
      </c>
      <c r="J640" s="2">
        <v>44224.411909722221</v>
      </c>
    </row>
    <row r="641" spans="1:10" ht="12.75" customHeight="1" x14ac:dyDescent="0.3">
      <c r="A641">
        <v>1354329</v>
      </c>
      <c r="B641" t="s">
        <v>118</v>
      </c>
      <c r="C641" t="s">
        <v>200</v>
      </c>
      <c r="D641" t="s">
        <v>1522</v>
      </c>
      <c r="E641" s="1" t="s">
        <v>1523</v>
      </c>
      <c r="F641">
        <f>VLOOKUP(A641,Classifications!$A:$E,5,FALSE)</f>
        <v>1</v>
      </c>
      <c r="G641">
        <f>VLOOKUP(A641,Classifications!$A:$F,6,FALSE)</f>
        <v>2</v>
      </c>
      <c r="H641">
        <f>VLOOKUP(A641,Classifications!$A:$G,7,FALSE)</f>
        <v>43</v>
      </c>
      <c r="I641" t="s">
        <v>11</v>
      </c>
      <c r="J641" s="2">
        <v>44224.402881944443</v>
      </c>
    </row>
    <row r="642" spans="1:10" ht="12.75" customHeight="1" x14ac:dyDescent="0.3">
      <c r="A642">
        <v>1354328</v>
      </c>
      <c r="B642" t="s">
        <v>63</v>
      </c>
      <c r="C642" t="s">
        <v>1524</v>
      </c>
      <c r="D642" t="s">
        <v>1525</v>
      </c>
      <c r="E642" s="1" t="s">
        <v>1526</v>
      </c>
      <c r="F642">
        <f>VLOOKUP(A642,Classifications!$A:$E,5,FALSE)</f>
        <v>1</v>
      </c>
      <c r="G642">
        <f>VLOOKUP(A642,Classifications!$A:$F,6,FALSE)</f>
        <v>1</v>
      </c>
      <c r="H642">
        <f>VLOOKUP(A642,Classifications!$A:$G,7,FALSE)</f>
        <v>43</v>
      </c>
      <c r="I642" t="s">
        <v>11</v>
      </c>
      <c r="J642" s="2">
        <v>44224.402870370373</v>
      </c>
    </row>
    <row r="643" spans="1:10" ht="12.75" customHeight="1" x14ac:dyDescent="0.3">
      <c r="A643">
        <v>1354324</v>
      </c>
      <c r="B643" t="s">
        <v>431</v>
      </c>
      <c r="C643" t="s">
        <v>158</v>
      </c>
      <c r="D643" t="s">
        <v>1527</v>
      </c>
      <c r="E643" s="1" t="s">
        <v>1528</v>
      </c>
      <c r="F643">
        <f>VLOOKUP(A643,Classifications!$A:$E,5,FALSE)</f>
        <v>1</v>
      </c>
      <c r="G643">
        <f>VLOOKUP(A643,Classifications!$A:$F,6,FALSE)</f>
        <v>1</v>
      </c>
      <c r="H643">
        <f>VLOOKUP(A643,Classifications!$A:$G,7,FALSE)</f>
        <v>43</v>
      </c>
      <c r="I643" t="s">
        <v>24</v>
      </c>
      <c r="J643" s="2">
        <v>44224.398888888885</v>
      </c>
    </row>
    <row r="644" spans="1:10" ht="12.75" customHeight="1" x14ac:dyDescent="0.3">
      <c r="A644">
        <v>1354316</v>
      </c>
      <c r="B644" t="s">
        <v>157</v>
      </c>
      <c r="C644" t="s">
        <v>627</v>
      </c>
      <c r="D644" t="s">
        <v>1529</v>
      </c>
      <c r="E644" s="1" t="s">
        <v>1530</v>
      </c>
      <c r="F644">
        <f>VLOOKUP(A644,Classifications!$A:$E,5,FALSE)</f>
        <v>1</v>
      </c>
      <c r="G644">
        <f>VLOOKUP(A644,Classifications!$A:$F,6,FALSE)</f>
        <v>2</v>
      </c>
      <c r="H644">
        <f>VLOOKUP(A644,Classifications!$A:$G,7,FALSE)</f>
        <v>36</v>
      </c>
      <c r="I644" t="s">
        <v>11</v>
      </c>
      <c r="J644" s="2">
        <v>44224.387638888889</v>
      </c>
    </row>
    <row r="645" spans="1:10" ht="12.75" customHeight="1" x14ac:dyDescent="0.3">
      <c r="A645">
        <v>1354308</v>
      </c>
      <c r="B645" t="s">
        <v>7</v>
      </c>
      <c r="C645" t="s">
        <v>789</v>
      </c>
      <c r="D645" t="s">
        <v>1531</v>
      </c>
      <c r="E645" s="1" t="s">
        <v>1532</v>
      </c>
      <c r="F645">
        <f>VLOOKUP(A645,Classifications!$A:$E,5,FALSE)</f>
        <v>1</v>
      </c>
      <c r="G645">
        <f>VLOOKUP(A645,Classifications!$A:$F,6,FALSE)</f>
        <v>2</v>
      </c>
      <c r="H645">
        <f>VLOOKUP(A645,Classifications!$A:$G,7,FALSE)</f>
        <v>41</v>
      </c>
      <c r="I645" t="s">
        <v>24</v>
      </c>
      <c r="J645" s="2">
        <v>44224.376944444448</v>
      </c>
    </row>
    <row r="646" spans="1:10" ht="12.75" customHeight="1" x14ac:dyDescent="0.3">
      <c r="A646">
        <v>1354301</v>
      </c>
      <c r="B646" t="s">
        <v>7</v>
      </c>
      <c r="C646" t="s">
        <v>1533</v>
      </c>
      <c r="D646" t="s">
        <v>1534</v>
      </c>
      <c r="E646" s="1" t="s">
        <v>1535</v>
      </c>
      <c r="F646">
        <f>VLOOKUP(A646,Classifications!$A:$E,5,FALSE)</f>
        <v>1</v>
      </c>
      <c r="G646">
        <f>VLOOKUP(A646,Classifications!$A:$F,6,FALSE)</f>
        <v>1</v>
      </c>
      <c r="H646">
        <f>VLOOKUP(A646,Classifications!$A:$G,7,FALSE)</f>
        <v>43</v>
      </c>
      <c r="I646" t="s">
        <v>11</v>
      </c>
      <c r="J646" s="2">
        <v>44224.367881944447</v>
      </c>
    </row>
    <row r="647" spans="1:10" ht="12.75" customHeight="1" x14ac:dyDescent="0.3">
      <c r="A647">
        <v>1354300</v>
      </c>
      <c r="B647" t="s">
        <v>7</v>
      </c>
      <c r="C647" t="s">
        <v>1536</v>
      </c>
      <c r="D647" t="s">
        <v>1537</v>
      </c>
      <c r="E647" s="1" t="s">
        <v>1538</v>
      </c>
      <c r="F647">
        <f>VLOOKUP(A647,Classifications!$A:$E,5,FALSE)</f>
        <v>1</v>
      </c>
      <c r="G647">
        <f>VLOOKUP(A647,Classifications!$A:$F,6,FALSE)</f>
        <v>2</v>
      </c>
      <c r="H647">
        <f>VLOOKUP(A647,Classifications!$A:$G,7,FALSE)</f>
        <v>43</v>
      </c>
      <c r="I647" t="s">
        <v>24</v>
      </c>
      <c r="J647" s="2">
        <v>44224.366666666669</v>
      </c>
    </row>
    <row r="648" spans="1:10" ht="12.75" customHeight="1" x14ac:dyDescent="0.3">
      <c r="A648">
        <v>1354296</v>
      </c>
      <c r="B648" t="s">
        <v>7</v>
      </c>
      <c r="C648" t="s">
        <v>1539</v>
      </c>
      <c r="D648" t="s">
        <v>1540</v>
      </c>
      <c r="E648" s="1" t="s">
        <v>1541</v>
      </c>
      <c r="F648">
        <f>VLOOKUP(A648,Classifications!$A:$E,5,FALSE)</f>
        <v>1</v>
      </c>
      <c r="G648">
        <f>VLOOKUP(A648,Classifications!$A:$F,6,FALSE)</f>
        <v>1</v>
      </c>
      <c r="H648">
        <f>VLOOKUP(A648,Classifications!$A:$G,7,FALSE)</f>
        <v>41</v>
      </c>
      <c r="I648" t="s">
        <v>11</v>
      </c>
      <c r="J648" s="2">
        <v>44224.351747685185</v>
      </c>
    </row>
    <row r="649" spans="1:10" ht="12.75" customHeight="1" x14ac:dyDescent="0.3">
      <c r="A649">
        <v>1354286</v>
      </c>
      <c r="B649" t="s">
        <v>7</v>
      </c>
      <c r="C649" t="s">
        <v>1542</v>
      </c>
      <c r="D649" t="s">
        <v>1543</v>
      </c>
      <c r="E649" s="1" t="s">
        <v>1544</v>
      </c>
      <c r="F649">
        <f>VLOOKUP(A649,Classifications!$A:$E,5,FALSE)</f>
        <v>1</v>
      </c>
      <c r="G649">
        <f>VLOOKUP(A649,Classifications!$A:$F,6,FALSE)</f>
        <v>2</v>
      </c>
      <c r="H649">
        <f>VLOOKUP(A649,Classifications!$A:$G,7,FALSE)</f>
        <v>41</v>
      </c>
      <c r="I649" t="s">
        <v>24</v>
      </c>
      <c r="J649" s="2">
        <v>44224.336342592593</v>
      </c>
    </row>
    <row r="650" spans="1:10" ht="12.75" customHeight="1" x14ac:dyDescent="0.3">
      <c r="A650">
        <v>1354272</v>
      </c>
      <c r="B650" t="s">
        <v>12</v>
      </c>
      <c r="C650" t="s">
        <v>1545</v>
      </c>
      <c r="D650" t="s">
        <v>1546</v>
      </c>
      <c r="E650" s="1" t="s">
        <v>1547</v>
      </c>
      <c r="F650">
        <f>VLOOKUP(A650,Classifications!$A:$E,5,FALSE)</f>
        <v>1</v>
      </c>
      <c r="G650">
        <f>VLOOKUP(A650,Classifications!$A:$F,6,FALSE)</f>
        <v>1</v>
      </c>
      <c r="H650">
        <f>VLOOKUP(A650,Classifications!$A:$G,7,FALSE)</f>
        <v>41</v>
      </c>
      <c r="I650" t="s">
        <v>11</v>
      </c>
      <c r="J650" s="2">
        <v>44224.315810185188</v>
      </c>
    </row>
    <row r="651" spans="1:10" ht="12.75" customHeight="1" x14ac:dyDescent="0.3">
      <c r="A651">
        <v>1354170</v>
      </c>
      <c r="B651" t="s">
        <v>226</v>
      </c>
      <c r="C651" t="s">
        <v>1008</v>
      </c>
      <c r="D651" t="s">
        <v>1156</v>
      </c>
      <c r="E651" s="1" t="s">
        <v>1157</v>
      </c>
      <c r="F651">
        <f>VLOOKUP(A651,Classifications!$A:$E,5,FALSE)</f>
        <v>1</v>
      </c>
      <c r="G651">
        <f>VLOOKUP(A651,Classifications!$A:$F,6,FALSE)</f>
        <v>1</v>
      </c>
      <c r="H651">
        <f>VLOOKUP(A651,Classifications!$A:$G,7,FALSE)</f>
        <v>36</v>
      </c>
      <c r="I651" t="s">
        <v>1158</v>
      </c>
      <c r="J651" s="2">
        <v>44224.000081018516</v>
      </c>
    </row>
    <row r="652" spans="1:10" ht="12.75" customHeight="1" x14ac:dyDescent="0.3">
      <c r="A652">
        <v>1354168</v>
      </c>
      <c r="B652" t="s">
        <v>184</v>
      </c>
      <c r="C652" t="s">
        <v>1428</v>
      </c>
      <c r="D652" t="s">
        <v>1156</v>
      </c>
      <c r="E652" s="1" t="s">
        <v>1157</v>
      </c>
      <c r="F652">
        <f>VLOOKUP(A652,Classifications!$A:$E,5,FALSE)</f>
        <v>1</v>
      </c>
      <c r="G652">
        <f>VLOOKUP(A652,Classifications!$A:$F,6,FALSE)</f>
        <v>1</v>
      </c>
      <c r="H652">
        <f>VLOOKUP(A652,Classifications!$A:$G,7,FALSE)</f>
        <v>36</v>
      </c>
      <c r="I652" t="s">
        <v>1158</v>
      </c>
      <c r="J652" s="2">
        <v>44224.000069444446</v>
      </c>
    </row>
    <row r="653" spans="1:10" ht="12.75" customHeight="1" x14ac:dyDescent="0.3">
      <c r="A653">
        <v>1354167</v>
      </c>
      <c r="B653" t="s">
        <v>917</v>
      </c>
      <c r="C653" t="s">
        <v>1548</v>
      </c>
      <c r="D653" t="s">
        <v>1429</v>
      </c>
      <c r="E653" s="1" t="s">
        <v>1160</v>
      </c>
      <c r="F653">
        <f>VLOOKUP(A653,Classifications!$A:$E,5,FALSE)</f>
        <v>1</v>
      </c>
      <c r="G653">
        <f>VLOOKUP(A653,Classifications!$A:$F,6,FALSE)</f>
        <v>1</v>
      </c>
      <c r="H653">
        <f>VLOOKUP(A653,Classifications!$A:$G,7,FALSE)</f>
        <v>36</v>
      </c>
      <c r="I653" t="s">
        <v>1158</v>
      </c>
      <c r="J653" s="2">
        <v>44224.000069444446</v>
      </c>
    </row>
    <row r="654" spans="1:10" ht="12.75" customHeight="1" x14ac:dyDescent="0.3">
      <c r="A654">
        <v>1354166</v>
      </c>
      <c r="B654" t="s">
        <v>184</v>
      </c>
      <c r="C654" t="s">
        <v>1069</v>
      </c>
      <c r="D654" t="s">
        <v>1429</v>
      </c>
      <c r="E654" s="1" t="s">
        <v>1160</v>
      </c>
      <c r="F654">
        <f>VLOOKUP(A654,Classifications!$A:$E,5,FALSE)</f>
        <v>1</v>
      </c>
      <c r="G654">
        <f>VLOOKUP(A654,Classifications!$A:$F,6,FALSE)</f>
        <v>1</v>
      </c>
      <c r="H654">
        <f>VLOOKUP(A654,Classifications!$A:$G,7,FALSE)</f>
        <v>36</v>
      </c>
      <c r="I654" t="s">
        <v>1158</v>
      </c>
      <c r="J654" s="2">
        <v>44224.000057870369</v>
      </c>
    </row>
    <row r="655" spans="1:10" ht="12.75" customHeight="1" x14ac:dyDescent="0.3">
      <c r="A655">
        <v>1353939</v>
      </c>
      <c r="B655" t="s">
        <v>157</v>
      </c>
      <c r="C655" t="s">
        <v>627</v>
      </c>
      <c r="D655" t="s">
        <v>1549</v>
      </c>
      <c r="E655" s="1" t="s">
        <v>1550</v>
      </c>
      <c r="F655">
        <f>VLOOKUP(A655,Classifications!$A:$E,5,FALSE)</f>
        <v>1</v>
      </c>
      <c r="G655">
        <f>VLOOKUP(A655,Classifications!$A:$F,6,FALSE)</f>
        <v>1</v>
      </c>
      <c r="H655">
        <f>VLOOKUP(A655,Classifications!$A:$G,7,FALSE)</f>
        <v>36</v>
      </c>
      <c r="I655" t="s">
        <v>11</v>
      </c>
      <c r="J655" s="2">
        <v>44223.708958333336</v>
      </c>
    </row>
    <row r="656" spans="1:10" ht="12.75" customHeight="1" x14ac:dyDescent="0.3">
      <c r="A656">
        <v>1353931</v>
      </c>
      <c r="B656" t="s">
        <v>157</v>
      </c>
      <c r="C656" t="s">
        <v>1551</v>
      </c>
      <c r="D656" t="s">
        <v>1552</v>
      </c>
      <c r="E656" s="1" t="s">
        <v>1553</v>
      </c>
      <c r="F656">
        <f>VLOOKUP(A656,Classifications!$A:$E,5,FALSE)</f>
        <v>1</v>
      </c>
      <c r="G656">
        <f>VLOOKUP(A656,Classifications!$A:$F,6,FALSE)</f>
        <v>2</v>
      </c>
      <c r="H656">
        <f>VLOOKUP(A656,Classifications!$A:$G,7,FALSE)</f>
        <v>41</v>
      </c>
      <c r="I656" t="s">
        <v>11</v>
      </c>
      <c r="J656" s="2">
        <v>44223.693148148152</v>
      </c>
    </row>
    <row r="657" spans="1:10" ht="12.75" customHeight="1" x14ac:dyDescent="0.3">
      <c r="A657">
        <v>1353925</v>
      </c>
      <c r="B657" t="s">
        <v>157</v>
      </c>
      <c r="C657" t="s">
        <v>627</v>
      </c>
      <c r="D657" t="s">
        <v>1554</v>
      </c>
      <c r="E657" s="1" t="s">
        <v>1555</v>
      </c>
      <c r="F657">
        <f>VLOOKUP(A657,Classifications!$A:$E,5,FALSE)</f>
        <v>1</v>
      </c>
      <c r="G657">
        <f>VLOOKUP(A657,Classifications!$A:$F,6,FALSE)</f>
        <v>3</v>
      </c>
      <c r="H657">
        <f>VLOOKUP(A657,Classifications!$A:$G,7,FALSE)</f>
        <v>43</v>
      </c>
      <c r="I657" t="s">
        <v>24</v>
      </c>
      <c r="J657" s="2">
        <v>44223.683437500003</v>
      </c>
    </row>
    <row r="658" spans="1:10" ht="12.75" customHeight="1" x14ac:dyDescent="0.3">
      <c r="A658">
        <v>1353921</v>
      </c>
      <c r="B658" t="s">
        <v>118</v>
      </c>
      <c r="C658" t="s">
        <v>200</v>
      </c>
      <c r="D658" t="s">
        <v>1556</v>
      </c>
      <c r="E658" s="1" t="s">
        <v>1557</v>
      </c>
      <c r="F658">
        <f>VLOOKUP(A658,Classifications!$A:$E,5,FALSE)</f>
        <v>1</v>
      </c>
      <c r="G658">
        <f>VLOOKUP(A658,Classifications!$A:$F,6,FALSE)</f>
        <v>1</v>
      </c>
      <c r="H658">
        <f>VLOOKUP(A658,Classifications!$A:$G,7,FALSE)</f>
        <v>41</v>
      </c>
      <c r="I658" t="s">
        <v>11</v>
      </c>
      <c r="J658" s="2">
        <v>44223.678425925929</v>
      </c>
    </row>
    <row r="659" spans="1:10" ht="12.75" customHeight="1" x14ac:dyDescent="0.3">
      <c r="A659">
        <v>1353912</v>
      </c>
      <c r="B659" t="s">
        <v>74</v>
      </c>
      <c r="C659" t="s">
        <v>450</v>
      </c>
      <c r="D659" t="s">
        <v>1558</v>
      </c>
      <c r="E659" s="1" t="s">
        <v>1559</v>
      </c>
      <c r="F659">
        <f>VLOOKUP(A659,Classifications!$A:$E,5,FALSE)</f>
        <v>1</v>
      </c>
      <c r="G659">
        <f>VLOOKUP(A659,Classifications!$A:$F,6,FALSE)</f>
        <v>1</v>
      </c>
      <c r="H659">
        <f>VLOOKUP(A659,Classifications!$A:$G,7,FALSE)</f>
        <v>36</v>
      </c>
      <c r="I659" t="s">
        <v>24</v>
      </c>
      <c r="J659" s="2">
        <v>44223.662418981483</v>
      </c>
    </row>
    <row r="660" spans="1:10" ht="12.75" customHeight="1" x14ac:dyDescent="0.3">
      <c r="A660">
        <v>1353907</v>
      </c>
      <c r="B660" t="s">
        <v>157</v>
      </c>
      <c r="C660" t="s">
        <v>414</v>
      </c>
      <c r="D660" t="s">
        <v>1560</v>
      </c>
      <c r="E660" s="1" t="s">
        <v>1561</v>
      </c>
      <c r="F660">
        <f>VLOOKUP(A660,Classifications!$A:$E,5,FALSE)</f>
        <v>1</v>
      </c>
      <c r="G660">
        <f>VLOOKUP(A660,Classifications!$A:$F,6,FALSE)</f>
        <v>1</v>
      </c>
      <c r="H660">
        <f>VLOOKUP(A660,Classifications!$A:$G,7,FALSE)</f>
        <v>43</v>
      </c>
      <c r="I660" t="s">
        <v>11</v>
      </c>
      <c r="J660" s="2">
        <v>44223.656851851854</v>
      </c>
    </row>
    <row r="661" spans="1:10" ht="12.75" customHeight="1" x14ac:dyDescent="0.3">
      <c r="A661">
        <v>1353905</v>
      </c>
      <c r="B661" t="s">
        <v>297</v>
      </c>
      <c r="C661" t="s">
        <v>298</v>
      </c>
      <c r="D661" t="s">
        <v>1562</v>
      </c>
      <c r="E661" s="1" t="s">
        <v>1563</v>
      </c>
      <c r="F661">
        <f>VLOOKUP(A661,Classifications!$A:$E,5,FALSE)</f>
        <v>2</v>
      </c>
      <c r="G661">
        <f>VLOOKUP(A661,Classifications!$A:$F,6,FALSE)</f>
        <v>2</v>
      </c>
      <c r="H661">
        <f>VLOOKUP(A661,Classifications!$A:$G,7,FALSE)</f>
        <v>41</v>
      </c>
      <c r="I661" t="s">
        <v>11</v>
      </c>
      <c r="J661" s="2">
        <v>44223.652245370373</v>
      </c>
    </row>
    <row r="662" spans="1:10" ht="12.75" customHeight="1" x14ac:dyDescent="0.3">
      <c r="A662">
        <v>1353904</v>
      </c>
      <c r="B662" t="s">
        <v>87</v>
      </c>
      <c r="C662" t="s">
        <v>1564</v>
      </c>
      <c r="D662" t="s">
        <v>1565</v>
      </c>
      <c r="E662" s="1" t="s">
        <v>1566</v>
      </c>
      <c r="F662">
        <f>VLOOKUP(A662,Classifications!$A:$E,5,FALSE)</f>
        <v>1</v>
      </c>
      <c r="G662">
        <f>VLOOKUP(A662,Classifications!$A:$F,6,FALSE)</f>
        <v>1</v>
      </c>
      <c r="H662">
        <f>VLOOKUP(A662,Classifications!$A:$G,7,FALSE)</f>
        <v>43</v>
      </c>
      <c r="I662" t="s">
        <v>11</v>
      </c>
      <c r="J662" s="2">
        <v>44223.651180555556</v>
      </c>
    </row>
    <row r="663" spans="1:10" ht="12.75" customHeight="1" x14ac:dyDescent="0.3">
      <c r="A663">
        <v>1353902</v>
      </c>
      <c r="B663" t="s">
        <v>982</v>
      </c>
      <c r="C663" t="s">
        <v>1567</v>
      </c>
      <c r="D663" t="s">
        <v>1568</v>
      </c>
      <c r="E663" s="1" t="s">
        <v>1569</v>
      </c>
      <c r="F663">
        <f>VLOOKUP(A663,Classifications!$A:$E,5,FALSE)</f>
        <v>1</v>
      </c>
      <c r="G663">
        <f>VLOOKUP(A663,Classifications!$A:$F,6,FALSE)</f>
        <v>1</v>
      </c>
      <c r="H663">
        <f>VLOOKUP(A663,Classifications!$A:$G,7,FALSE)</f>
        <v>43</v>
      </c>
      <c r="I663" t="s">
        <v>24</v>
      </c>
      <c r="J663" s="2">
        <v>44223.643368055556</v>
      </c>
    </row>
    <row r="664" spans="1:10" ht="12.75" customHeight="1" x14ac:dyDescent="0.3">
      <c r="A664">
        <v>1353896</v>
      </c>
      <c r="B664" t="s">
        <v>95</v>
      </c>
      <c r="C664" t="s">
        <v>129</v>
      </c>
      <c r="D664" t="s">
        <v>1570</v>
      </c>
      <c r="E664" s="1" t="s">
        <v>1571</v>
      </c>
      <c r="F664">
        <f>VLOOKUP(A664,Classifications!$A:$E,5,FALSE)</f>
        <v>2</v>
      </c>
      <c r="G664">
        <f>VLOOKUP(A664,Classifications!$A:$F,6,FALSE)</f>
        <v>3</v>
      </c>
      <c r="H664">
        <f>VLOOKUP(A664,Classifications!$A:$G,7,FALSE)</f>
        <v>43</v>
      </c>
      <c r="I664" t="s">
        <v>11</v>
      </c>
      <c r="J664" s="2">
        <v>44223.632199074076</v>
      </c>
    </row>
    <row r="665" spans="1:10" ht="12.75" customHeight="1" x14ac:dyDescent="0.3">
      <c r="A665">
        <v>1353887</v>
      </c>
      <c r="B665" t="s">
        <v>45</v>
      </c>
      <c r="C665" t="s">
        <v>1472</v>
      </c>
      <c r="D665" t="s">
        <v>1572</v>
      </c>
      <c r="E665" s="1" t="s">
        <v>1573</v>
      </c>
      <c r="F665">
        <f>VLOOKUP(A665,Classifications!$A:$E,5,FALSE)</f>
        <v>1</v>
      </c>
      <c r="G665">
        <f>VLOOKUP(A665,Classifications!$A:$F,6,FALSE)</f>
        <v>2</v>
      </c>
      <c r="H665">
        <f>VLOOKUP(A665,Classifications!$A:$G,7,FALSE)</f>
        <v>41</v>
      </c>
      <c r="I665" t="s">
        <v>11</v>
      </c>
      <c r="J665" s="2">
        <v>44223.62431712963</v>
      </c>
    </row>
    <row r="666" spans="1:10" ht="12.75" customHeight="1" x14ac:dyDescent="0.3">
      <c r="A666">
        <v>1353882</v>
      </c>
      <c r="B666" t="s">
        <v>1574</v>
      </c>
      <c r="C666" t="s">
        <v>1575</v>
      </c>
      <c r="D666" t="s">
        <v>1576</v>
      </c>
      <c r="E666" s="1" t="s">
        <v>1577</v>
      </c>
      <c r="F666">
        <f>VLOOKUP(A666,Classifications!$A:$E,5,FALSE)</f>
        <v>1</v>
      </c>
      <c r="G666">
        <f>VLOOKUP(A666,Classifications!$A:$F,6,FALSE)</f>
        <v>2</v>
      </c>
      <c r="H666">
        <f>VLOOKUP(A666,Classifications!$A:$G,7,FALSE)</f>
        <v>41</v>
      </c>
      <c r="I666" t="s">
        <v>11</v>
      </c>
      <c r="J666" s="2">
        <v>44223.61791666667</v>
      </c>
    </row>
    <row r="667" spans="1:10" ht="12.75" customHeight="1" x14ac:dyDescent="0.3">
      <c r="A667">
        <v>1353877</v>
      </c>
      <c r="B667" t="s">
        <v>489</v>
      </c>
      <c r="C667" t="s">
        <v>490</v>
      </c>
      <c r="D667" t="s">
        <v>1578</v>
      </c>
      <c r="E667" s="1" t="s">
        <v>1579</v>
      </c>
      <c r="F667">
        <f>VLOOKUP(A667,Classifications!$A:$E,5,FALSE)</f>
        <v>1</v>
      </c>
      <c r="G667">
        <f>VLOOKUP(A667,Classifications!$A:$F,6,FALSE)</f>
        <v>1</v>
      </c>
      <c r="H667">
        <f>VLOOKUP(A667,Classifications!$A:$G,7,FALSE)</f>
        <v>43</v>
      </c>
      <c r="I667" t="s">
        <v>11</v>
      </c>
      <c r="J667" s="2">
        <v>44223.599351851852</v>
      </c>
    </row>
    <row r="668" spans="1:10" ht="12.75" customHeight="1" x14ac:dyDescent="0.3">
      <c r="A668">
        <v>1353875</v>
      </c>
      <c r="B668" t="s">
        <v>350</v>
      </c>
      <c r="C668" t="s">
        <v>351</v>
      </c>
      <c r="D668" t="s">
        <v>1580</v>
      </c>
      <c r="E668" s="1" t="s">
        <v>1581</v>
      </c>
      <c r="F668">
        <f>VLOOKUP(A668,Classifications!$A:$E,5,FALSE)</f>
        <v>1</v>
      </c>
      <c r="G668">
        <f>VLOOKUP(A668,Classifications!$A:$F,6,FALSE)</f>
        <v>1</v>
      </c>
      <c r="H668">
        <f>VLOOKUP(A668,Classifications!$A:$G,7,FALSE)</f>
        <v>36</v>
      </c>
      <c r="I668" t="s">
        <v>11</v>
      </c>
      <c r="J668" s="2">
        <v>44223.596736111111</v>
      </c>
    </row>
    <row r="669" spans="1:10" ht="12.75" customHeight="1" x14ac:dyDescent="0.3">
      <c r="A669">
        <v>1353865</v>
      </c>
      <c r="B669" t="s">
        <v>20</v>
      </c>
      <c r="C669" t="s">
        <v>57</v>
      </c>
      <c r="D669" t="s">
        <v>1582</v>
      </c>
      <c r="E669" s="1" t="s">
        <v>1583</v>
      </c>
      <c r="F669">
        <f>VLOOKUP(A669,Classifications!$A:$E,5,FALSE)</f>
        <v>1</v>
      </c>
      <c r="G669">
        <f>VLOOKUP(A669,Classifications!$A:$F,6,FALSE)</f>
        <v>2</v>
      </c>
      <c r="H669">
        <f>VLOOKUP(A669,Classifications!$A:$G,7,FALSE)</f>
        <v>43</v>
      </c>
      <c r="I669" t="s">
        <v>24</v>
      </c>
      <c r="J669" s="2">
        <v>44223.580543981479</v>
      </c>
    </row>
    <row r="670" spans="1:10" ht="12.75" customHeight="1" x14ac:dyDescent="0.3">
      <c r="A670">
        <v>1353861</v>
      </c>
      <c r="B670" t="s">
        <v>157</v>
      </c>
      <c r="C670" t="s">
        <v>480</v>
      </c>
      <c r="D670" t="s">
        <v>1584</v>
      </c>
      <c r="E670" s="1" t="s">
        <v>1585</v>
      </c>
      <c r="F670">
        <f>VLOOKUP(A670,Classifications!$A:$E,5,FALSE)</f>
        <v>1</v>
      </c>
      <c r="G670">
        <f>VLOOKUP(A670,Classifications!$A:$F,6,FALSE)</f>
        <v>1</v>
      </c>
      <c r="H670">
        <f>VLOOKUP(A670,Classifications!$A:$G,7,FALSE)</f>
        <v>43</v>
      </c>
      <c r="I670" t="s">
        <v>11</v>
      </c>
      <c r="J670" s="2">
        <v>44223.575312499997</v>
      </c>
    </row>
    <row r="671" spans="1:10" ht="12.75" customHeight="1" x14ac:dyDescent="0.3">
      <c r="A671">
        <v>1353854</v>
      </c>
      <c r="B671" t="s">
        <v>45</v>
      </c>
      <c r="C671" t="s">
        <v>1586</v>
      </c>
      <c r="D671" t="s">
        <v>1587</v>
      </c>
      <c r="E671" t="s">
        <v>1588</v>
      </c>
      <c r="F671">
        <f>VLOOKUP(A671,Classifications!$A:$E,5,FALSE)</f>
        <v>1</v>
      </c>
      <c r="G671">
        <f>VLOOKUP(A671,Classifications!$A:$F,6,FALSE)</f>
        <v>1</v>
      </c>
      <c r="H671">
        <f>VLOOKUP(A671,Classifications!$A:$G,7,FALSE)</f>
        <v>41</v>
      </c>
      <c r="I671" t="s">
        <v>11</v>
      </c>
      <c r="J671" s="2">
        <v>44223.562152777777</v>
      </c>
    </row>
    <row r="672" spans="1:10" ht="12.75" customHeight="1" x14ac:dyDescent="0.3">
      <c r="A672">
        <v>1353845</v>
      </c>
      <c r="B672" t="s">
        <v>45</v>
      </c>
      <c r="C672" t="s">
        <v>1589</v>
      </c>
      <c r="D672" t="s">
        <v>1590</v>
      </c>
      <c r="E672" s="1" t="s">
        <v>1591</v>
      </c>
      <c r="F672">
        <f>VLOOKUP(A672,Classifications!$A:$E,5,FALSE)</f>
        <v>1</v>
      </c>
      <c r="G672">
        <f>VLOOKUP(A672,Classifications!$A:$F,6,FALSE)</f>
        <v>1</v>
      </c>
      <c r="H672">
        <f>VLOOKUP(A672,Classifications!$A:$G,7,FALSE)</f>
        <v>43</v>
      </c>
      <c r="I672" t="s">
        <v>11</v>
      </c>
      <c r="J672" s="2">
        <v>44223.553368055553</v>
      </c>
    </row>
    <row r="673" spans="1:10" ht="12.75" customHeight="1" x14ac:dyDescent="0.3">
      <c r="A673">
        <v>1353837</v>
      </c>
      <c r="B673" t="s">
        <v>63</v>
      </c>
      <c r="C673" t="s">
        <v>1524</v>
      </c>
      <c r="D673" t="s">
        <v>1592</v>
      </c>
      <c r="E673" s="1" t="s">
        <v>1593</v>
      </c>
      <c r="F673">
        <f>VLOOKUP(A673,Classifications!$A:$E,5,FALSE)</f>
        <v>1</v>
      </c>
      <c r="G673">
        <f>VLOOKUP(A673,Classifications!$A:$F,6,FALSE)</f>
        <v>1</v>
      </c>
      <c r="H673">
        <f>VLOOKUP(A673,Classifications!$A:$G,7,FALSE)</f>
        <v>43</v>
      </c>
      <c r="I673" t="s">
        <v>11</v>
      </c>
      <c r="J673" s="2">
        <v>44223.547361111108</v>
      </c>
    </row>
    <row r="674" spans="1:10" ht="12.75" customHeight="1" x14ac:dyDescent="0.3">
      <c r="A674">
        <v>1353834</v>
      </c>
      <c r="B674" t="s">
        <v>431</v>
      </c>
      <c r="C674" t="s">
        <v>432</v>
      </c>
      <c r="D674" t="s">
        <v>1594</v>
      </c>
      <c r="E674" s="1" t="s">
        <v>1595</v>
      </c>
      <c r="F674">
        <f>VLOOKUP(A674,Classifications!$A:$E,5,FALSE)</f>
        <v>1</v>
      </c>
      <c r="G674">
        <f>VLOOKUP(A674,Classifications!$A:$F,6,FALSE)</f>
        <v>1</v>
      </c>
      <c r="H674">
        <f>VLOOKUP(A674,Classifications!$A:$G,7,FALSE)</f>
        <v>41</v>
      </c>
      <c r="I674" t="s">
        <v>11</v>
      </c>
      <c r="J674" s="2">
        <v>44223.533877314818</v>
      </c>
    </row>
    <row r="675" spans="1:10" ht="12.75" customHeight="1" x14ac:dyDescent="0.3">
      <c r="A675">
        <v>1353827</v>
      </c>
      <c r="B675" t="s">
        <v>20</v>
      </c>
      <c r="C675" t="s">
        <v>1596</v>
      </c>
      <c r="D675" t="s">
        <v>1597</v>
      </c>
      <c r="E675" s="1" t="s">
        <v>1598</v>
      </c>
      <c r="F675">
        <f>VLOOKUP(A675,Classifications!$A:$E,5,FALSE)</f>
        <v>1</v>
      </c>
      <c r="G675">
        <f>VLOOKUP(A675,Classifications!$A:$F,6,FALSE)</f>
        <v>1</v>
      </c>
      <c r="H675">
        <f>VLOOKUP(A675,Classifications!$A:$G,7,FALSE)</f>
        <v>43</v>
      </c>
      <c r="I675" t="s">
        <v>11</v>
      </c>
      <c r="J675" s="2">
        <v>44223.508055555554</v>
      </c>
    </row>
    <row r="676" spans="1:10" ht="12.75" customHeight="1" x14ac:dyDescent="0.3">
      <c r="A676">
        <v>1353826</v>
      </c>
      <c r="B676" t="s">
        <v>746</v>
      </c>
      <c r="C676" t="s">
        <v>888</v>
      </c>
      <c r="D676" t="s">
        <v>1599</v>
      </c>
      <c r="E676" s="1" t="s">
        <v>1600</v>
      </c>
      <c r="F676">
        <f>VLOOKUP(A676,Classifications!$A:$E,5,FALSE)</f>
        <v>1</v>
      </c>
      <c r="G676">
        <f>VLOOKUP(A676,Classifications!$A:$F,6,FALSE)</f>
        <v>1</v>
      </c>
      <c r="H676">
        <f>VLOOKUP(A676,Classifications!$A:$G,7,FALSE)</f>
        <v>43</v>
      </c>
      <c r="I676" t="s">
        <v>11</v>
      </c>
      <c r="J676" s="2">
        <v>44223.505787037036</v>
      </c>
    </row>
    <row r="677" spans="1:10" ht="12.75" customHeight="1" x14ac:dyDescent="0.3">
      <c r="A677">
        <v>1353824</v>
      </c>
      <c r="B677" t="s">
        <v>177</v>
      </c>
      <c r="C677" t="s">
        <v>1601</v>
      </c>
      <c r="D677" t="s">
        <v>1602</v>
      </c>
      <c r="E677" t="s">
        <v>1603</v>
      </c>
      <c r="F677">
        <f>VLOOKUP(A677,Classifications!$A:$E,5,FALSE)</f>
        <v>1</v>
      </c>
      <c r="G677">
        <f>VLOOKUP(A677,Classifications!$A:$F,6,FALSE)</f>
        <v>2</v>
      </c>
      <c r="H677">
        <f>VLOOKUP(A677,Classifications!$A:$G,7,FALSE)</f>
        <v>41</v>
      </c>
      <c r="I677" t="s">
        <v>24</v>
      </c>
      <c r="J677" s="2">
        <v>44223.50403935185</v>
      </c>
    </row>
    <row r="678" spans="1:10" ht="12.75" customHeight="1" x14ac:dyDescent="0.3">
      <c r="A678">
        <v>1353821</v>
      </c>
      <c r="B678" t="s">
        <v>1038</v>
      </c>
      <c r="C678" t="s">
        <v>1604</v>
      </c>
      <c r="D678" t="s">
        <v>1605</v>
      </c>
      <c r="E678" s="1" t="s">
        <v>1606</v>
      </c>
      <c r="F678">
        <f>VLOOKUP(A678,Classifications!$A:$E,5,FALSE)</f>
        <v>1</v>
      </c>
      <c r="G678">
        <f>VLOOKUP(A678,Classifications!$A:$F,6,FALSE)</f>
        <v>1</v>
      </c>
      <c r="H678">
        <f>VLOOKUP(A678,Classifications!$A:$G,7,FALSE)</f>
        <v>43</v>
      </c>
      <c r="I678" t="s">
        <v>11</v>
      </c>
      <c r="J678" s="2">
        <v>44223.498726851853</v>
      </c>
    </row>
    <row r="679" spans="1:10" ht="12.75" customHeight="1" x14ac:dyDescent="0.3">
      <c r="A679">
        <v>1353817</v>
      </c>
      <c r="B679" t="s">
        <v>431</v>
      </c>
      <c r="C679" t="s">
        <v>432</v>
      </c>
      <c r="D679" t="s">
        <v>1607</v>
      </c>
      <c r="E679" s="1" t="s">
        <v>1608</v>
      </c>
      <c r="F679">
        <f>VLOOKUP(A679,Classifications!$A:$E,5,FALSE)</f>
        <v>1</v>
      </c>
      <c r="G679">
        <f>VLOOKUP(A679,Classifications!$A:$F,6,FALSE)</f>
        <v>2</v>
      </c>
      <c r="H679">
        <f>VLOOKUP(A679,Classifications!$A:$G,7,FALSE)</f>
        <v>43</v>
      </c>
      <c r="I679" t="s">
        <v>11</v>
      </c>
      <c r="J679" s="2">
        <v>44223.482766203706</v>
      </c>
    </row>
    <row r="680" spans="1:10" ht="12.75" customHeight="1" x14ac:dyDescent="0.3">
      <c r="A680">
        <v>1353808</v>
      </c>
      <c r="B680" t="s">
        <v>1609</v>
      </c>
      <c r="C680" t="s">
        <v>1610</v>
      </c>
      <c r="D680" t="s">
        <v>1611</v>
      </c>
      <c r="E680" s="1" t="s">
        <v>1612</v>
      </c>
      <c r="F680">
        <f>VLOOKUP(A680,Classifications!$A:$E,5,FALSE)</f>
        <v>1</v>
      </c>
      <c r="G680">
        <f>VLOOKUP(A680,Classifications!$A:$F,6,FALSE)</f>
        <v>1</v>
      </c>
      <c r="H680">
        <f>VLOOKUP(A680,Classifications!$A:$G,7,FALSE)</f>
        <v>36</v>
      </c>
      <c r="I680" t="s">
        <v>11</v>
      </c>
      <c r="J680" s="2">
        <v>44223.456122685187</v>
      </c>
    </row>
    <row r="681" spans="1:10" ht="12.75" customHeight="1" x14ac:dyDescent="0.3">
      <c r="A681">
        <v>1353804</v>
      </c>
      <c r="B681" t="s">
        <v>318</v>
      </c>
      <c r="C681" t="s">
        <v>319</v>
      </c>
      <c r="D681" t="s">
        <v>1613</v>
      </c>
      <c r="E681" s="1" t="s">
        <v>1614</v>
      </c>
      <c r="F681">
        <f>VLOOKUP(A681,Classifications!$A:$E,5,FALSE)</f>
        <v>1</v>
      </c>
      <c r="G681">
        <f>VLOOKUP(A681,Classifications!$A:$F,6,FALSE)</f>
        <v>1</v>
      </c>
      <c r="H681">
        <f>VLOOKUP(A681,Classifications!$A:$G,7,FALSE)</f>
        <v>36</v>
      </c>
      <c r="I681" t="s">
        <v>11</v>
      </c>
      <c r="J681" s="2">
        <v>44223.444131944445</v>
      </c>
    </row>
    <row r="682" spans="1:10" ht="12.75" customHeight="1" x14ac:dyDescent="0.3">
      <c r="A682">
        <v>1353802</v>
      </c>
      <c r="B682" t="s">
        <v>20</v>
      </c>
      <c r="C682" t="s">
        <v>136</v>
      </c>
      <c r="D682" t="s">
        <v>1615</v>
      </c>
      <c r="E682" s="1" t="s">
        <v>1616</v>
      </c>
      <c r="F682">
        <f>VLOOKUP(A682,Classifications!$A:$E,5,FALSE)</f>
        <v>1</v>
      </c>
      <c r="G682">
        <f>VLOOKUP(A682,Classifications!$A:$F,6,FALSE)</f>
        <v>1</v>
      </c>
      <c r="H682">
        <f>VLOOKUP(A682,Classifications!$A:$G,7,FALSE)</f>
        <v>36</v>
      </c>
      <c r="I682" t="s">
        <v>24</v>
      </c>
      <c r="J682" s="2">
        <v>44223.442407407405</v>
      </c>
    </row>
    <row r="683" spans="1:10" ht="12.75" customHeight="1" x14ac:dyDescent="0.3">
      <c r="A683">
        <v>1353763</v>
      </c>
      <c r="B683" t="s">
        <v>177</v>
      </c>
      <c r="C683" t="s">
        <v>247</v>
      </c>
      <c r="D683" t="s">
        <v>1617</v>
      </c>
      <c r="E683" s="1" t="s">
        <v>1618</v>
      </c>
      <c r="F683">
        <f>VLOOKUP(A683,Classifications!$A:$E,5,FALSE)</f>
        <v>2</v>
      </c>
      <c r="G683">
        <f>VLOOKUP(A683,Classifications!$A:$F,6,FALSE)</f>
        <v>2</v>
      </c>
      <c r="H683">
        <f>VLOOKUP(A683,Classifications!$A:$G,7,FALSE)</f>
        <v>41</v>
      </c>
      <c r="I683" t="s">
        <v>24</v>
      </c>
      <c r="J683" s="2">
        <v>44223.407175925924</v>
      </c>
    </row>
    <row r="684" spans="1:10" ht="12.75" customHeight="1" x14ac:dyDescent="0.3">
      <c r="A684">
        <v>1353754</v>
      </c>
      <c r="B684" t="s">
        <v>7</v>
      </c>
      <c r="C684" t="s">
        <v>1619</v>
      </c>
      <c r="D684" t="s">
        <v>1620</v>
      </c>
      <c r="E684" s="1" t="s">
        <v>1621</v>
      </c>
      <c r="F684">
        <f>VLOOKUP(A684,Classifications!$A:$E,5,FALSE)</f>
        <v>1</v>
      </c>
      <c r="G684">
        <f>VLOOKUP(A684,Classifications!$A:$F,6,FALSE)</f>
        <v>3</v>
      </c>
      <c r="H684">
        <f>VLOOKUP(A684,Classifications!$A:$G,7,FALSE)</f>
        <v>41</v>
      </c>
      <c r="I684" t="s">
        <v>24</v>
      </c>
      <c r="J684" s="2">
        <v>44223.393067129633</v>
      </c>
    </row>
    <row r="685" spans="1:10" ht="12.75" customHeight="1" x14ac:dyDescent="0.3">
      <c r="A685">
        <v>1353750</v>
      </c>
      <c r="B685" t="s">
        <v>32</v>
      </c>
      <c r="C685" t="s">
        <v>1622</v>
      </c>
      <c r="D685" t="s">
        <v>1623</v>
      </c>
      <c r="E685" s="1" t="s">
        <v>1624</v>
      </c>
      <c r="F685">
        <f>VLOOKUP(A685,Classifications!$A:$E,5,FALSE)</f>
        <v>1</v>
      </c>
      <c r="G685">
        <f>VLOOKUP(A685,Classifications!$A:$F,6,FALSE)</f>
        <v>3</v>
      </c>
      <c r="H685">
        <f>VLOOKUP(A685,Classifications!$A:$G,7,FALSE)</f>
        <v>41</v>
      </c>
      <c r="I685" t="s">
        <v>11</v>
      </c>
      <c r="J685" s="2">
        <v>44223.383923611109</v>
      </c>
    </row>
    <row r="686" spans="1:10" ht="12.75" customHeight="1" x14ac:dyDescent="0.3">
      <c r="A686">
        <v>1353749</v>
      </c>
      <c r="B686" t="s">
        <v>350</v>
      </c>
      <c r="C686" t="s">
        <v>351</v>
      </c>
      <c r="D686" t="s">
        <v>1625</v>
      </c>
      <c r="E686" s="1" t="s">
        <v>1626</v>
      </c>
      <c r="F686">
        <f>VLOOKUP(A686,Classifications!$A:$E,5,FALSE)</f>
        <v>1</v>
      </c>
      <c r="G686">
        <f>VLOOKUP(A686,Classifications!$A:$F,6,FALSE)</f>
        <v>1</v>
      </c>
      <c r="H686">
        <f>VLOOKUP(A686,Classifications!$A:$G,7,FALSE)</f>
        <v>43</v>
      </c>
      <c r="I686" t="s">
        <v>24</v>
      </c>
      <c r="J686" s="2">
        <v>44223.382986111108</v>
      </c>
    </row>
    <row r="687" spans="1:10" ht="12.75" customHeight="1" x14ac:dyDescent="0.3">
      <c r="A687">
        <v>1353744</v>
      </c>
      <c r="B687" t="s">
        <v>177</v>
      </c>
      <c r="C687" t="s">
        <v>178</v>
      </c>
      <c r="D687" t="s">
        <v>1627</v>
      </c>
      <c r="E687" s="1" t="s">
        <v>1628</v>
      </c>
      <c r="F687">
        <f>VLOOKUP(A687,Classifications!$A:$E,5,FALSE)</f>
        <v>1</v>
      </c>
      <c r="G687">
        <f>VLOOKUP(A687,Classifications!$A:$F,6,FALSE)</f>
        <v>1</v>
      </c>
      <c r="H687">
        <f>VLOOKUP(A687,Classifications!$A:$G,7,FALSE)</f>
        <v>36</v>
      </c>
      <c r="I687" t="s">
        <v>24</v>
      </c>
      <c r="J687" s="2">
        <v>44223.371354166666</v>
      </c>
    </row>
    <row r="688" spans="1:10" ht="12.75" customHeight="1" x14ac:dyDescent="0.3">
      <c r="A688">
        <v>1353739</v>
      </c>
      <c r="B688" t="s">
        <v>553</v>
      </c>
      <c r="C688" t="s">
        <v>1629</v>
      </c>
      <c r="D688" t="s">
        <v>1630</v>
      </c>
      <c r="E688" s="1" t="s">
        <v>1631</v>
      </c>
      <c r="F688">
        <f>VLOOKUP(A688,Classifications!$A:$E,5,FALSE)</f>
        <v>1</v>
      </c>
      <c r="G688">
        <f>VLOOKUP(A688,Classifications!$A:$F,6,FALSE)</f>
        <v>3</v>
      </c>
      <c r="H688">
        <f>VLOOKUP(A688,Classifications!$A:$G,7,FALSE)</f>
        <v>41</v>
      </c>
      <c r="I688" t="s">
        <v>11</v>
      </c>
      <c r="J688" s="2">
        <v>44223.364166666666</v>
      </c>
    </row>
    <row r="689" spans="1:10" ht="12.75" customHeight="1" x14ac:dyDescent="0.3">
      <c r="A689">
        <v>1353731</v>
      </c>
      <c r="B689" t="s">
        <v>16</v>
      </c>
      <c r="C689" t="s">
        <v>1503</v>
      </c>
      <c r="D689" t="s">
        <v>1632</v>
      </c>
      <c r="E689" s="1" t="s">
        <v>1633</v>
      </c>
      <c r="F689">
        <f>VLOOKUP(A689,Classifications!$A:$E,5,FALSE)</f>
        <v>2</v>
      </c>
      <c r="G689">
        <f>VLOOKUP(A689,Classifications!$A:$F,6,FALSE)</f>
        <v>2</v>
      </c>
      <c r="H689">
        <f>VLOOKUP(A689,Classifications!$A:$G,7,FALSE)</f>
        <v>41</v>
      </c>
      <c r="I689" t="s">
        <v>11</v>
      </c>
      <c r="J689" s="2">
        <v>44223.347905092596</v>
      </c>
    </row>
    <row r="690" spans="1:10" ht="12.75" customHeight="1" x14ac:dyDescent="0.3">
      <c r="A690">
        <v>1353728</v>
      </c>
      <c r="B690" t="s">
        <v>74</v>
      </c>
      <c r="C690" t="s">
        <v>450</v>
      </c>
      <c r="D690" t="s">
        <v>1634</v>
      </c>
      <c r="E690" s="1" t="s">
        <v>1635</v>
      </c>
      <c r="F690">
        <f>VLOOKUP(A690,Classifications!$A:$E,5,FALSE)</f>
        <v>1</v>
      </c>
      <c r="G690">
        <f>VLOOKUP(A690,Classifications!$A:$F,6,FALSE)</f>
        <v>1</v>
      </c>
      <c r="H690">
        <f>VLOOKUP(A690,Classifications!$A:$G,7,FALSE)</f>
        <v>43</v>
      </c>
      <c r="I690" t="s">
        <v>11</v>
      </c>
      <c r="J690" s="2">
        <v>44223.346354166664</v>
      </c>
    </row>
    <row r="691" spans="1:10" ht="12.75" customHeight="1" x14ac:dyDescent="0.3">
      <c r="A691">
        <v>1353699</v>
      </c>
      <c r="B691" t="s">
        <v>157</v>
      </c>
      <c r="C691" t="s">
        <v>627</v>
      </c>
      <c r="D691" t="s">
        <v>1636</v>
      </c>
      <c r="E691" s="1" t="s">
        <v>1637</v>
      </c>
      <c r="F691">
        <f>VLOOKUP(A691,Classifications!$A:$E,5,FALSE)</f>
        <v>1</v>
      </c>
      <c r="G691">
        <f>VLOOKUP(A691,Classifications!$A:$F,6,FALSE)</f>
        <v>3</v>
      </c>
      <c r="H691">
        <f>VLOOKUP(A691,Classifications!$A:$G,7,FALSE)</f>
        <v>43</v>
      </c>
      <c r="I691" t="s">
        <v>24</v>
      </c>
      <c r="J691" s="2">
        <v>44223.330150462964</v>
      </c>
    </row>
    <row r="692" spans="1:10" ht="12.75" customHeight="1" x14ac:dyDescent="0.3">
      <c r="A692">
        <v>1353553</v>
      </c>
      <c r="B692" t="s">
        <v>1010</v>
      </c>
      <c r="C692" t="s">
        <v>1011</v>
      </c>
      <c r="D692" t="s">
        <v>1638</v>
      </c>
      <c r="E692" s="1" t="s">
        <v>1160</v>
      </c>
      <c r="F692">
        <f>VLOOKUP(A692,Classifications!$A:$E,5,FALSE)</f>
        <v>3</v>
      </c>
      <c r="G692">
        <f>VLOOKUP(A692,Classifications!$A:$F,6,FALSE)</f>
        <v>1</v>
      </c>
      <c r="H692">
        <f>VLOOKUP(A692,Classifications!$A:$G,7,FALSE)</f>
        <v>36</v>
      </c>
      <c r="I692" t="s">
        <v>1158</v>
      </c>
      <c r="J692" s="2">
        <v>44223.000069444446</v>
      </c>
    </row>
    <row r="693" spans="1:10" ht="12.75" customHeight="1" x14ac:dyDescent="0.3">
      <c r="A693">
        <v>1353552</v>
      </c>
      <c r="B693" t="s">
        <v>1639</v>
      </c>
      <c r="C693" t="s">
        <v>1640</v>
      </c>
      <c r="D693" t="s">
        <v>1638</v>
      </c>
      <c r="E693" s="1" t="s">
        <v>1160</v>
      </c>
      <c r="F693">
        <f>VLOOKUP(A693,Classifications!$A:$E,5,FALSE)</f>
        <v>3</v>
      </c>
      <c r="G693">
        <f>VLOOKUP(A693,Classifications!$A:$F,6,FALSE)</f>
        <v>3</v>
      </c>
      <c r="H693">
        <f>VLOOKUP(A693,Classifications!$A:$G,7,FALSE)</f>
        <v>36</v>
      </c>
      <c r="I693" t="s">
        <v>1158</v>
      </c>
      <c r="J693" s="2">
        <v>44223.000069444446</v>
      </c>
    </row>
    <row r="694" spans="1:10" ht="12.75" customHeight="1" x14ac:dyDescent="0.3">
      <c r="A694">
        <v>1353328</v>
      </c>
      <c r="B694" t="s">
        <v>503</v>
      </c>
      <c r="D694" t="s">
        <v>1641</v>
      </c>
      <c r="E694" s="1" t="s">
        <v>1642</v>
      </c>
      <c r="F694">
        <f>VLOOKUP(A694,Classifications!$A:$E,5,FALSE)</f>
        <v>3</v>
      </c>
      <c r="G694">
        <f>VLOOKUP(A694,Classifications!$A:$F,6,FALSE)</f>
        <v>2</v>
      </c>
      <c r="H694">
        <f>VLOOKUP(A694,Classifications!$A:$G,7,FALSE)</f>
        <v>36</v>
      </c>
      <c r="I694" t="s">
        <v>11</v>
      </c>
      <c r="J694" s="2">
        <v>44222.721504629626</v>
      </c>
    </row>
    <row r="695" spans="1:10" ht="12.75" customHeight="1" x14ac:dyDescent="0.3">
      <c r="A695">
        <v>1353320</v>
      </c>
      <c r="B695" t="s">
        <v>36</v>
      </c>
      <c r="C695" t="s">
        <v>124</v>
      </c>
      <c r="D695" t="s">
        <v>1643</v>
      </c>
      <c r="E695" s="1" t="s">
        <v>1644</v>
      </c>
      <c r="F695">
        <f>VLOOKUP(A695,Classifications!$A:$E,5,FALSE)</f>
        <v>1</v>
      </c>
      <c r="G695">
        <f>VLOOKUP(A695,Classifications!$A:$F,6,FALSE)</f>
        <v>2</v>
      </c>
      <c r="H695">
        <f>VLOOKUP(A695,Classifications!$A:$G,7,FALSE)</f>
        <v>43</v>
      </c>
      <c r="I695" t="s">
        <v>24</v>
      </c>
      <c r="J695" s="2">
        <v>44222.718321759261</v>
      </c>
    </row>
    <row r="696" spans="1:10" ht="12.75" customHeight="1" x14ac:dyDescent="0.3">
      <c r="A696">
        <v>1353317</v>
      </c>
      <c r="B696" t="s">
        <v>157</v>
      </c>
      <c r="C696" t="s">
        <v>1178</v>
      </c>
      <c r="D696" t="s">
        <v>1645</v>
      </c>
      <c r="E696" s="1" t="s">
        <v>1646</v>
      </c>
      <c r="F696">
        <f>VLOOKUP(A696,Classifications!$A:$E,5,FALSE)</f>
        <v>1</v>
      </c>
      <c r="G696">
        <f>VLOOKUP(A696,Classifications!$A:$F,6,FALSE)</f>
        <v>2</v>
      </c>
      <c r="H696">
        <f>VLOOKUP(A696,Classifications!$A:$G,7,FALSE)</f>
        <v>43</v>
      </c>
      <c r="I696" t="s">
        <v>11</v>
      </c>
      <c r="J696" s="2">
        <v>44222.710648148146</v>
      </c>
    </row>
    <row r="697" spans="1:10" ht="12.75" customHeight="1" x14ac:dyDescent="0.3">
      <c r="A697">
        <v>1353309</v>
      </c>
      <c r="B697" t="s">
        <v>214</v>
      </c>
      <c r="C697" t="s">
        <v>1647</v>
      </c>
      <c r="D697" t="s">
        <v>1648</v>
      </c>
      <c r="E697" s="1" t="s">
        <v>1649</v>
      </c>
      <c r="F697">
        <f>VLOOKUP(A697,Classifications!$A:$E,5,FALSE)</f>
        <v>1</v>
      </c>
      <c r="G697">
        <f>VLOOKUP(A697,Classifications!$A:$F,6,FALSE)</f>
        <v>2</v>
      </c>
      <c r="H697">
        <f>VLOOKUP(A697,Classifications!$A:$G,7,FALSE)</f>
        <v>41</v>
      </c>
      <c r="I697" t="s">
        <v>11</v>
      </c>
      <c r="J697" s="2">
        <v>44222.695648148147</v>
      </c>
    </row>
    <row r="698" spans="1:10" ht="12.75" customHeight="1" x14ac:dyDescent="0.3">
      <c r="A698">
        <v>1353303</v>
      </c>
      <c r="B698" t="s">
        <v>36</v>
      </c>
      <c r="C698" t="s">
        <v>578</v>
      </c>
      <c r="D698" t="s">
        <v>1650</v>
      </c>
      <c r="E698" s="1" t="s">
        <v>1651</v>
      </c>
      <c r="F698">
        <f>VLOOKUP(A698,Classifications!$A:$E,5,FALSE)</f>
        <v>1</v>
      </c>
      <c r="G698">
        <f>VLOOKUP(A698,Classifications!$A:$F,6,FALSE)</f>
        <v>2</v>
      </c>
      <c r="H698">
        <f>VLOOKUP(A698,Classifications!$A:$G,7,FALSE)</f>
        <v>43</v>
      </c>
      <c r="I698" t="s">
        <v>24</v>
      </c>
      <c r="J698" s="2">
        <v>44222.68712962963</v>
      </c>
    </row>
    <row r="699" spans="1:10" ht="12.75" customHeight="1" x14ac:dyDescent="0.3">
      <c r="A699">
        <v>1353298</v>
      </c>
      <c r="B699" t="s">
        <v>32</v>
      </c>
      <c r="C699" t="s">
        <v>463</v>
      </c>
      <c r="D699" t="s">
        <v>1652</v>
      </c>
      <c r="E699" s="1" t="s">
        <v>1653</v>
      </c>
      <c r="F699">
        <f>VLOOKUP(A699,Classifications!$A:$E,5,FALSE)</f>
        <v>1</v>
      </c>
      <c r="G699">
        <f>VLOOKUP(A699,Classifications!$A:$F,6,FALSE)</f>
        <v>1</v>
      </c>
      <c r="H699">
        <f>VLOOKUP(A699,Classifications!$A:$G,7,FALSE)</f>
        <v>43</v>
      </c>
      <c r="I699" t="s">
        <v>11</v>
      </c>
      <c r="J699" s="2">
        <v>44222.673738425925</v>
      </c>
    </row>
    <row r="700" spans="1:10" ht="12.75" customHeight="1" x14ac:dyDescent="0.3">
      <c r="A700">
        <v>1353293</v>
      </c>
      <c r="B700" t="s">
        <v>7</v>
      </c>
      <c r="C700" t="s">
        <v>107</v>
      </c>
      <c r="D700" t="s">
        <v>1654</v>
      </c>
      <c r="E700" s="1" t="s">
        <v>1655</v>
      </c>
      <c r="F700">
        <f>VLOOKUP(A700,Classifications!$A:$E,5,FALSE)</f>
        <v>2</v>
      </c>
      <c r="G700">
        <f>VLOOKUP(A700,Classifications!$A:$F,6,FALSE)</f>
        <v>1</v>
      </c>
      <c r="H700">
        <f>VLOOKUP(A700,Classifications!$A:$G,7,FALSE)</f>
        <v>41</v>
      </c>
      <c r="I700" t="s">
        <v>11</v>
      </c>
      <c r="J700" s="2">
        <v>44222.665370370371</v>
      </c>
    </row>
    <row r="701" spans="1:10" ht="12.75" customHeight="1" x14ac:dyDescent="0.3">
      <c r="A701">
        <v>1353271</v>
      </c>
      <c r="B701" t="s">
        <v>74</v>
      </c>
      <c r="C701" t="s">
        <v>1656</v>
      </c>
      <c r="D701" t="s">
        <v>1657</v>
      </c>
      <c r="E701" s="1" t="s">
        <v>1658</v>
      </c>
      <c r="F701">
        <f>VLOOKUP(A701,Classifications!$A:$E,5,FALSE)</f>
        <v>1</v>
      </c>
      <c r="G701">
        <f>VLOOKUP(A701,Classifications!$A:$F,6,FALSE)</f>
        <v>1</v>
      </c>
      <c r="H701">
        <f>VLOOKUP(A701,Classifications!$A:$G,7,FALSE)</f>
        <v>43</v>
      </c>
      <c r="I701" t="s">
        <v>11</v>
      </c>
      <c r="J701" s="2">
        <v>44222.630752314813</v>
      </c>
    </row>
    <row r="702" spans="1:10" ht="12.75" customHeight="1" x14ac:dyDescent="0.3">
      <c r="A702">
        <v>1353269</v>
      </c>
      <c r="B702" t="s">
        <v>74</v>
      </c>
      <c r="C702" t="s">
        <v>450</v>
      </c>
      <c r="D702" t="s">
        <v>1659</v>
      </c>
      <c r="E702" s="1" t="s">
        <v>1660</v>
      </c>
      <c r="F702">
        <f>VLOOKUP(A702,Classifications!$A:$E,5,FALSE)</f>
        <v>1</v>
      </c>
      <c r="G702">
        <f>VLOOKUP(A702,Classifications!$A:$F,6,FALSE)</f>
        <v>1</v>
      </c>
      <c r="H702">
        <f>VLOOKUP(A702,Classifications!$A:$G,7,FALSE)</f>
        <v>43</v>
      </c>
      <c r="I702" t="s">
        <v>11</v>
      </c>
      <c r="J702" s="2">
        <v>44222.629675925928</v>
      </c>
    </row>
    <row r="703" spans="1:10" ht="12.75" customHeight="1" x14ac:dyDescent="0.3">
      <c r="A703">
        <v>1353265</v>
      </c>
      <c r="B703" t="s">
        <v>489</v>
      </c>
      <c r="C703" t="s">
        <v>1661</v>
      </c>
      <c r="D703" t="s">
        <v>1662</v>
      </c>
      <c r="E703" s="1" t="s">
        <v>1663</v>
      </c>
      <c r="F703">
        <f>VLOOKUP(A703,Classifications!$A:$E,5,FALSE)</f>
        <v>1</v>
      </c>
      <c r="G703">
        <f>VLOOKUP(A703,Classifications!$A:$F,6,FALSE)</f>
        <v>1</v>
      </c>
      <c r="H703">
        <f>VLOOKUP(A703,Classifications!$A:$G,7,FALSE)</f>
        <v>41</v>
      </c>
      <c r="I703" t="s">
        <v>11</v>
      </c>
      <c r="J703" s="2">
        <v>44222.626493055555</v>
      </c>
    </row>
    <row r="704" spans="1:10" ht="12.75" customHeight="1" x14ac:dyDescent="0.3">
      <c r="A704">
        <v>1353256</v>
      </c>
      <c r="B704" t="s">
        <v>74</v>
      </c>
      <c r="C704" t="s">
        <v>75</v>
      </c>
      <c r="D704" t="s">
        <v>1664</v>
      </c>
      <c r="E704" s="1" t="s">
        <v>1665</v>
      </c>
      <c r="F704">
        <f>VLOOKUP(A704,Classifications!$A:$E,5,FALSE)</f>
        <v>2</v>
      </c>
      <c r="G704">
        <f>VLOOKUP(A704,Classifications!$A:$F,6,FALSE)</f>
        <v>1</v>
      </c>
      <c r="H704">
        <f>VLOOKUP(A704,Classifications!$A:$G,7,FALSE)</f>
        <v>43</v>
      </c>
      <c r="I704" t="s">
        <v>11</v>
      </c>
      <c r="J704" s="2">
        <v>44222.614317129628</v>
      </c>
    </row>
    <row r="705" spans="1:10" ht="12.75" customHeight="1" x14ac:dyDescent="0.3">
      <c r="A705">
        <v>1353246</v>
      </c>
      <c r="B705" t="s">
        <v>36</v>
      </c>
      <c r="C705" t="s">
        <v>1666</v>
      </c>
      <c r="D705" t="s">
        <v>1667</v>
      </c>
      <c r="E705" s="1" t="s">
        <v>1668</v>
      </c>
      <c r="F705">
        <f>VLOOKUP(A705,Classifications!$A:$E,5,FALSE)</f>
        <v>1</v>
      </c>
      <c r="G705">
        <f>VLOOKUP(A705,Classifications!$A:$F,6,FALSE)</f>
        <v>1</v>
      </c>
      <c r="H705">
        <f>VLOOKUP(A705,Classifications!$A:$G,7,FALSE)</f>
        <v>43</v>
      </c>
      <c r="I705" t="s">
        <v>11</v>
      </c>
      <c r="J705" s="2">
        <v>44222.596828703703</v>
      </c>
    </row>
    <row r="706" spans="1:10" ht="12.75" customHeight="1" x14ac:dyDescent="0.3">
      <c r="A706">
        <v>1353224</v>
      </c>
      <c r="B706" t="s">
        <v>74</v>
      </c>
      <c r="C706" t="s">
        <v>1669</v>
      </c>
      <c r="D706" t="s">
        <v>1670</v>
      </c>
      <c r="E706" s="1" t="s">
        <v>1671</v>
      </c>
      <c r="F706">
        <f>VLOOKUP(A706,Classifications!$A:$E,5,FALSE)</f>
        <v>1</v>
      </c>
      <c r="G706">
        <f>VLOOKUP(A706,Classifications!$A:$F,6,FALSE)</f>
        <v>2</v>
      </c>
      <c r="H706">
        <f>VLOOKUP(A706,Classifications!$A:$G,7,FALSE)</f>
        <v>41</v>
      </c>
      <c r="I706" t="s">
        <v>11</v>
      </c>
      <c r="J706" s="2">
        <v>44222.56722222222</v>
      </c>
    </row>
    <row r="707" spans="1:10" ht="12.75" customHeight="1" x14ac:dyDescent="0.3">
      <c r="A707">
        <v>1353220</v>
      </c>
      <c r="B707" t="s">
        <v>36</v>
      </c>
      <c r="C707" t="s">
        <v>124</v>
      </c>
      <c r="D707" t="s">
        <v>1672</v>
      </c>
      <c r="E707" s="1" t="s">
        <v>1673</v>
      </c>
      <c r="F707">
        <f>VLOOKUP(A707,Classifications!$A:$E,5,FALSE)</f>
        <v>1</v>
      </c>
      <c r="G707">
        <f>VLOOKUP(A707,Classifications!$A:$F,6,FALSE)</f>
        <v>3</v>
      </c>
      <c r="H707">
        <f>VLOOKUP(A707,Classifications!$A:$G,7,FALSE)</f>
        <v>41</v>
      </c>
      <c r="I707" t="s">
        <v>24</v>
      </c>
      <c r="J707" s="2">
        <v>44222.563078703701</v>
      </c>
    </row>
    <row r="708" spans="1:10" ht="12.75" customHeight="1" x14ac:dyDescent="0.3">
      <c r="A708">
        <v>1353216</v>
      </c>
      <c r="B708" t="s">
        <v>157</v>
      </c>
      <c r="C708" t="s">
        <v>414</v>
      </c>
      <c r="D708" t="s">
        <v>1674</v>
      </c>
      <c r="E708" s="1" t="s">
        <v>1675</v>
      </c>
      <c r="F708">
        <f>VLOOKUP(A708,Classifications!$A:$E,5,FALSE)</f>
        <v>1</v>
      </c>
      <c r="G708">
        <f>VLOOKUP(A708,Classifications!$A:$F,6,FALSE)</f>
        <v>1</v>
      </c>
      <c r="H708">
        <f>VLOOKUP(A708,Classifications!$A:$G,7,FALSE)</f>
        <v>43</v>
      </c>
      <c r="I708" t="s">
        <v>11</v>
      </c>
      <c r="J708" s="2">
        <v>44222.549687500003</v>
      </c>
    </row>
    <row r="709" spans="1:10" ht="12.75" customHeight="1" x14ac:dyDescent="0.3">
      <c r="A709">
        <v>1353214</v>
      </c>
      <c r="B709" t="s">
        <v>1021</v>
      </c>
      <c r="C709" t="s">
        <v>1022</v>
      </c>
      <c r="D709" t="s">
        <v>1676</v>
      </c>
      <c r="E709" s="1" t="s">
        <v>1677</v>
      </c>
      <c r="F709">
        <f>VLOOKUP(A709,Classifications!$A:$E,5,FALSE)</f>
        <v>1</v>
      </c>
      <c r="G709">
        <f>VLOOKUP(A709,Classifications!$A:$F,6,FALSE)</f>
        <v>2</v>
      </c>
      <c r="H709">
        <f>VLOOKUP(A709,Classifications!$A:$G,7,FALSE)</f>
        <v>41</v>
      </c>
      <c r="I709" t="s">
        <v>11</v>
      </c>
      <c r="J709" s="2">
        <v>44222.545300925929</v>
      </c>
    </row>
    <row r="710" spans="1:10" ht="12.75" customHeight="1" x14ac:dyDescent="0.3">
      <c r="A710">
        <v>1353212</v>
      </c>
      <c r="B710" t="s">
        <v>12</v>
      </c>
      <c r="C710" t="s">
        <v>1678</v>
      </c>
      <c r="D710" t="s">
        <v>1679</v>
      </c>
      <c r="E710" s="1" t="s">
        <v>1680</v>
      </c>
      <c r="F710">
        <f>VLOOKUP(A710,Classifications!$A:$E,5,FALSE)</f>
        <v>1</v>
      </c>
      <c r="G710">
        <f>VLOOKUP(A710,Classifications!$A:$F,6,FALSE)</f>
        <v>2</v>
      </c>
      <c r="H710">
        <f>VLOOKUP(A710,Classifications!$A:$G,7,FALSE)</f>
        <v>43</v>
      </c>
      <c r="I710" t="s">
        <v>11</v>
      </c>
      <c r="J710" s="2">
        <v>44222.543981481482</v>
      </c>
    </row>
    <row r="711" spans="1:10" ht="12.75" customHeight="1" x14ac:dyDescent="0.3">
      <c r="A711">
        <v>1353201</v>
      </c>
      <c r="B711" t="s">
        <v>746</v>
      </c>
      <c r="C711" t="s">
        <v>1681</v>
      </c>
      <c r="D711" t="s">
        <v>1682</v>
      </c>
      <c r="E711" s="1" t="s">
        <v>1683</v>
      </c>
      <c r="F711">
        <f>VLOOKUP(A711,Classifications!$A:$E,5,FALSE)</f>
        <v>1</v>
      </c>
      <c r="G711">
        <f>VLOOKUP(A711,Classifications!$A:$F,6,FALSE)</f>
        <v>2</v>
      </c>
      <c r="H711">
        <f>VLOOKUP(A711,Classifications!$A:$G,7,FALSE)</f>
        <v>41</v>
      </c>
      <c r="I711" t="s">
        <v>24</v>
      </c>
      <c r="J711" s="2">
        <v>44222.530543981484</v>
      </c>
    </row>
    <row r="712" spans="1:10" ht="12.75" customHeight="1" x14ac:dyDescent="0.3">
      <c r="A712">
        <v>1353200</v>
      </c>
      <c r="B712" t="s">
        <v>1684</v>
      </c>
      <c r="C712" t="s">
        <v>1685</v>
      </c>
      <c r="D712" t="s">
        <v>1686</v>
      </c>
      <c r="E712" s="1" t="s">
        <v>1687</v>
      </c>
      <c r="F712">
        <f>VLOOKUP(A712,Classifications!$A:$E,5,FALSE)</f>
        <v>1</v>
      </c>
      <c r="G712">
        <f>VLOOKUP(A712,Classifications!$A:$F,6,FALSE)</f>
        <v>1</v>
      </c>
      <c r="H712">
        <f>VLOOKUP(A712,Classifications!$A:$G,7,FALSE)</f>
        <v>36</v>
      </c>
      <c r="I712" t="s">
        <v>11</v>
      </c>
      <c r="J712" s="2">
        <v>44222.528796296298</v>
      </c>
    </row>
    <row r="713" spans="1:10" ht="12.75" customHeight="1" x14ac:dyDescent="0.3">
      <c r="A713">
        <v>1353191</v>
      </c>
      <c r="B713" t="s">
        <v>545</v>
      </c>
      <c r="C713" t="s">
        <v>1058</v>
      </c>
      <c r="D713" t="s">
        <v>1688</v>
      </c>
      <c r="E713" s="1" t="s">
        <v>1689</v>
      </c>
      <c r="F713">
        <f>VLOOKUP(A713,Classifications!$A:$E,5,FALSE)</f>
        <v>2</v>
      </c>
      <c r="G713">
        <f>VLOOKUP(A713,Classifications!$A:$F,6,FALSE)</f>
        <v>2</v>
      </c>
      <c r="H713">
        <f>VLOOKUP(A713,Classifications!$A:$G,7,FALSE)</f>
        <v>41</v>
      </c>
      <c r="I713" t="s">
        <v>24</v>
      </c>
      <c r="J713" s="2">
        <v>44222.515625</v>
      </c>
    </row>
    <row r="714" spans="1:10" ht="12.75" customHeight="1" x14ac:dyDescent="0.3">
      <c r="A714">
        <v>1353189</v>
      </c>
      <c r="B714" t="s">
        <v>435</v>
      </c>
      <c r="C714" t="s">
        <v>436</v>
      </c>
      <c r="D714" t="s">
        <v>1690</v>
      </c>
      <c r="E714" s="1" t="s">
        <v>1691</v>
      </c>
      <c r="F714">
        <f>VLOOKUP(A714,Classifications!$A:$E,5,FALSE)</f>
        <v>1</v>
      </c>
      <c r="G714">
        <f>VLOOKUP(A714,Classifications!$A:$F,6,FALSE)</f>
        <v>3</v>
      </c>
      <c r="H714">
        <f>VLOOKUP(A714,Classifications!$A:$G,7,FALSE)</f>
        <v>41</v>
      </c>
      <c r="I714" t="s">
        <v>11</v>
      </c>
      <c r="J714" s="2">
        <v>44222.506331018521</v>
      </c>
    </row>
    <row r="715" spans="1:10" ht="12.75" customHeight="1" x14ac:dyDescent="0.3">
      <c r="A715">
        <v>1353184</v>
      </c>
      <c r="B715" t="s">
        <v>53</v>
      </c>
      <c r="C715" t="s">
        <v>54</v>
      </c>
      <c r="D715" t="s">
        <v>1692</v>
      </c>
      <c r="E715" s="1" t="s">
        <v>1693</v>
      </c>
      <c r="F715">
        <f>VLOOKUP(A715,Classifications!$A:$E,5,FALSE)</f>
        <v>1</v>
      </c>
      <c r="G715">
        <f>VLOOKUP(A715,Classifications!$A:$F,6,FALSE)</f>
        <v>1</v>
      </c>
      <c r="H715">
        <f>VLOOKUP(A715,Classifications!$A:$G,7,FALSE)</f>
        <v>36</v>
      </c>
      <c r="I715" t="s">
        <v>11</v>
      </c>
      <c r="J715" s="2">
        <v>44222.50099537037</v>
      </c>
    </row>
    <row r="716" spans="1:10" ht="12.75" customHeight="1" x14ac:dyDescent="0.3">
      <c r="A716">
        <v>1353183</v>
      </c>
      <c r="B716" t="s">
        <v>331</v>
      </c>
      <c r="C716" t="s">
        <v>332</v>
      </c>
      <c r="D716" t="s">
        <v>1694</v>
      </c>
      <c r="E716" s="1" t="s">
        <v>1695</v>
      </c>
      <c r="F716">
        <f>VLOOKUP(A716,Classifications!$A:$E,5,FALSE)</f>
        <v>1</v>
      </c>
      <c r="G716">
        <f>VLOOKUP(A716,Classifications!$A:$F,6,FALSE)</f>
        <v>2</v>
      </c>
      <c r="H716">
        <f>VLOOKUP(A716,Classifications!$A:$G,7,FALSE)</f>
        <v>41</v>
      </c>
      <c r="I716" t="s">
        <v>11</v>
      </c>
      <c r="J716" s="2">
        <v>44222.500034722223</v>
      </c>
    </row>
    <row r="717" spans="1:10" ht="12.75" customHeight="1" x14ac:dyDescent="0.3">
      <c r="A717">
        <v>1353179</v>
      </c>
      <c r="B717" t="s">
        <v>53</v>
      </c>
      <c r="C717" t="s">
        <v>54</v>
      </c>
      <c r="D717" t="s">
        <v>1696</v>
      </c>
      <c r="E717" s="1" t="s">
        <v>1697</v>
      </c>
      <c r="F717">
        <f>VLOOKUP(A717,Classifications!$A:$E,5,FALSE)</f>
        <v>1</v>
      </c>
      <c r="G717">
        <f>VLOOKUP(A717,Classifications!$A:$F,6,FALSE)</f>
        <v>1</v>
      </c>
      <c r="H717">
        <f>VLOOKUP(A717,Classifications!$A:$G,7,FALSE)</f>
        <v>43</v>
      </c>
      <c r="I717" t="s">
        <v>11</v>
      </c>
      <c r="J717" s="2">
        <v>44222.488136574073</v>
      </c>
    </row>
    <row r="718" spans="1:10" ht="12.75" customHeight="1" x14ac:dyDescent="0.3">
      <c r="A718">
        <v>1353178</v>
      </c>
      <c r="B718" t="s">
        <v>184</v>
      </c>
      <c r="C718" t="s">
        <v>1698</v>
      </c>
      <c r="D718" t="s">
        <v>1699</v>
      </c>
      <c r="E718" s="1" t="s">
        <v>1700</v>
      </c>
      <c r="F718">
        <f>VLOOKUP(A718,Classifications!$A:$E,5,FALSE)</f>
        <v>1</v>
      </c>
      <c r="G718">
        <f>VLOOKUP(A718,Classifications!$A:$F,6,FALSE)</f>
        <v>2</v>
      </c>
      <c r="H718">
        <f>VLOOKUP(A718,Classifications!$A:$G,7,FALSE)</f>
        <v>41</v>
      </c>
      <c r="I718" t="s">
        <v>11</v>
      </c>
      <c r="J718" s="2">
        <v>44222.483287037037</v>
      </c>
    </row>
    <row r="719" spans="1:10" ht="12.75" customHeight="1" x14ac:dyDescent="0.3">
      <c r="A719">
        <v>1353171</v>
      </c>
      <c r="B719" t="s">
        <v>431</v>
      </c>
      <c r="C719" t="s">
        <v>1701</v>
      </c>
      <c r="D719" t="s">
        <v>1702</v>
      </c>
      <c r="E719" s="1" t="s">
        <v>1703</v>
      </c>
      <c r="F719">
        <f>VLOOKUP(A719,Classifications!$A:$E,5,FALSE)</f>
        <v>1</v>
      </c>
      <c r="G719">
        <f>VLOOKUP(A719,Classifications!$A:$F,6,FALSE)</f>
        <v>1</v>
      </c>
      <c r="H719">
        <f>VLOOKUP(A719,Classifications!$A:$G,7,FALSE)</f>
        <v>41</v>
      </c>
      <c r="I719" t="s">
        <v>11</v>
      </c>
      <c r="J719" s="2">
        <v>44222.460740740738</v>
      </c>
    </row>
    <row r="720" spans="1:10" ht="12.75" customHeight="1" x14ac:dyDescent="0.3">
      <c r="A720">
        <v>1353168</v>
      </c>
      <c r="B720" t="s">
        <v>49</v>
      </c>
      <c r="C720" t="s">
        <v>801</v>
      </c>
      <c r="D720" t="s">
        <v>1704</v>
      </c>
      <c r="E720" s="1" t="s">
        <v>1705</v>
      </c>
      <c r="F720">
        <f>VLOOKUP(A720,Classifications!$A:$E,5,FALSE)</f>
        <v>1</v>
      </c>
      <c r="G720">
        <f>VLOOKUP(A720,Classifications!$A:$F,6,FALSE)</f>
        <v>1</v>
      </c>
      <c r="H720">
        <f>VLOOKUP(A720,Classifications!$A:$G,7,FALSE)</f>
        <v>41</v>
      </c>
      <c r="I720" t="s">
        <v>11</v>
      </c>
      <c r="J720" s="2">
        <v>44222.455277777779</v>
      </c>
    </row>
    <row r="721" spans="1:10" ht="12.75" customHeight="1" x14ac:dyDescent="0.3">
      <c r="A721">
        <v>1353165</v>
      </c>
      <c r="B721" t="s">
        <v>7</v>
      </c>
      <c r="C721" t="s">
        <v>1407</v>
      </c>
      <c r="D721" t="s">
        <v>1706</v>
      </c>
      <c r="E721" s="1" t="s">
        <v>1707</v>
      </c>
      <c r="F721">
        <f>VLOOKUP(A721,Classifications!$A:$E,5,FALSE)</f>
        <v>1</v>
      </c>
      <c r="G721">
        <f>VLOOKUP(A721,Classifications!$A:$F,6,FALSE)</f>
        <v>3</v>
      </c>
      <c r="H721">
        <f>VLOOKUP(A721,Classifications!$A:$G,7,FALSE)</f>
        <v>41</v>
      </c>
      <c r="I721" t="s">
        <v>11</v>
      </c>
      <c r="J721" s="2">
        <v>44222.452303240738</v>
      </c>
    </row>
    <row r="722" spans="1:10" ht="12.75" customHeight="1" x14ac:dyDescent="0.3">
      <c r="A722">
        <v>1353164</v>
      </c>
      <c r="B722" t="s">
        <v>36</v>
      </c>
      <c r="C722" t="s">
        <v>509</v>
      </c>
      <c r="D722" t="s">
        <v>1708</v>
      </c>
      <c r="E722" s="1" t="s">
        <v>1709</v>
      </c>
      <c r="F722">
        <f>VLOOKUP(A722,Classifications!$A:$E,5,FALSE)</f>
        <v>3</v>
      </c>
      <c r="G722">
        <f>VLOOKUP(A722,Classifications!$A:$F,6,FALSE)</f>
        <v>2</v>
      </c>
      <c r="H722">
        <f>VLOOKUP(A722,Classifications!$A:$G,7,FALSE)</f>
        <v>43</v>
      </c>
      <c r="I722" t="s">
        <v>24</v>
      </c>
      <c r="J722" s="2">
        <v>44222.451932870368</v>
      </c>
    </row>
    <row r="723" spans="1:10" ht="12.75" customHeight="1" x14ac:dyDescent="0.3">
      <c r="A723">
        <v>1353163</v>
      </c>
      <c r="B723" t="s">
        <v>49</v>
      </c>
      <c r="C723" t="s">
        <v>315</v>
      </c>
      <c r="D723" t="s">
        <v>1710</v>
      </c>
      <c r="E723" s="1" t="s">
        <v>1711</v>
      </c>
      <c r="F723">
        <f>VLOOKUP(A723,Classifications!$A:$E,5,FALSE)</f>
        <v>1</v>
      </c>
      <c r="G723">
        <f>VLOOKUP(A723,Classifications!$A:$F,6,FALSE)</f>
        <v>1</v>
      </c>
      <c r="H723">
        <f>VLOOKUP(A723,Classifications!$A:$G,7,FALSE)</f>
        <v>43</v>
      </c>
      <c r="I723" t="s">
        <v>11</v>
      </c>
      <c r="J723" s="2">
        <v>44222.45107638889</v>
      </c>
    </row>
    <row r="724" spans="1:10" ht="12.75" customHeight="1" x14ac:dyDescent="0.3">
      <c r="A724">
        <v>1353157</v>
      </c>
      <c r="B724" t="s">
        <v>157</v>
      </c>
      <c r="C724" t="s">
        <v>414</v>
      </c>
      <c r="D724" t="s">
        <v>1712</v>
      </c>
      <c r="E724" s="1" t="s">
        <v>1713</v>
      </c>
      <c r="F724">
        <f>VLOOKUP(A724,Classifications!$A:$E,5,FALSE)</f>
        <v>1</v>
      </c>
      <c r="G724">
        <f>VLOOKUP(A724,Classifications!$A:$F,6,FALSE)</f>
        <v>1</v>
      </c>
      <c r="H724">
        <f>VLOOKUP(A724,Classifications!$A:$G,7,FALSE)</f>
        <v>43</v>
      </c>
      <c r="I724" t="s">
        <v>11</v>
      </c>
      <c r="J724" s="2">
        <v>44222.440196759257</v>
      </c>
    </row>
    <row r="725" spans="1:10" ht="12.75" customHeight="1" x14ac:dyDescent="0.3">
      <c r="A725">
        <v>1353142</v>
      </c>
      <c r="B725" t="s">
        <v>1714</v>
      </c>
      <c r="C725" t="s">
        <v>1715</v>
      </c>
      <c r="D725" t="s">
        <v>1716</v>
      </c>
      <c r="E725" s="1" t="s">
        <v>1717</v>
      </c>
      <c r="F725">
        <f>VLOOKUP(A725,Classifications!$A:$E,5,FALSE)</f>
        <v>1</v>
      </c>
      <c r="G725">
        <f>VLOOKUP(A725,Classifications!$A:$F,6,FALSE)</f>
        <v>1</v>
      </c>
      <c r="H725">
        <f>VLOOKUP(A725,Classifications!$A:$G,7,FALSE)</f>
        <v>36</v>
      </c>
      <c r="I725" t="s">
        <v>24</v>
      </c>
      <c r="J725" s="2">
        <v>44222.418796296297</v>
      </c>
    </row>
    <row r="726" spans="1:10" ht="12.75" customHeight="1" x14ac:dyDescent="0.3">
      <c r="A726">
        <v>1353116</v>
      </c>
      <c r="B726" t="s">
        <v>214</v>
      </c>
      <c r="C726" t="s">
        <v>215</v>
      </c>
      <c r="D726" t="s">
        <v>1718</v>
      </c>
      <c r="E726" s="1" t="s">
        <v>1719</v>
      </c>
      <c r="F726">
        <f>VLOOKUP(A726,Classifications!$A:$E,5,FALSE)</f>
        <v>1</v>
      </c>
      <c r="G726">
        <f>VLOOKUP(A726,Classifications!$A:$F,6,FALSE)</f>
        <v>2</v>
      </c>
      <c r="H726">
        <f>VLOOKUP(A726,Classifications!$A:$G,7,FALSE)</f>
        <v>41</v>
      </c>
      <c r="I726" t="s">
        <v>11</v>
      </c>
      <c r="J726" s="2">
        <v>44222.415046296293</v>
      </c>
    </row>
    <row r="727" spans="1:10" ht="12.75" customHeight="1" x14ac:dyDescent="0.3">
      <c r="A727">
        <v>1353114</v>
      </c>
      <c r="B727" t="s">
        <v>177</v>
      </c>
      <c r="C727" t="s">
        <v>178</v>
      </c>
      <c r="D727" t="s">
        <v>1720</v>
      </c>
      <c r="E727" s="1" t="s">
        <v>1721</v>
      </c>
      <c r="F727">
        <f>VLOOKUP(A727,Classifications!$A:$E,5,FALSE)</f>
        <v>1</v>
      </c>
      <c r="G727">
        <f>VLOOKUP(A727,Classifications!$A:$F,6,FALSE)</f>
        <v>3</v>
      </c>
      <c r="H727">
        <f>VLOOKUP(A727,Classifications!$A:$G,7,FALSE)</f>
        <v>41</v>
      </c>
      <c r="I727" t="s">
        <v>11</v>
      </c>
      <c r="J727" s="2">
        <v>44222.410810185182</v>
      </c>
    </row>
    <row r="728" spans="1:10" ht="12.75" customHeight="1" x14ac:dyDescent="0.3">
      <c r="A728">
        <v>1353107</v>
      </c>
      <c r="B728" t="s">
        <v>132</v>
      </c>
      <c r="C728" t="s">
        <v>1722</v>
      </c>
      <c r="D728" t="s">
        <v>1723</v>
      </c>
      <c r="E728" s="1" t="s">
        <v>1724</v>
      </c>
      <c r="F728">
        <f>VLOOKUP(A728,Classifications!$A:$E,5,FALSE)</f>
        <v>1</v>
      </c>
      <c r="G728">
        <f>VLOOKUP(A728,Classifications!$A:$F,6,FALSE)</f>
        <v>1</v>
      </c>
      <c r="H728">
        <f>VLOOKUP(A728,Classifications!$A:$G,7,FALSE)</f>
        <v>43</v>
      </c>
      <c r="I728" t="s">
        <v>11</v>
      </c>
      <c r="J728" s="2">
        <v>44222.400625000002</v>
      </c>
    </row>
    <row r="729" spans="1:10" ht="12.75" customHeight="1" x14ac:dyDescent="0.3">
      <c r="A729">
        <v>1353103</v>
      </c>
      <c r="B729" t="s">
        <v>410</v>
      </c>
      <c r="C729" t="s">
        <v>411</v>
      </c>
      <c r="D729" t="s">
        <v>1725</v>
      </c>
      <c r="E729" s="1" t="s">
        <v>1726</v>
      </c>
      <c r="F729">
        <f>VLOOKUP(A729,Classifications!$A:$E,5,FALSE)</f>
        <v>1</v>
      </c>
      <c r="G729">
        <f>VLOOKUP(A729,Classifications!$A:$F,6,FALSE)</f>
        <v>1</v>
      </c>
      <c r="H729">
        <f>VLOOKUP(A729,Classifications!$A:$G,7,FALSE)</f>
        <v>36</v>
      </c>
      <c r="I729" t="s">
        <v>11</v>
      </c>
      <c r="J729" s="2">
        <v>44222.393148148149</v>
      </c>
    </row>
    <row r="730" spans="1:10" ht="12.75" customHeight="1" x14ac:dyDescent="0.3">
      <c r="A730">
        <v>1353089</v>
      </c>
      <c r="B730" t="s">
        <v>7</v>
      </c>
      <c r="C730" t="s">
        <v>1727</v>
      </c>
      <c r="D730" t="s">
        <v>1728</v>
      </c>
      <c r="E730" s="1" t="s">
        <v>1729</v>
      </c>
      <c r="F730">
        <f>VLOOKUP(A730,Classifications!$A:$E,5,FALSE)</f>
        <v>1</v>
      </c>
      <c r="G730">
        <f>VLOOKUP(A730,Classifications!$A:$F,6,FALSE)</f>
        <v>3</v>
      </c>
      <c r="H730">
        <f>VLOOKUP(A730,Classifications!$A:$G,7,FALSE)</f>
        <v>41</v>
      </c>
      <c r="I730" t="s">
        <v>11</v>
      </c>
      <c r="J730" s="2">
        <v>44222.361111111109</v>
      </c>
    </row>
    <row r="731" spans="1:10" ht="12.75" customHeight="1" x14ac:dyDescent="0.3">
      <c r="A731">
        <v>1353088</v>
      </c>
      <c r="B731" t="s">
        <v>53</v>
      </c>
      <c r="C731" t="s">
        <v>54</v>
      </c>
      <c r="D731" t="s">
        <v>1730</v>
      </c>
      <c r="E731" s="1" t="s">
        <v>1731</v>
      </c>
      <c r="F731">
        <f>VLOOKUP(A731,Classifications!$A:$E,5,FALSE)</f>
        <v>3</v>
      </c>
      <c r="G731">
        <f>VLOOKUP(A731,Classifications!$A:$F,6,FALSE)</f>
        <v>1</v>
      </c>
      <c r="H731">
        <f>VLOOKUP(A731,Classifications!$A:$G,7,FALSE)</f>
        <v>43</v>
      </c>
      <c r="I731" t="s">
        <v>11</v>
      </c>
      <c r="J731" s="2">
        <v>44222.360509259262</v>
      </c>
    </row>
    <row r="732" spans="1:10" ht="12.75" customHeight="1" x14ac:dyDescent="0.3">
      <c r="A732">
        <v>1353070</v>
      </c>
      <c r="B732" t="s">
        <v>1169</v>
      </c>
      <c r="C732" t="s">
        <v>1170</v>
      </c>
      <c r="D732" t="s">
        <v>1732</v>
      </c>
      <c r="E732" s="1" t="s">
        <v>1733</v>
      </c>
      <c r="F732">
        <f>VLOOKUP(A732,Classifications!$A:$E,5,FALSE)</f>
        <v>1</v>
      </c>
      <c r="G732">
        <f>VLOOKUP(A732,Classifications!$A:$F,6,FALSE)</f>
        <v>2</v>
      </c>
      <c r="H732">
        <f>VLOOKUP(A732,Classifications!$A:$G,7,FALSE)</f>
        <v>41</v>
      </c>
      <c r="I732" t="s">
        <v>11</v>
      </c>
      <c r="J732" s="2">
        <v>44222.339918981481</v>
      </c>
    </row>
    <row r="733" spans="1:10" ht="12.75" customHeight="1" x14ac:dyDescent="0.3">
      <c r="A733">
        <v>1353055</v>
      </c>
      <c r="B733" t="s">
        <v>222</v>
      </c>
      <c r="C733" t="s">
        <v>681</v>
      </c>
      <c r="D733" t="s">
        <v>1734</v>
      </c>
      <c r="E733" s="1" t="s">
        <v>1735</v>
      </c>
      <c r="F733">
        <f>VLOOKUP(A733,Classifications!$A:$E,5,FALSE)</f>
        <v>1</v>
      </c>
      <c r="G733">
        <f>VLOOKUP(A733,Classifications!$A:$F,6,FALSE)</f>
        <v>1</v>
      </c>
      <c r="H733">
        <f>VLOOKUP(A733,Classifications!$A:$G,7,FALSE)</f>
        <v>43</v>
      </c>
      <c r="I733" t="s">
        <v>11</v>
      </c>
      <c r="J733" s="2">
        <v>44222.308668981481</v>
      </c>
    </row>
    <row r="734" spans="1:10" ht="12.75" customHeight="1" x14ac:dyDescent="0.3">
      <c r="A734">
        <v>1352914</v>
      </c>
      <c r="B734" t="s">
        <v>1736</v>
      </c>
      <c r="C734" t="s">
        <v>1737</v>
      </c>
      <c r="D734" t="s">
        <v>1429</v>
      </c>
      <c r="E734" s="1" t="s">
        <v>1160</v>
      </c>
      <c r="F734">
        <f>VLOOKUP(A734,Classifications!$A:$E,5,FALSE)</f>
        <v>1</v>
      </c>
      <c r="G734">
        <f>VLOOKUP(A734,Classifications!$A:$F,6,FALSE)</f>
        <v>1</v>
      </c>
      <c r="H734">
        <f>VLOOKUP(A734,Classifications!$A:$G,7,FALSE)</f>
        <v>36</v>
      </c>
      <c r="I734" t="s">
        <v>1158</v>
      </c>
      <c r="J734" s="2">
        <v>44222.000069444446</v>
      </c>
    </row>
    <row r="735" spans="1:10" ht="12.75" customHeight="1" x14ac:dyDescent="0.3">
      <c r="A735">
        <v>1352754</v>
      </c>
      <c r="B735" t="s">
        <v>746</v>
      </c>
      <c r="C735" t="s">
        <v>1203</v>
      </c>
      <c r="D735" t="s">
        <v>1738</v>
      </c>
      <c r="E735" s="1" t="s">
        <v>1739</v>
      </c>
      <c r="F735">
        <f>VLOOKUP(A735,Classifications!$A:$E,5,FALSE)</f>
        <v>1</v>
      </c>
      <c r="G735">
        <f>VLOOKUP(A735,Classifications!$A:$F,6,FALSE)</f>
        <v>3</v>
      </c>
      <c r="H735">
        <f>VLOOKUP(A735,Classifications!$A:$G,7,FALSE)</f>
        <v>41</v>
      </c>
      <c r="I735" t="s">
        <v>11</v>
      </c>
      <c r="J735" s="2">
        <v>44221.786909722221</v>
      </c>
    </row>
    <row r="736" spans="1:10" ht="12.75" customHeight="1" x14ac:dyDescent="0.3">
      <c r="A736">
        <v>1352702</v>
      </c>
      <c r="B736" t="s">
        <v>157</v>
      </c>
      <c r="C736" t="s">
        <v>1740</v>
      </c>
      <c r="D736" t="s">
        <v>1741</v>
      </c>
      <c r="E736" s="1" t="s">
        <v>1742</v>
      </c>
      <c r="F736">
        <f>VLOOKUP(A736,Classifications!$A:$E,5,FALSE)</f>
        <v>1</v>
      </c>
      <c r="G736">
        <f>VLOOKUP(A736,Classifications!$A:$F,6,FALSE)</f>
        <v>3</v>
      </c>
      <c r="H736">
        <f>VLOOKUP(A736,Classifications!$A:$G,7,FALSE)</f>
        <v>41</v>
      </c>
      <c r="I736" t="s">
        <v>11</v>
      </c>
      <c r="J736" s="2">
        <v>44221.69494212963</v>
      </c>
    </row>
    <row r="737" spans="1:10" ht="12.75" customHeight="1" x14ac:dyDescent="0.3">
      <c r="A737">
        <v>1352690</v>
      </c>
      <c r="B737" t="s">
        <v>45</v>
      </c>
      <c r="C737" t="s">
        <v>1743</v>
      </c>
      <c r="D737" t="s">
        <v>1744</v>
      </c>
      <c r="E737" s="1" t="s">
        <v>1745</v>
      </c>
      <c r="F737">
        <f>VLOOKUP(A737,Classifications!$A:$E,5,FALSE)</f>
        <v>1</v>
      </c>
      <c r="G737">
        <f>VLOOKUP(A737,Classifications!$A:$F,6,FALSE)</f>
        <v>2</v>
      </c>
      <c r="H737">
        <f>VLOOKUP(A737,Classifications!$A:$G,7,FALSE)</f>
        <v>43</v>
      </c>
      <c r="I737" t="s">
        <v>11</v>
      </c>
      <c r="J737" s="2">
        <v>44221.652962962966</v>
      </c>
    </row>
    <row r="738" spans="1:10" ht="12.75" customHeight="1" x14ac:dyDescent="0.3">
      <c r="A738">
        <v>1352683</v>
      </c>
      <c r="B738" t="s">
        <v>746</v>
      </c>
      <c r="C738" t="s">
        <v>1746</v>
      </c>
      <c r="D738" t="s">
        <v>1747</v>
      </c>
      <c r="E738" s="1" t="s">
        <v>1748</v>
      </c>
      <c r="F738">
        <f>VLOOKUP(A738,Classifications!$A:$E,5,FALSE)</f>
        <v>1</v>
      </c>
      <c r="G738">
        <f>VLOOKUP(A738,Classifications!$A:$F,6,FALSE)</f>
        <v>2</v>
      </c>
      <c r="H738">
        <f>VLOOKUP(A738,Classifications!$A:$G,7,FALSE)</f>
        <v>41</v>
      </c>
      <c r="I738" t="s">
        <v>24</v>
      </c>
      <c r="J738" s="2">
        <v>44221.636319444442</v>
      </c>
    </row>
    <row r="739" spans="1:10" ht="12.75" customHeight="1" x14ac:dyDescent="0.3">
      <c r="A739">
        <v>1352675</v>
      </c>
      <c r="B739" t="s">
        <v>1749</v>
      </c>
      <c r="C739" t="s">
        <v>1750</v>
      </c>
      <c r="D739" t="s">
        <v>1751</v>
      </c>
      <c r="E739" s="1" t="s">
        <v>1752</v>
      </c>
      <c r="F739">
        <f>VLOOKUP(A739,Classifications!$A:$E,5,FALSE)</f>
        <v>1</v>
      </c>
      <c r="G739">
        <f>VLOOKUP(A739,Classifications!$A:$F,6,FALSE)</f>
        <v>1</v>
      </c>
      <c r="H739">
        <f>VLOOKUP(A739,Classifications!$A:$G,7,FALSE)</f>
        <v>41</v>
      </c>
      <c r="I739" t="s">
        <v>24</v>
      </c>
      <c r="J739" s="2">
        <v>44221.621087962965</v>
      </c>
    </row>
    <row r="740" spans="1:10" ht="12.75" customHeight="1" x14ac:dyDescent="0.3">
      <c r="A740">
        <v>1352669</v>
      </c>
      <c r="B740" t="s">
        <v>70</v>
      </c>
      <c r="C740" t="s">
        <v>369</v>
      </c>
      <c r="D740" t="s">
        <v>1753</v>
      </c>
      <c r="E740" s="1" t="s">
        <v>1754</v>
      </c>
      <c r="F740">
        <f>VLOOKUP(A740,Classifications!$A:$E,5,FALSE)</f>
        <v>1</v>
      </c>
      <c r="G740">
        <f>VLOOKUP(A740,Classifications!$A:$F,6,FALSE)</f>
        <v>1</v>
      </c>
      <c r="H740">
        <f>VLOOKUP(A740,Classifications!$A:$G,7,FALSE)</f>
        <v>43</v>
      </c>
      <c r="I740" t="s">
        <v>11</v>
      </c>
      <c r="J740" s="2">
        <v>44221.61210648148</v>
      </c>
    </row>
    <row r="741" spans="1:10" ht="12.75" customHeight="1" x14ac:dyDescent="0.3">
      <c r="A741">
        <v>1352657</v>
      </c>
      <c r="B741" t="s">
        <v>16</v>
      </c>
      <c r="C741" t="s">
        <v>181</v>
      </c>
      <c r="D741" t="s">
        <v>1755</v>
      </c>
      <c r="E741" s="1" t="s">
        <v>1756</v>
      </c>
      <c r="F741">
        <f>VLOOKUP(A741,Classifications!$A:$E,5,FALSE)</f>
        <v>1</v>
      </c>
      <c r="G741">
        <f>VLOOKUP(A741,Classifications!$A:$F,6,FALSE)</f>
        <v>1</v>
      </c>
      <c r="H741">
        <f>VLOOKUP(A741,Classifications!$A:$G,7,FALSE)</f>
        <v>43</v>
      </c>
      <c r="I741" t="s">
        <v>11</v>
      </c>
      <c r="J741" s="2">
        <v>44221.586041666669</v>
      </c>
    </row>
    <row r="742" spans="1:10" ht="12.75" customHeight="1" x14ac:dyDescent="0.3">
      <c r="A742">
        <v>1352653</v>
      </c>
      <c r="B742" t="s">
        <v>74</v>
      </c>
      <c r="C742" t="s">
        <v>1656</v>
      </c>
      <c r="D742" t="s">
        <v>1757</v>
      </c>
      <c r="E742" s="1" t="s">
        <v>1758</v>
      </c>
      <c r="F742">
        <f>VLOOKUP(A742,Classifications!$A:$E,5,FALSE)</f>
        <v>1</v>
      </c>
      <c r="G742">
        <f>VLOOKUP(A742,Classifications!$A:$F,6,FALSE)</f>
        <v>1</v>
      </c>
      <c r="H742">
        <f>VLOOKUP(A742,Classifications!$A:$G,7,FALSE)</f>
        <v>43</v>
      </c>
      <c r="I742" t="s">
        <v>11</v>
      </c>
      <c r="J742" s="2">
        <v>44221.577662037038</v>
      </c>
    </row>
    <row r="743" spans="1:10" ht="12.75" customHeight="1" x14ac:dyDescent="0.3">
      <c r="A743">
        <v>1352651</v>
      </c>
      <c r="B743" t="s">
        <v>74</v>
      </c>
      <c r="C743" t="s">
        <v>1656</v>
      </c>
      <c r="D743" t="s">
        <v>1759</v>
      </c>
      <c r="E743" s="1" t="s">
        <v>1760</v>
      </c>
      <c r="F743">
        <f>VLOOKUP(A743,Classifications!$A:$E,5,FALSE)</f>
        <v>1</v>
      </c>
      <c r="G743">
        <f>VLOOKUP(A743,Classifications!$A:$F,6,FALSE)</f>
        <v>1</v>
      </c>
      <c r="H743">
        <f>VLOOKUP(A743,Classifications!$A:$G,7,FALSE)</f>
        <v>43</v>
      </c>
      <c r="I743" t="s">
        <v>11</v>
      </c>
      <c r="J743" s="2">
        <v>44221.575995370367</v>
      </c>
    </row>
    <row r="744" spans="1:10" ht="12.75" customHeight="1" x14ac:dyDescent="0.3">
      <c r="A744">
        <v>1352645</v>
      </c>
      <c r="B744" t="s">
        <v>1761</v>
      </c>
      <c r="C744" t="s">
        <v>1762</v>
      </c>
      <c r="D744" t="s">
        <v>1763</v>
      </c>
      <c r="E744" s="1" t="s">
        <v>1764</v>
      </c>
      <c r="F744">
        <f>VLOOKUP(A744,Classifications!$A:$E,5,FALSE)</f>
        <v>1</v>
      </c>
      <c r="G744">
        <f>VLOOKUP(A744,Classifications!$A:$F,6,FALSE)</f>
        <v>3</v>
      </c>
      <c r="H744">
        <f>VLOOKUP(A744,Classifications!$A:$G,7,FALSE)</f>
        <v>41</v>
      </c>
      <c r="I744" t="s">
        <v>11</v>
      </c>
      <c r="J744" s="2">
        <v>44221.568425925929</v>
      </c>
    </row>
    <row r="745" spans="1:10" ht="12.75" customHeight="1" x14ac:dyDescent="0.3">
      <c r="A745">
        <v>1352632</v>
      </c>
      <c r="B745" t="s">
        <v>1765</v>
      </c>
      <c r="C745" t="s">
        <v>1766</v>
      </c>
      <c r="D745" t="s">
        <v>1767</v>
      </c>
      <c r="E745" s="1" t="s">
        <v>1768</v>
      </c>
      <c r="F745">
        <f>VLOOKUP(A745,Classifications!$A:$E,5,FALSE)</f>
        <v>1</v>
      </c>
      <c r="G745">
        <f>VLOOKUP(A745,Classifications!$A:$F,6,FALSE)</f>
        <v>3</v>
      </c>
      <c r="H745">
        <f>VLOOKUP(A745,Classifications!$A:$G,7,FALSE)</f>
        <v>41</v>
      </c>
      <c r="I745" t="s">
        <v>11</v>
      </c>
      <c r="J745" s="2">
        <v>44221.541354166664</v>
      </c>
    </row>
    <row r="746" spans="1:10" ht="12.75" customHeight="1" x14ac:dyDescent="0.3">
      <c r="A746">
        <v>1352630</v>
      </c>
      <c r="B746" t="s">
        <v>545</v>
      </c>
      <c r="C746" t="s">
        <v>1769</v>
      </c>
      <c r="D746" t="s">
        <v>1770</v>
      </c>
      <c r="E746" s="1" t="s">
        <v>1771</v>
      </c>
      <c r="F746">
        <f>VLOOKUP(A746,Classifications!$A:$E,5,FALSE)</f>
        <v>1</v>
      </c>
      <c r="G746">
        <f>VLOOKUP(A746,Classifications!$A:$F,6,FALSE)</f>
        <v>2</v>
      </c>
      <c r="H746">
        <f>VLOOKUP(A746,Classifications!$A:$G,7,FALSE)</f>
        <v>41</v>
      </c>
      <c r="I746" t="s">
        <v>11</v>
      </c>
      <c r="J746" s="2">
        <v>44221.537581018521</v>
      </c>
    </row>
    <row r="747" spans="1:10" ht="12.75" customHeight="1" x14ac:dyDescent="0.3">
      <c r="A747">
        <v>1352626</v>
      </c>
      <c r="B747" t="s">
        <v>20</v>
      </c>
      <c r="C747" t="s">
        <v>158</v>
      </c>
      <c r="D747" t="s">
        <v>1772</v>
      </c>
      <c r="E747" s="1" t="s">
        <v>1773</v>
      </c>
      <c r="F747">
        <f>VLOOKUP(A747,Classifications!$A:$E,5,FALSE)</f>
        <v>3</v>
      </c>
      <c r="G747">
        <f>VLOOKUP(A747,Classifications!$A:$F,6,FALSE)</f>
        <v>1</v>
      </c>
      <c r="H747">
        <f>VLOOKUP(A747,Classifications!$A:$G,7,FALSE)</f>
        <v>41</v>
      </c>
      <c r="I747" t="s">
        <v>11</v>
      </c>
      <c r="J747" s="2">
        <v>44221.533217592594</v>
      </c>
    </row>
    <row r="748" spans="1:10" ht="12.75" customHeight="1" x14ac:dyDescent="0.3">
      <c r="A748">
        <v>1352625</v>
      </c>
      <c r="B748" t="s">
        <v>12</v>
      </c>
      <c r="C748" t="s">
        <v>1774</v>
      </c>
      <c r="D748" t="s">
        <v>1775</v>
      </c>
      <c r="E748" s="1" t="s">
        <v>1776</v>
      </c>
      <c r="F748">
        <f>VLOOKUP(A748,Classifications!$A:$E,5,FALSE)</f>
        <v>1</v>
      </c>
      <c r="G748">
        <f>VLOOKUP(A748,Classifications!$A:$F,6,FALSE)</f>
        <v>1</v>
      </c>
      <c r="H748">
        <f>VLOOKUP(A748,Classifications!$A:$G,7,FALSE)</f>
        <v>41</v>
      </c>
      <c r="I748" t="s">
        <v>24</v>
      </c>
      <c r="J748" s="2">
        <v>44221.532129629632</v>
      </c>
    </row>
    <row r="749" spans="1:10" ht="12.75" customHeight="1" x14ac:dyDescent="0.3">
      <c r="A749">
        <v>1352620</v>
      </c>
      <c r="B749" t="s">
        <v>7</v>
      </c>
      <c r="C749" t="s">
        <v>366</v>
      </c>
      <c r="D749" t="s">
        <v>1777</v>
      </c>
      <c r="E749" s="1" t="s">
        <v>1778</v>
      </c>
      <c r="F749">
        <f>VLOOKUP(A749,Classifications!$A:$E,5,FALSE)</f>
        <v>1</v>
      </c>
      <c r="G749">
        <f>VLOOKUP(A749,Classifications!$A:$F,6,FALSE)</f>
        <v>2</v>
      </c>
      <c r="H749">
        <f>VLOOKUP(A749,Classifications!$A:$G,7,FALSE)</f>
        <v>41</v>
      </c>
      <c r="I749" t="s">
        <v>24</v>
      </c>
      <c r="J749" s="2">
        <v>44221.525462962964</v>
      </c>
    </row>
    <row r="750" spans="1:10" ht="12.75" customHeight="1" x14ac:dyDescent="0.3">
      <c r="A750">
        <v>1352617</v>
      </c>
      <c r="B750" t="s">
        <v>36</v>
      </c>
      <c r="C750" t="s">
        <v>37</v>
      </c>
      <c r="D750" t="s">
        <v>1779</v>
      </c>
      <c r="E750" s="1" t="s">
        <v>1780</v>
      </c>
      <c r="F750">
        <f>VLOOKUP(A750,Classifications!$A:$E,5,FALSE)</f>
        <v>1</v>
      </c>
      <c r="G750">
        <f>VLOOKUP(A750,Classifications!$A:$F,6,FALSE)</f>
        <v>1</v>
      </c>
      <c r="H750">
        <f>VLOOKUP(A750,Classifications!$A:$G,7,FALSE)</f>
        <v>36</v>
      </c>
      <c r="I750" t="s">
        <v>11</v>
      </c>
      <c r="J750" s="2">
        <v>44221.513136574074</v>
      </c>
    </row>
    <row r="751" spans="1:10" ht="12.75" customHeight="1" x14ac:dyDescent="0.3">
      <c r="A751">
        <v>1352612</v>
      </c>
      <c r="B751" t="s">
        <v>503</v>
      </c>
      <c r="D751" t="s">
        <v>735</v>
      </c>
      <c r="E751" s="1" t="s">
        <v>1781</v>
      </c>
      <c r="F751">
        <f>VLOOKUP(A751,Classifications!$A:$E,5,FALSE)</f>
        <v>1</v>
      </c>
      <c r="G751">
        <f>VLOOKUP(A751,Classifications!$A:$F,6,FALSE)</f>
        <v>1</v>
      </c>
      <c r="H751">
        <f>VLOOKUP(A751,Classifications!$A:$G,7,FALSE)</f>
        <v>36</v>
      </c>
      <c r="I751" t="s">
        <v>11</v>
      </c>
      <c r="J751" s="2">
        <v>44221.504374999997</v>
      </c>
    </row>
    <row r="752" spans="1:10" ht="12.75" customHeight="1" x14ac:dyDescent="0.3">
      <c r="A752">
        <v>1352611</v>
      </c>
      <c r="B752" t="s">
        <v>1782</v>
      </c>
      <c r="C752" t="s">
        <v>1783</v>
      </c>
      <c r="D752" t="s">
        <v>1784</v>
      </c>
      <c r="E752" s="1" t="s">
        <v>1785</v>
      </c>
      <c r="F752">
        <f>VLOOKUP(A752,Classifications!$A:$E,5,FALSE)</f>
        <v>1</v>
      </c>
      <c r="G752">
        <f>VLOOKUP(A752,Classifications!$A:$F,6,FALSE)</f>
        <v>1</v>
      </c>
      <c r="H752">
        <f>VLOOKUP(A752,Classifications!$A:$G,7,FALSE)</f>
        <v>36</v>
      </c>
      <c r="I752" t="s">
        <v>11</v>
      </c>
      <c r="J752" s="2">
        <v>44221.502430555556</v>
      </c>
    </row>
    <row r="753" spans="1:10" ht="12.75" customHeight="1" x14ac:dyDescent="0.3">
      <c r="A753">
        <v>1352608</v>
      </c>
      <c r="B753" t="s">
        <v>16</v>
      </c>
      <c r="C753" t="s">
        <v>394</v>
      </c>
      <c r="D753" t="s">
        <v>735</v>
      </c>
      <c r="E753" s="1" t="s">
        <v>1781</v>
      </c>
      <c r="F753">
        <f>VLOOKUP(A753,Classifications!$A:$E,5,FALSE)</f>
        <v>1</v>
      </c>
      <c r="G753">
        <f>VLOOKUP(A753,Classifications!$A:$F,6,FALSE)</f>
        <v>1</v>
      </c>
      <c r="H753">
        <f>VLOOKUP(A753,Classifications!$A:$G,7,FALSE)</f>
        <v>36</v>
      </c>
      <c r="I753" t="s">
        <v>11</v>
      </c>
      <c r="J753" s="2">
        <v>44221.501944444448</v>
      </c>
    </row>
    <row r="754" spans="1:10" ht="12.75" customHeight="1" x14ac:dyDescent="0.3">
      <c r="A754">
        <v>1352597</v>
      </c>
      <c r="B754" t="s">
        <v>431</v>
      </c>
      <c r="C754" t="s">
        <v>432</v>
      </c>
      <c r="D754" t="s">
        <v>1786</v>
      </c>
      <c r="E754" s="1" t="s">
        <v>1787</v>
      </c>
      <c r="F754">
        <f>VLOOKUP(A754,Classifications!$A:$E,5,FALSE)</f>
        <v>1</v>
      </c>
      <c r="G754">
        <f>VLOOKUP(A754,Classifications!$A:$F,6,FALSE)</f>
        <v>2</v>
      </c>
      <c r="H754">
        <f>VLOOKUP(A754,Classifications!$A:$G,7,FALSE)</f>
        <v>41</v>
      </c>
      <c r="I754" t="s">
        <v>11</v>
      </c>
      <c r="J754" s="2">
        <v>44221.482048611113</v>
      </c>
    </row>
    <row r="755" spans="1:10" ht="12.75" customHeight="1" x14ac:dyDescent="0.3">
      <c r="A755">
        <v>1352596</v>
      </c>
      <c r="B755" t="s">
        <v>63</v>
      </c>
      <c r="C755" t="s">
        <v>1524</v>
      </c>
      <c r="D755" t="s">
        <v>1788</v>
      </c>
      <c r="E755" s="1" t="s">
        <v>1789</v>
      </c>
      <c r="F755">
        <f>VLOOKUP(A755,Classifications!$A:$E,5,FALSE)</f>
        <v>1</v>
      </c>
      <c r="G755">
        <f>VLOOKUP(A755,Classifications!$A:$F,6,FALSE)</f>
        <v>2</v>
      </c>
      <c r="H755">
        <f>VLOOKUP(A755,Classifications!$A:$G,7,FALSE)</f>
        <v>41</v>
      </c>
      <c r="I755" t="s">
        <v>11</v>
      </c>
      <c r="J755" s="2">
        <v>44221.467106481483</v>
      </c>
    </row>
    <row r="756" spans="1:10" ht="12.75" customHeight="1" x14ac:dyDescent="0.3">
      <c r="A756">
        <v>1352595</v>
      </c>
      <c r="B756" t="s">
        <v>7</v>
      </c>
      <c r="C756" t="s">
        <v>1539</v>
      </c>
      <c r="D756" t="s">
        <v>1790</v>
      </c>
      <c r="E756" s="1" t="s">
        <v>1541</v>
      </c>
      <c r="F756">
        <f>VLOOKUP(A756,Classifications!$A:$E,5,FALSE)</f>
        <v>1</v>
      </c>
      <c r="G756">
        <f>VLOOKUP(A756,Classifications!$A:$F,6,FALSE)</f>
        <v>1</v>
      </c>
      <c r="H756">
        <f>VLOOKUP(A756,Classifications!$A:$G,7,FALSE)</f>
        <v>43</v>
      </c>
      <c r="I756" t="s">
        <v>11</v>
      </c>
      <c r="J756" s="2">
        <v>44221.46497685185</v>
      </c>
    </row>
    <row r="757" spans="1:10" ht="12.75" customHeight="1" x14ac:dyDescent="0.3">
      <c r="A757">
        <v>1352594</v>
      </c>
      <c r="B757" t="s">
        <v>489</v>
      </c>
      <c r="C757" t="s">
        <v>1791</v>
      </c>
      <c r="D757" t="s">
        <v>1792</v>
      </c>
      <c r="E757" s="1" t="s">
        <v>1793</v>
      </c>
      <c r="F757">
        <f>VLOOKUP(A757,Classifications!$A:$E,5,FALSE)</f>
        <v>1</v>
      </c>
      <c r="G757">
        <f>VLOOKUP(A757,Classifications!$A:$F,6,FALSE)</f>
        <v>1</v>
      </c>
      <c r="H757">
        <f>VLOOKUP(A757,Classifications!$A:$G,7,FALSE)</f>
        <v>43</v>
      </c>
      <c r="I757" t="s">
        <v>11</v>
      </c>
      <c r="J757" s="2">
        <v>44221.462372685186</v>
      </c>
    </row>
    <row r="758" spans="1:10" ht="12.75" customHeight="1" x14ac:dyDescent="0.3">
      <c r="A758">
        <v>1352592</v>
      </c>
      <c r="B758" t="s">
        <v>16</v>
      </c>
      <c r="C758" t="s">
        <v>1794</v>
      </c>
      <c r="D758" t="s">
        <v>1795</v>
      </c>
      <c r="E758" s="1" t="s">
        <v>1796</v>
      </c>
      <c r="F758">
        <f>VLOOKUP(A758,Classifications!$A:$E,5,FALSE)</f>
        <v>1</v>
      </c>
      <c r="G758">
        <f>VLOOKUP(A758,Classifications!$A:$F,6,FALSE)</f>
        <v>2</v>
      </c>
      <c r="H758">
        <f>VLOOKUP(A758,Classifications!$A:$G,7,FALSE)</f>
        <v>43</v>
      </c>
      <c r="I758" t="s">
        <v>11</v>
      </c>
      <c r="J758" s="2">
        <v>44221.460312499999</v>
      </c>
    </row>
    <row r="759" spans="1:10" ht="12.75" customHeight="1" x14ac:dyDescent="0.3">
      <c r="A759">
        <v>1352578</v>
      </c>
      <c r="B759" t="s">
        <v>150</v>
      </c>
      <c r="C759" t="s">
        <v>1797</v>
      </c>
      <c r="D759" t="s">
        <v>1798</v>
      </c>
      <c r="E759" s="1" t="s">
        <v>1799</v>
      </c>
      <c r="F759">
        <f>VLOOKUP(A759,Classifications!$A:$E,5,FALSE)</f>
        <v>1</v>
      </c>
      <c r="G759">
        <f>VLOOKUP(A759,Classifications!$A:$F,6,FALSE)</f>
        <v>2</v>
      </c>
      <c r="H759">
        <f>VLOOKUP(A759,Classifications!$A:$G,7,FALSE)</f>
        <v>41</v>
      </c>
      <c r="I759" t="s">
        <v>24</v>
      </c>
      <c r="J759" s="2">
        <v>44221.43240740741</v>
      </c>
    </row>
    <row r="760" spans="1:10" ht="12.75" customHeight="1" x14ac:dyDescent="0.3">
      <c r="A760">
        <v>1352576</v>
      </c>
      <c r="B760" t="s">
        <v>118</v>
      </c>
      <c r="C760" t="s">
        <v>200</v>
      </c>
      <c r="D760" t="s">
        <v>1800</v>
      </c>
      <c r="E760" s="1" t="s">
        <v>1801</v>
      </c>
      <c r="F760">
        <f>VLOOKUP(A760,Classifications!$A:$E,5,FALSE)</f>
        <v>1</v>
      </c>
      <c r="G760">
        <f>VLOOKUP(A760,Classifications!$A:$F,6,FALSE)</f>
        <v>2</v>
      </c>
      <c r="H760">
        <f>VLOOKUP(A760,Classifications!$A:$G,7,FALSE)</f>
        <v>41</v>
      </c>
      <c r="I760" t="s">
        <v>11</v>
      </c>
      <c r="J760" s="2">
        <v>44221.429629629631</v>
      </c>
    </row>
    <row r="761" spans="1:10" ht="12.75" customHeight="1" x14ac:dyDescent="0.3">
      <c r="A761">
        <v>1352575</v>
      </c>
      <c r="B761" t="s">
        <v>36</v>
      </c>
      <c r="C761" t="s">
        <v>589</v>
      </c>
      <c r="D761" t="s">
        <v>1802</v>
      </c>
      <c r="E761" s="1" t="s">
        <v>1803</v>
      </c>
      <c r="F761">
        <f>VLOOKUP(A761,Classifications!$A:$E,5,FALSE)</f>
        <v>3</v>
      </c>
      <c r="G761">
        <f>VLOOKUP(A761,Classifications!$A:$F,6,FALSE)</f>
        <v>1</v>
      </c>
      <c r="H761">
        <f>VLOOKUP(A761,Classifications!$A:$G,7,FALSE)</f>
        <v>41</v>
      </c>
      <c r="I761" t="s">
        <v>11</v>
      </c>
      <c r="J761" s="2">
        <v>44221.424120370371</v>
      </c>
    </row>
    <row r="762" spans="1:10" ht="12.75" customHeight="1" x14ac:dyDescent="0.3">
      <c r="A762">
        <v>1352546</v>
      </c>
      <c r="B762" t="s">
        <v>746</v>
      </c>
      <c r="C762" t="s">
        <v>1203</v>
      </c>
      <c r="D762" t="s">
        <v>1804</v>
      </c>
      <c r="E762" s="1" t="s">
        <v>1805</v>
      </c>
      <c r="F762">
        <f>VLOOKUP(A762,Classifications!$A:$E,5,FALSE)</f>
        <v>1</v>
      </c>
      <c r="G762">
        <f>VLOOKUP(A762,Classifications!$A:$F,6,FALSE)</f>
        <v>1</v>
      </c>
      <c r="H762">
        <f>VLOOKUP(A762,Classifications!$A:$G,7,FALSE)</f>
        <v>41</v>
      </c>
      <c r="I762" t="s">
        <v>11</v>
      </c>
      <c r="J762" s="2">
        <v>44221.41611111111</v>
      </c>
    </row>
    <row r="763" spans="1:10" ht="12.75" customHeight="1" x14ac:dyDescent="0.3">
      <c r="A763">
        <v>1352543</v>
      </c>
      <c r="B763" t="s">
        <v>74</v>
      </c>
      <c r="C763" t="s">
        <v>1806</v>
      </c>
      <c r="D763" t="s">
        <v>1807</v>
      </c>
      <c r="E763" s="1" t="s">
        <v>1808</v>
      </c>
      <c r="F763">
        <f>VLOOKUP(A763,Classifications!$A:$E,5,FALSE)</f>
        <v>1</v>
      </c>
      <c r="G763">
        <f>VLOOKUP(A763,Classifications!$A:$F,6,FALSE)</f>
        <v>3</v>
      </c>
      <c r="H763">
        <f>VLOOKUP(A763,Classifications!$A:$G,7,FALSE)</f>
        <v>43</v>
      </c>
      <c r="I763" t="s">
        <v>11</v>
      </c>
      <c r="J763" s="2">
        <v>44221.407754629632</v>
      </c>
    </row>
    <row r="764" spans="1:10" ht="12.75" customHeight="1" x14ac:dyDescent="0.3">
      <c r="A764">
        <v>1352538</v>
      </c>
      <c r="B764" t="s">
        <v>36</v>
      </c>
      <c r="C764" t="s">
        <v>124</v>
      </c>
      <c r="D764" t="s">
        <v>1809</v>
      </c>
      <c r="E764" s="1" t="s">
        <v>1810</v>
      </c>
      <c r="F764">
        <f>VLOOKUP(A764,Classifications!$A:$E,5,FALSE)</f>
        <v>1</v>
      </c>
      <c r="G764">
        <f>VLOOKUP(A764,Classifications!$A:$F,6,FALSE)</f>
        <v>3</v>
      </c>
      <c r="H764">
        <f>VLOOKUP(A764,Classifications!$A:$G,7,FALSE)</f>
        <v>41</v>
      </c>
      <c r="I764" t="s">
        <v>24</v>
      </c>
      <c r="J764" s="2">
        <v>44221.404317129629</v>
      </c>
    </row>
    <row r="765" spans="1:10" ht="12.75" customHeight="1" x14ac:dyDescent="0.3">
      <c r="A765">
        <v>1352534</v>
      </c>
      <c r="B765" t="s">
        <v>746</v>
      </c>
      <c r="C765" t="s">
        <v>1811</v>
      </c>
      <c r="D765" t="s">
        <v>1812</v>
      </c>
      <c r="E765" s="1" t="s">
        <v>1813</v>
      </c>
      <c r="F765">
        <f>VLOOKUP(A765,Classifications!$A:$E,5,FALSE)</f>
        <v>1</v>
      </c>
      <c r="G765">
        <f>VLOOKUP(A765,Classifications!$A:$F,6,FALSE)</f>
        <v>1</v>
      </c>
      <c r="H765">
        <f>VLOOKUP(A765,Classifications!$A:$G,7,FALSE)</f>
        <v>41</v>
      </c>
      <c r="I765" t="s">
        <v>11</v>
      </c>
      <c r="J765" s="2">
        <v>44221.401620370372</v>
      </c>
    </row>
    <row r="766" spans="1:10" ht="12.75" customHeight="1" x14ac:dyDescent="0.3">
      <c r="A766">
        <v>1352533</v>
      </c>
      <c r="B766" t="s">
        <v>7</v>
      </c>
      <c r="C766" t="s">
        <v>158</v>
      </c>
      <c r="D766" t="s">
        <v>737</v>
      </c>
      <c r="E766" s="1" t="s">
        <v>1814</v>
      </c>
      <c r="F766">
        <f>VLOOKUP(A766,Classifications!$A:$E,5,FALSE)</f>
        <v>1</v>
      </c>
      <c r="G766">
        <f>VLOOKUP(A766,Classifications!$A:$F,6,FALSE)</f>
        <v>1</v>
      </c>
      <c r="H766">
        <f>VLOOKUP(A766,Classifications!$A:$G,7,FALSE)</f>
        <v>41</v>
      </c>
      <c r="I766" t="s">
        <v>11</v>
      </c>
      <c r="J766" s="2">
        <v>44221.398773148147</v>
      </c>
    </row>
    <row r="767" spans="1:10" ht="12.75" customHeight="1" x14ac:dyDescent="0.3">
      <c r="A767">
        <v>1352530</v>
      </c>
      <c r="B767" t="s">
        <v>53</v>
      </c>
      <c r="C767" t="s">
        <v>54</v>
      </c>
      <c r="D767" t="s">
        <v>1815</v>
      </c>
      <c r="E767" s="1" t="s">
        <v>1816</v>
      </c>
      <c r="F767">
        <f>VLOOKUP(A767,Classifications!$A:$E,5,FALSE)</f>
        <v>2</v>
      </c>
      <c r="G767">
        <f>VLOOKUP(A767,Classifications!$A:$F,6,FALSE)</f>
        <v>3</v>
      </c>
      <c r="H767">
        <f>VLOOKUP(A767,Classifications!$A:$G,7,FALSE)</f>
        <v>43</v>
      </c>
      <c r="I767" t="s">
        <v>11</v>
      </c>
      <c r="J767" s="2">
        <v>44221.395590277774</v>
      </c>
    </row>
    <row r="768" spans="1:10" ht="12.75" customHeight="1" x14ac:dyDescent="0.3">
      <c r="A768">
        <v>1352529</v>
      </c>
      <c r="B768" t="s">
        <v>91</v>
      </c>
      <c r="C768" t="s">
        <v>305</v>
      </c>
      <c r="D768" t="s">
        <v>1817</v>
      </c>
      <c r="E768" s="1" t="s">
        <v>1818</v>
      </c>
      <c r="F768">
        <f>VLOOKUP(A768,Classifications!$A:$E,5,FALSE)</f>
        <v>1</v>
      </c>
      <c r="G768">
        <f>VLOOKUP(A768,Classifications!$A:$F,6,FALSE)</f>
        <v>2</v>
      </c>
      <c r="H768">
        <f>VLOOKUP(A768,Classifications!$A:$G,7,FALSE)</f>
        <v>41</v>
      </c>
      <c r="I768" t="s">
        <v>11</v>
      </c>
      <c r="J768" s="2">
        <v>44221.394375000003</v>
      </c>
    </row>
    <row r="769" spans="1:10" ht="12.75" customHeight="1" x14ac:dyDescent="0.3">
      <c r="A769">
        <v>1352526</v>
      </c>
      <c r="B769" t="s">
        <v>118</v>
      </c>
      <c r="C769" t="s">
        <v>200</v>
      </c>
      <c r="D769" t="s">
        <v>1819</v>
      </c>
      <c r="E769" s="1" t="s">
        <v>1820</v>
      </c>
      <c r="F769">
        <f>VLOOKUP(A769,Classifications!$A:$E,5,FALSE)</f>
        <v>1</v>
      </c>
      <c r="G769">
        <f>VLOOKUP(A769,Classifications!$A:$F,6,FALSE)</f>
        <v>1</v>
      </c>
      <c r="H769">
        <f>VLOOKUP(A769,Classifications!$A:$G,7,FALSE)</f>
        <v>43</v>
      </c>
      <c r="I769" t="s">
        <v>11</v>
      </c>
      <c r="J769" s="2">
        <v>44221.388923611114</v>
      </c>
    </row>
    <row r="770" spans="1:10" ht="12.75" customHeight="1" x14ac:dyDescent="0.3">
      <c r="A770">
        <v>1352524</v>
      </c>
      <c r="B770" t="s">
        <v>157</v>
      </c>
      <c r="C770" t="s">
        <v>158</v>
      </c>
      <c r="D770" t="s">
        <v>1821</v>
      </c>
      <c r="E770" s="1" t="s">
        <v>1822</v>
      </c>
      <c r="F770">
        <f>VLOOKUP(A770,Classifications!$A:$E,5,FALSE)</f>
        <v>1</v>
      </c>
      <c r="G770">
        <f>VLOOKUP(A770,Classifications!$A:$F,6,FALSE)</f>
        <v>2</v>
      </c>
      <c r="H770">
        <f>VLOOKUP(A770,Classifications!$A:$G,7,FALSE)</f>
        <v>43</v>
      </c>
      <c r="I770" t="s">
        <v>11</v>
      </c>
      <c r="J770" s="2">
        <v>44221.385625000003</v>
      </c>
    </row>
    <row r="771" spans="1:10" ht="12.75" customHeight="1" x14ac:dyDescent="0.3">
      <c r="A771">
        <v>1352523</v>
      </c>
      <c r="B771" t="s">
        <v>91</v>
      </c>
      <c r="C771" t="s">
        <v>954</v>
      </c>
      <c r="D771" t="s">
        <v>1823</v>
      </c>
      <c r="E771" s="1" t="s">
        <v>1824</v>
      </c>
      <c r="F771">
        <f>VLOOKUP(A771,Classifications!$A:$E,5,FALSE)</f>
        <v>1</v>
      </c>
      <c r="G771">
        <f>VLOOKUP(A771,Classifications!$A:$F,6,FALSE)</f>
        <v>2</v>
      </c>
      <c r="H771">
        <f>VLOOKUP(A771,Classifications!$A:$G,7,FALSE)</f>
        <v>41</v>
      </c>
      <c r="I771" t="s">
        <v>11</v>
      </c>
      <c r="J771" s="2">
        <v>44221.383368055554</v>
      </c>
    </row>
    <row r="772" spans="1:10" ht="12.75" customHeight="1" x14ac:dyDescent="0.3">
      <c r="A772">
        <v>1352521</v>
      </c>
      <c r="B772" t="s">
        <v>1825</v>
      </c>
      <c r="C772" t="s">
        <v>1826</v>
      </c>
      <c r="D772" t="s">
        <v>1827</v>
      </c>
      <c r="E772" s="1" t="s">
        <v>1828</v>
      </c>
      <c r="F772">
        <f>VLOOKUP(A772,Classifications!$A:$E,5,FALSE)</f>
        <v>3</v>
      </c>
      <c r="G772">
        <f>VLOOKUP(A772,Classifications!$A:$F,6,FALSE)</f>
        <v>2</v>
      </c>
      <c r="H772">
        <f>VLOOKUP(A772,Classifications!$A:$G,7,FALSE)</f>
        <v>43</v>
      </c>
      <c r="I772" t="s">
        <v>11</v>
      </c>
      <c r="J772" s="2">
        <v>44221.380381944444</v>
      </c>
    </row>
    <row r="773" spans="1:10" ht="12.75" customHeight="1" x14ac:dyDescent="0.3">
      <c r="A773">
        <v>1352514</v>
      </c>
      <c r="B773" t="s">
        <v>12</v>
      </c>
      <c r="C773" t="s">
        <v>1829</v>
      </c>
      <c r="D773" t="s">
        <v>1830</v>
      </c>
      <c r="E773" s="1" t="s">
        <v>1831</v>
      </c>
      <c r="F773">
        <f>VLOOKUP(A773,Classifications!$A:$E,5,FALSE)</f>
        <v>1</v>
      </c>
      <c r="G773">
        <f>VLOOKUP(A773,Classifications!$A:$F,6,FALSE)</f>
        <v>1</v>
      </c>
      <c r="H773">
        <f>VLOOKUP(A773,Classifications!$A:$G,7,FALSE)</f>
        <v>43</v>
      </c>
      <c r="I773" t="s">
        <v>11</v>
      </c>
      <c r="J773" s="2">
        <v>44221.369293981479</v>
      </c>
    </row>
    <row r="774" spans="1:10" ht="12.75" customHeight="1" x14ac:dyDescent="0.3">
      <c r="A774">
        <v>1352512</v>
      </c>
      <c r="B774" t="s">
        <v>222</v>
      </c>
      <c r="C774" t="s">
        <v>1832</v>
      </c>
      <c r="D774" t="s">
        <v>1833</v>
      </c>
      <c r="E774" s="1" t="s">
        <v>1834</v>
      </c>
      <c r="F774">
        <f>VLOOKUP(A774,Classifications!$A:$E,5,FALSE)</f>
        <v>1</v>
      </c>
      <c r="G774">
        <f>VLOOKUP(A774,Classifications!$A:$F,6,FALSE)</f>
        <v>1</v>
      </c>
      <c r="H774">
        <f>VLOOKUP(A774,Classifications!$A:$G,7,FALSE)</f>
        <v>41</v>
      </c>
      <c r="I774" t="s">
        <v>11</v>
      </c>
      <c r="J774" s="2">
        <v>44221.36787037037</v>
      </c>
    </row>
    <row r="775" spans="1:10" ht="12.75" customHeight="1" x14ac:dyDescent="0.3">
      <c r="A775">
        <v>1352507</v>
      </c>
      <c r="B775" t="s">
        <v>435</v>
      </c>
      <c r="C775" t="s">
        <v>436</v>
      </c>
      <c r="D775" t="s">
        <v>1835</v>
      </c>
      <c r="E775" s="1" t="s">
        <v>1836</v>
      </c>
      <c r="F775">
        <f>VLOOKUP(A775,Classifications!$A:$E,5,FALSE)</f>
        <v>1</v>
      </c>
      <c r="G775">
        <f>VLOOKUP(A775,Classifications!$A:$F,6,FALSE)</f>
        <v>3</v>
      </c>
      <c r="H775">
        <f>VLOOKUP(A775,Classifications!$A:$G,7,FALSE)</f>
        <v>41</v>
      </c>
      <c r="I775" t="s">
        <v>11</v>
      </c>
      <c r="J775" s="2">
        <v>44221.364918981482</v>
      </c>
    </row>
    <row r="776" spans="1:10" ht="12.75" customHeight="1" x14ac:dyDescent="0.3">
      <c r="A776">
        <v>1352504</v>
      </c>
      <c r="B776" t="s">
        <v>297</v>
      </c>
      <c r="C776" t="s">
        <v>1837</v>
      </c>
      <c r="D776" t="s">
        <v>1838</v>
      </c>
      <c r="E776" s="1" t="s">
        <v>1839</v>
      </c>
      <c r="F776">
        <f>VLOOKUP(A776,Classifications!$A:$E,5,FALSE)</f>
        <v>1</v>
      </c>
      <c r="G776">
        <f>VLOOKUP(A776,Classifications!$A:$F,6,FALSE)</f>
        <v>1</v>
      </c>
      <c r="H776">
        <f>VLOOKUP(A776,Classifications!$A:$G,7,FALSE)</f>
        <v>43</v>
      </c>
      <c r="I776" t="s">
        <v>188</v>
      </c>
      <c r="J776" s="2">
        <v>44221.362118055556</v>
      </c>
    </row>
    <row r="777" spans="1:10" ht="12.75" customHeight="1" x14ac:dyDescent="0.3">
      <c r="A777">
        <v>1352500</v>
      </c>
      <c r="B777" t="s">
        <v>1197</v>
      </c>
      <c r="C777" t="s">
        <v>1233</v>
      </c>
      <c r="D777" t="s">
        <v>1840</v>
      </c>
      <c r="E777" s="1" t="s">
        <v>1841</v>
      </c>
      <c r="F777">
        <f>VLOOKUP(A777,Classifications!$A:$E,5,FALSE)</f>
        <v>2</v>
      </c>
      <c r="G777">
        <f>VLOOKUP(A777,Classifications!$A:$F,6,FALSE)</f>
        <v>1</v>
      </c>
      <c r="H777">
        <f>VLOOKUP(A777,Classifications!$A:$G,7,FALSE)</f>
        <v>41</v>
      </c>
      <c r="I777" t="s">
        <v>11</v>
      </c>
      <c r="J777" s="2">
        <v>44221.354525462964</v>
      </c>
    </row>
    <row r="778" spans="1:10" ht="12.75" customHeight="1" x14ac:dyDescent="0.3">
      <c r="A778">
        <v>1352495</v>
      </c>
      <c r="B778" t="s">
        <v>91</v>
      </c>
      <c r="C778" t="s">
        <v>1842</v>
      </c>
      <c r="D778" t="s">
        <v>1843</v>
      </c>
      <c r="E778" s="1" t="s">
        <v>1844</v>
      </c>
      <c r="F778">
        <f>VLOOKUP(A778,Classifications!$A:$E,5,FALSE)</f>
        <v>1</v>
      </c>
      <c r="G778">
        <f>VLOOKUP(A778,Classifications!$A:$F,6,FALSE)</f>
        <v>3</v>
      </c>
      <c r="H778">
        <f>VLOOKUP(A778,Classifications!$A:$G,7,FALSE)</f>
        <v>41</v>
      </c>
      <c r="I778" t="s">
        <v>11</v>
      </c>
      <c r="J778" s="2">
        <v>44221.350972222222</v>
      </c>
    </row>
    <row r="779" spans="1:10" ht="12.75" customHeight="1" x14ac:dyDescent="0.3">
      <c r="A779">
        <v>1352494</v>
      </c>
      <c r="B779" t="s">
        <v>1105</v>
      </c>
      <c r="C779" t="s">
        <v>1845</v>
      </c>
      <c r="D779" t="s">
        <v>1846</v>
      </c>
      <c r="E779" s="1" t="s">
        <v>1847</v>
      </c>
      <c r="F779">
        <f>VLOOKUP(A779,Classifications!$A:$E,5,FALSE)</f>
        <v>1</v>
      </c>
      <c r="G779">
        <f>VLOOKUP(A779,Classifications!$A:$F,6,FALSE)</f>
        <v>3</v>
      </c>
      <c r="H779">
        <f>VLOOKUP(A779,Classifications!$A:$G,7,FALSE)</f>
        <v>43</v>
      </c>
      <c r="I779" t="s">
        <v>11</v>
      </c>
      <c r="J779" s="2">
        <v>44221.347905092596</v>
      </c>
    </row>
    <row r="780" spans="1:10" ht="12.75" customHeight="1" x14ac:dyDescent="0.3">
      <c r="A780">
        <v>1352487</v>
      </c>
      <c r="B780" t="s">
        <v>139</v>
      </c>
      <c r="C780" t="s">
        <v>140</v>
      </c>
      <c r="D780" t="s">
        <v>1848</v>
      </c>
      <c r="E780" s="1" t="s">
        <v>1849</v>
      </c>
      <c r="F780">
        <f>VLOOKUP(A780,Classifications!$A:$E,5,FALSE)</f>
        <v>1</v>
      </c>
      <c r="G780">
        <f>VLOOKUP(A780,Classifications!$A:$F,6,FALSE)</f>
        <v>1</v>
      </c>
      <c r="H780">
        <f>VLOOKUP(A780,Classifications!$A:$G,7,FALSE)</f>
        <v>43</v>
      </c>
      <c r="I780" t="s">
        <v>11</v>
      </c>
      <c r="J780" s="2">
        <v>44221.336770833332</v>
      </c>
    </row>
    <row r="781" spans="1:10" ht="12.75" customHeight="1" x14ac:dyDescent="0.3">
      <c r="A781">
        <v>1352460</v>
      </c>
      <c r="B781" t="s">
        <v>435</v>
      </c>
      <c r="C781" t="s">
        <v>436</v>
      </c>
      <c r="D781" t="s">
        <v>1835</v>
      </c>
      <c r="E781" s="1" t="s">
        <v>1850</v>
      </c>
      <c r="F781">
        <f>VLOOKUP(A781,Classifications!$A:$E,5,FALSE)</f>
        <v>1</v>
      </c>
      <c r="G781">
        <f>VLOOKUP(A781,Classifications!$A:$F,6,FALSE)</f>
        <v>1</v>
      </c>
      <c r="H781">
        <f>VLOOKUP(A781,Classifications!$A:$G,7,FALSE)</f>
        <v>43</v>
      </c>
      <c r="I781" t="s">
        <v>11</v>
      </c>
      <c r="J781" s="2">
        <v>44221.286087962966</v>
      </c>
    </row>
    <row r="782" spans="1:10" ht="12.75" customHeight="1" x14ac:dyDescent="0.3">
      <c r="A782">
        <v>1352374</v>
      </c>
      <c r="B782" t="s">
        <v>1851</v>
      </c>
      <c r="C782" t="s">
        <v>1852</v>
      </c>
      <c r="D782" t="s">
        <v>1323</v>
      </c>
      <c r="E782" t="s">
        <v>1324</v>
      </c>
      <c r="F782">
        <f>VLOOKUP(A782,Classifications!$A:$E,5,FALSE)</f>
        <v>1</v>
      </c>
      <c r="G782">
        <f>VLOOKUP(A782,Classifications!$A:$F,6,FALSE)</f>
        <v>1</v>
      </c>
      <c r="H782">
        <f>VLOOKUP(A782,Classifications!$A:$G,7,FALSE)</f>
        <v>36</v>
      </c>
      <c r="I782" t="s">
        <v>1158</v>
      </c>
      <c r="J782" s="2">
        <v>44221.000069444446</v>
      </c>
    </row>
    <row r="783" spans="1:10" ht="12.75" customHeight="1" x14ac:dyDescent="0.3">
      <c r="A783">
        <v>1352164</v>
      </c>
      <c r="B783" t="s">
        <v>32</v>
      </c>
      <c r="C783" t="s">
        <v>1147</v>
      </c>
      <c r="D783" t="s">
        <v>1853</v>
      </c>
      <c r="E783" s="1" t="s">
        <v>1854</v>
      </c>
      <c r="F783">
        <f>VLOOKUP(A783,Classifications!$A:$E,5,FALSE)</f>
        <v>1</v>
      </c>
      <c r="G783">
        <f>VLOOKUP(A783,Classifications!$A:$F,6,FALSE)</f>
        <v>1</v>
      </c>
      <c r="H783">
        <f>VLOOKUP(A783,Classifications!$A:$G,7,FALSE)</f>
        <v>41</v>
      </c>
      <c r="I783" t="s">
        <v>11</v>
      </c>
      <c r="J783" s="2">
        <v>44220.677812499998</v>
      </c>
    </row>
    <row r="784" spans="1:10" ht="12.75" customHeight="1" x14ac:dyDescent="0.3">
      <c r="A784">
        <v>1352139</v>
      </c>
      <c r="B784" t="s">
        <v>91</v>
      </c>
      <c r="C784" t="s">
        <v>1855</v>
      </c>
      <c r="D784" t="s">
        <v>1856</v>
      </c>
      <c r="E784" s="1" t="s">
        <v>1857</v>
      </c>
      <c r="F784">
        <f>VLOOKUP(A784,Classifications!$A:$E,5,FALSE)</f>
        <v>1</v>
      </c>
      <c r="G784">
        <f>VLOOKUP(A784,Classifications!$A:$F,6,FALSE)</f>
        <v>1</v>
      </c>
      <c r="H784">
        <f>VLOOKUP(A784,Classifications!$A:$G,7,FALSE)</f>
        <v>43</v>
      </c>
      <c r="I784" t="s">
        <v>11</v>
      </c>
      <c r="J784" s="2">
        <v>44220.512141203704</v>
      </c>
    </row>
    <row r="785" spans="1:10" ht="12.75" customHeight="1" x14ac:dyDescent="0.3">
      <c r="A785">
        <v>1352134</v>
      </c>
      <c r="B785" t="s">
        <v>12</v>
      </c>
      <c r="C785" t="s">
        <v>1774</v>
      </c>
      <c r="D785" t="s">
        <v>1858</v>
      </c>
      <c r="E785" s="1" t="s">
        <v>1859</v>
      </c>
      <c r="F785">
        <f>VLOOKUP(A785,Classifications!$A:$E,5,FALSE)</f>
        <v>1</v>
      </c>
      <c r="G785">
        <f>VLOOKUP(A785,Classifications!$A:$F,6,FALSE)</f>
        <v>2</v>
      </c>
      <c r="H785">
        <f>VLOOKUP(A785,Classifications!$A:$G,7,FALSE)</f>
        <v>43</v>
      </c>
      <c r="I785" t="s">
        <v>11</v>
      </c>
      <c r="J785" s="2">
        <v>44220.488981481481</v>
      </c>
    </row>
    <row r="786" spans="1:10" ht="12.75" customHeight="1" x14ac:dyDescent="0.3">
      <c r="A786">
        <v>1351966</v>
      </c>
      <c r="B786" t="s">
        <v>16</v>
      </c>
      <c r="C786" t="s">
        <v>181</v>
      </c>
      <c r="D786" t="s">
        <v>1325</v>
      </c>
      <c r="E786" s="1" t="s">
        <v>1326</v>
      </c>
      <c r="F786">
        <f>VLOOKUP(A786,Classifications!$A:$E,5,FALSE)</f>
        <v>1</v>
      </c>
      <c r="G786">
        <f>VLOOKUP(A786,Classifications!$A:$F,6,FALSE)</f>
        <v>1</v>
      </c>
      <c r="H786">
        <f>VLOOKUP(A786,Classifications!$A:$G,7,FALSE)</f>
        <v>36</v>
      </c>
      <c r="I786" t="s">
        <v>1158</v>
      </c>
      <c r="J786" s="2">
        <v>44220.000081018516</v>
      </c>
    </row>
    <row r="787" spans="1:10" ht="12.75" customHeight="1" x14ac:dyDescent="0.3">
      <c r="A787">
        <v>1351965</v>
      </c>
      <c r="B787" t="s">
        <v>1714</v>
      </c>
      <c r="C787" t="s">
        <v>1715</v>
      </c>
      <c r="D787" t="s">
        <v>1325</v>
      </c>
      <c r="E787" s="1" t="s">
        <v>1326</v>
      </c>
      <c r="F787">
        <f>VLOOKUP(A787,Classifications!$A:$E,5,FALSE)</f>
        <v>1</v>
      </c>
      <c r="G787">
        <f>VLOOKUP(A787,Classifications!$A:$F,6,FALSE)</f>
        <v>1</v>
      </c>
      <c r="H787">
        <f>VLOOKUP(A787,Classifications!$A:$G,7,FALSE)</f>
        <v>36</v>
      </c>
      <c r="I787" t="s">
        <v>1158</v>
      </c>
      <c r="J787" s="2">
        <v>44220.000081018516</v>
      </c>
    </row>
    <row r="788" spans="1:10" ht="12.75" customHeight="1" x14ac:dyDescent="0.3">
      <c r="A788">
        <v>1351964</v>
      </c>
      <c r="B788" t="s">
        <v>1714</v>
      </c>
      <c r="C788" t="s">
        <v>1715</v>
      </c>
      <c r="D788" t="s">
        <v>1325</v>
      </c>
      <c r="E788" s="1" t="s">
        <v>1326</v>
      </c>
      <c r="F788">
        <f>VLOOKUP(A788,Classifications!$A:$E,5,FALSE)</f>
        <v>1</v>
      </c>
      <c r="G788">
        <f>VLOOKUP(A788,Classifications!$A:$F,6,FALSE)</f>
        <v>1</v>
      </c>
      <c r="H788">
        <f>VLOOKUP(A788,Classifications!$A:$G,7,FALSE)</f>
        <v>36</v>
      </c>
      <c r="I788" t="s">
        <v>1158</v>
      </c>
      <c r="J788" s="2">
        <v>44220.000069444446</v>
      </c>
    </row>
    <row r="789" spans="1:10" ht="12.75" customHeight="1" x14ac:dyDescent="0.3">
      <c r="A789">
        <v>1351963</v>
      </c>
      <c r="B789" t="s">
        <v>1860</v>
      </c>
      <c r="C789" t="s">
        <v>1861</v>
      </c>
      <c r="D789" t="s">
        <v>1429</v>
      </c>
      <c r="E789" s="1" t="s">
        <v>1160</v>
      </c>
      <c r="F789">
        <f>VLOOKUP(A789,Classifications!$A:$E,5,FALSE)</f>
        <v>1</v>
      </c>
      <c r="G789">
        <f>VLOOKUP(A789,Classifications!$A:$F,6,FALSE)</f>
        <v>1</v>
      </c>
      <c r="H789">
        <f>VLOOKUP(A789,Classifications!$A:$G,7,FALSE)</f>
        <v>36</v>
      </c>
      <c r="I789" t="s">
        <v>1158</v>
      </c>
      <c r="J789" s="2">
        <v>44220.000057870369</v>
      </c>
    </row>
    <row r="790" spans="1:10" ht="12.75" customHeight="1" x14ac:dyDescent="0.3">
      <c r="A790">
        <v>1351962</v>
      </c>
      <c r="B790" t="s">
        <v>277</v>
      </c>
      <c r="C790" t="s">
        <v>816</v>
      </c>
      <c r="D790" t="s">
        <v>1429</v>
      </c>
      <c r="E790" s="1" t="s">
        <v>1160</v>
      </c>
      <c r="F790">
        <f>VLOOKUP(A790,Classifications!$A:$E,5,FALSE)</f>
        <v>1</v>
      </c>
      <c r="G790">
        <f>VLOOKUP(A790,Classifications!$A:$F,6,FALSE)</f>
        <v>1</v>
      </c>
      <c r="H790">
        <f>VLOOKUP(A790,Classifications!$A:$G,7,FALSE)</f>
        <v>36</v>
      </c>
      <c r="I790" t="s">
        <v>1158</v>
      </c>
      <c r="J790" s="2">
        <v>44220.000057870369</v>
      </c>
    </row>
    <row r="791" spans="1:10" ht="12.75" customHeight="1" x14ac:dyDescent="0.3">
      <c r="A791">
        <v>1351768</v>
      </c>
      <c r="B791" t="s">
        <v>12</v>
      </c>
      <c r="C791" t="s">
        <v>161</v>
      </c>
      <c r="D791" t="s">
        <v>1862</v>
      </c>
      <c r="E791" s="1" t="s">
        <v>1863</v>
      </c>
      <c r="F791">
        <f>VLOOKUP(A791,Classifications!$A:$E,5,FALSE)</f>
        <v>1</v>
      </c>
      <c r="G791">
        <f>VLOOKUP(A791,Classifications!$A:$F,6,FALSE)</f>
        <v>1</v>
      </c>
      <c r="H791">
        <f>VLOOKUP(A791,Classifications!$A:$G,7,FALSE)</f>
        <v>43</v>
      </c>
      <c r="I791" t="s">
        <v>11</v>
      </c>
      <c r="J791" s="2">
        <v>44219.433240740742</v>
      </c>
    </row>
    <row r="792" spans="1:10" ht="12.75" customHeight="1" x14ac:dyDescent="0.3">
      <c r="A792">
        <v>1351742</v>
      </c>
      <c r="B792" t="s">
        <v>12</v>
      </c>
      <c r="C792" t="s">
        <v>1864</v>
      </c>
      <c r="D792" t="s">
        <v>1865</v>
      </c>
      <c r="E792" s="1" t="s">
        <v>1866</v>
      </c>
      <c r="F792">
        <f>VLOOKUP(A792,Classifications!$A:$E,5,FALSE)</f>
        <v>1</v>
      </c>
      <c r="G792">
        <f>VLOOKUP(A792,Classifications!$A:$F,6,FALSE)</f>
        <v>1</v>
      </c>
      <c r="H792">
        <f>VLOOKUP(A792,Classifications!$A:$G,7,FALSE)</f>
        <v>43</v>
      </c>
      <c r="I792" t="s">
        <v>11</v>
      </c>
      <c r="J792" s="2">
        <v>44219.407511574071</v>
      </c>
    </row>
    <row r="793" spans="1:10" ht="12.75" customHeight="1" x14ac:dyDescent="0.3">
      <c r="A793">
        <v>1351723</v>
      </c>
      <c r="B793" t="s">
        <v>435</v>
      </c>
      <c r="C793" t="s">
        <v>436</v>
      </c>
      <c r="D793" t="s">
        <v>1867</v>
      </c>
      <c r="E793" s="1" t="s">
        <v>1868</v>
      </c>
      <c r="F793">
        <f>VLOOKUP(A793,Classifications!$A:$E,5,FALSE)</f>
        <v>1</v>
      </c>
      <c r="G793">
        <f>VLOOKUP(A793,Classifications!$A:$F,6,FALSE)</f>
        <v>1</v>
      </c>
      <c r="H793">
        <f>VLOOKUP(A793,Classifications!$A:$G,7,FALSE)</f>
        <v>43</v>
      </c>
      <c r="I793" t="s">
        <v>11</v>
      </c>
      <c r="J793" s="2">
        <v>44219.334826388891</v>
      </c>
    </row>
    <row r="794" spans="1:10" ht="12.75" customHeight="1" x14ac:dyDescent="0.3">
      <c r="A794">
        <v>1351715</v>
      </c>
      <c r="B794" t="s">
        <v>74</v>
      </c>
      <c r="C794" t="s">
        <v>450</v>
      </c>
      <c r="D794" t="s">
        <v>1869</v>
      </c>
      <c r="E794" s="1" t="s">
        <v>1870</v>
      </c>
      <c r="F794">
        <f>VLOOKUP(A794,Classifications!$A:$E,5,FALSE)</f>
        <v>1</v>
      </c>
      <c r="G794">
        <f>VLOOKUP(A794,Classifications!$A:$F,6,FALSE)</f>
        <v>1</v>
      </c>
      <c r="H794">
        <f>VLOOKUP(A794,Classifications!$A:$G,7,FALSE)</f>
        <v>41</v>
      </c>
      <c r="I794" t="s">
        <v>11</v>
      </c>
      <c r="J794" s="2">
        <v>44219.320127314815</v>
      </c>
    </row>
    <row r="795" spans="1:10" ht="12.75" customHeight="1" x14ac:dyDescent="0.3">
      <c r="A795">
        <v>1351594</v>
      </c>
      <c r="B795" t="s">
        <v>749</v>
      </c>
      <c r="C795" t="s">
        <v>1041</v>
      </c>
      <c r="D795" t="s">
        <v>1156</v>
      </c>
      <c r="E795" s="1" t="s">
        <v>1157</v>
      </c>
      <c r="F795">
        <f>VLOOKUP(A795,Classifications!$A:$E,5,FALSE)</f>
        <v>1</v>
      </c>
      <c r="G795">
        <f>VLOOKUP(A795,Classifications!$A:$F,6,FALSE)</f>
        <v>1</v>
      </c>
      <c r="H795">
        <f>VLOOKUP(A795,Classifications!$A:$G,7,FALSE)</f>
        <v>36</v>
      </c>
      <c r="I795" t="s">
        <v>1158</v>
      </c>
      <c r="J795" s="2">
        <v>44219.000023148146</v>
      </c>
    </row>
    <row r="796" spans="1:10" ht="12.75" customHeight="1" x14ac:dyDescent="0.3">
      <c r="A796">
        <v>1351593</v>
      </c>
      <c r="B796" t="s">
        <v>277</v>
      </c>
      <c r="C796" t="s">
        <v>816</v>
      </c>
      <c r="D796" t="s">
        <v>1156</v>
      </c>
      <c r="E796" s="1" t="s">
        <v>1157</v>
      </c>
      <c r="F796">
        <f>VLOOKUP(A796,Classifications!$A:$E,5,FALSE)</f>
        <v>1</v>
      </c>
      <c r="G796">
        <f>VLOOKUP(A796,Classifications!$A:$F,6,FALSE)</f>
        <v>1</v>
      </c>
      <c r="H796">
        <f>VLOOKUP(A796,Classifications!$A:$G,7,FALSE)</f>
        <v>36</v>
      </c>
      <c r="I796" t="s">
        <v>1158</v>
      </c>
      <c r="J796" s="2">
        <v>44219.000023148146</v>
      </c>
    </row>
    <row r="797" spans="1:10" ht="12.75" customHeight="1" x14ac:dyDescent="0.3">
      <c r="A797">
        <v>1351435</v>
      </c>
      <c r="B797" t="s">
        <v>374</v>
      </c>
      <c r="C797" t="s">
        <v>1871</v>
      </c>
      <c r="D797" t="s">
        <v>1872</v>
      </c>
      <c r="E797" s="1" t="s">
        <v>1873</v>
      </c>
      <c r="F797">
        <f>VLOOKUP(A797,Classifications!$A:$E,5,FALSE)</f>
        <v>1</v>
      </c>
      <c r="G797">
        <f>VLOOKUP(A797,Classifications!$A:$F,6,FALSE)</f>
        <v>2</v>
      </c>
      <c r="H797">
        <f>VLOOKUP(A797,Classifications!$A:$G,7,FALSE)</f>
        <v>41</v>
      </c>
      <c r="I797" t="s">
        <v>11</v>
      </c>
      <c r="J797" s="2">
        <v>44218.817060185182</v>
      </c>
    </row>
    <row r="798" spans="1:10" ht="12.75" customHeight="1" x14ac:dyDescent="0.3">
      <c r="A798">
        <v>1351418</v>
      </c>
      <c r="B798" t="s">
        <v>473</v>
      </c>
      <c r="C798" t="s">
        <v>1874</v>
      </c>
      <c r="D798" t="s">
        <v>1875</v>
      </c>
      <c r="E798" s="1" t="s">
        <v>1876</v>
      </c>
      <c r="F798">
        <f>VLOOKUP(A798,Classifications!$A:$E,5,FALSE)</f>
        <v>1</v>
      </c>
      <c r="G798">
        <f>VLOOKUP(A798,Classifications!$A:$F,6,FALSE)</f>
        <v>1</v>
      </c>
      <c r="H798">
        <f>VLOOKUP(A798,Classifications!$A:$G,7,FALSE)</f>
        <v>43</v>
      </c>
      <c r="I798" t="s">
        <v>11</v>
      </c>
      <c r="J798" s="2">
        <v>44218.791238425925</v>
      </c>
    </row>
    <row r="799" spans="1:10" ht="12.75" customHeight="1" x14ac:dyDescent="0.3">
      <c r="A799">
        <v>1351355</v>
      </c>
      <c r="B799" t="s">
        <v>157</v>
      </c>
      <c r="C799" t="s">
        <v>414</v>
      </c>
      <c r="D799" t="s">
        <v>1877</v>
      </c>
      <c r="E799" s="1" t="s">
        <v>1878</v>
      </c>
      <c r="F799">
        <f>VLOOKUP(A799,Classifications!$A:$E,5,FALSE)</f>
        <v>1</v>
      </c>
      <c r="G799">
        <f>VLOOKUP(A799,Classifications!$A:$F,6,FALSE)</f>
        <v>1</v>
      </c>
      <c r="H799">
        <f>VLOOKUP(A799,Classifications!$A:$G,7,FALSE)</f>
        <v>43</v>
      </c>
      <c r="I799" t="s">
        <v>11</v>
      </c>
      <c r="J799" s="2">
        <v>44218.683888888889</v>
      </c>
    </row>
    <row r="800" spans="1:10" ht="12.75" customHeight="1" x14ac:dyDescent="0.3">
      <c r="A800">
        <v>1351351</v>
      </c>
      <c r="B800" t="s">
        <v>177</v>
      </c>
      <c r="C800" t="s">
        <v>178</v>
      </c>
      <c r="D800" t="s">
        <v>1879</v>
      </c>
      <c r="E800" s="1" t="s">
        <v>1880</v>
      </c>
      <c r="F800">
        <f>VLOOKUP(A800,Classifications!$A:$E,5,FALSE)</f>
        <v>2</v>
      </c>
      <c r="G800">
        <f>VLOOKUP(A800,Classifications!$A:$F,6,FALSE)</f>
        <v>1</v>
      </c>
      <c r="H800">
        <f>VLOOKUP(A800,Classifications!$A:$G,7,FALSE)</f>
        <v>43</v>
      </c>
      <c r="I800" t="s">
        <v>11</v>
      </c>
      <c r="J800" s="2">
        <v>44218.666828703703</v>
      </c>
    </row>
    <row r="801" spans="1:10" ht="12.75" customHeight="1" x14ac:dyDescent="0.3">
      <c r="A801">
        <v>1351347</v>
      </c>
      <c r="B801" t="s">
        <v>157</v>
      </c>
      <c r="C801" t="s">
        <v>414</v>
      </c>
      <c r="D801" t="s">
        <v>1881</v>
      </c>
      <c r="E801" s="1" t="s">
        <v>1882</v>
      </c>
      <c r="F801">
        <f>VLOOKUP(A801,Classifications!$A:$E,5,FALSE)</f>
        <v>1</v>
      </c>
      <c r="G801">
        <f>VLOOKUP(A801,Classifications!$A:$F,6,FALSE)</f>
        <v>3</v>
      </c>
      <c r="H801">
        <f>VLOOKUP(A801,Classifications!$A:$G,7,FALSE)</f>
        <v>43</v>
      </c>
      <c r="I801" t="s">
        <v>11</v>
      </c>
      <c r="J801" s="2">
        <v>44218.651655092595</v>
      </c>
    </row>
    <row r="802" spans="1:10" ht="12.75" customHeight="1" x14ac:dyDescent="0.3">
      <c r="A802">
        <v>1351344</v>
      </c>
      <c r="B802" t="s">
        <v>350</v>
      </c>
      <c r="C802" t="s">
        <v>351</v>
      </c>
      <c r="D802" t="s">
        <v>1883</v>
      </c>
      <c r="E802" s="1" t="s">
        <v>1884</v>
      </c>
      <c r="F802">
        <f>VLOOKUP(A802,Classifications!$A:$E,5,FALSE)</f>
        <v>1</v>
      </c>
      <c r="G802">
        <f>VLOOKUP(A802,Classifications!$A:$F,6,FALSE)</f>
        <v>2</v>
      </c>
      <c r="H802">
        <f>VLOOKUP(A802,Classifications!$A:$G,7,FALSE)</f>
        <v>43</v>
      </c>
      <c r="I802" t="s">
        <v>24</v>
      </c>
      <c r="J802" s="2">
        <v>44218.641168981485</v>
      </c>
    </row>
    <row r="803" spans="1:10" ht="12.75" customHeight="1" x14ac:dyDescent="0.3">
      <c r="A803">
        <v>1351343</v>
      </c>
      <c r="B803" t="s">
        <v>12</v>
      </c>
      <c r="C803" t="s">
        <v>1774</v>
      </c>
      <c r="D803" t="s">
        <v>1885</v>
      </c>
      <c r="E803" s="1" t="s">
        <v>1886</v>
      </c>
      <c r="F803">
        <f>VLOOKUP(A803,Classifications!$A:$E,5,FALSE)</f>
        <v>1</v>
      </c>
      <c r="G803">
        <f>VLOOKUP(A803,Classifications!$A:$F,6,FALSE)</f>
        <v>2</v>
      </c>
      <c r="H803">
        <f>VLOOKUP(A803,Classifications!$A:$G,7,FALSE)</f>
        <v>43</v>
      </c>
      <c r="I803" t="s">
        <v>24</v>
      </c>
      <c r="J803" s="2">
        <v>44218.634884259256</v>
      </c>
    </row>
    <row r="804" spans="1:10" ht="12.75" customHeight="1" x14ac:dyDescent="0.3">
      <c r="A804">
        <v>1351334</v>
      </c>
      <c r="B804" t="s">
        <v>36</v>
      </c>
      <c r="C804" t="s">
        <v>700</v>
      </c>
      <c r="D804" t="s">
        <v>1887</v>
      </c>
      <c r="E804" s="1" t="s">
        <v>1888</v>
      </c>
      <c r="F804">
        <f>VLOOKUP(A804,Classifications!$A:$E,5,FALSE)</f>
        <v>1</v>
      </c>
      <c r="G804">
        <f>VLOOKUP(A804,Classifications!$A:$F,6,FALSE)</f>
        <v>2</v>
      </c>
      <c r="H804">
        <f>VLOOKUP(A804,Classifications!$A:$G,7,FALSE)</f>
        <v>41</v>
      </c>
      <c r="I804" t="s">
        <v>24</v>
      </c>
      <c r="J804" s="2">
        <v>44218.600914351853</v>
      </c>
    </row>
    <row r="805" spans="1:10" ht="12.75" customHeight="1" x14ac:dyDescent="0.3">
      <c r="A805">
        <v>1351331</v>
      </c>
      <c r="B805" t="s">
        <v>397</v>
      </c>
      <c r="C805" t="s">
        <v>1889</v>
      </c>
      <c r="D805" t="s">
        <v>1890</v>
      </c>
      <c r="E805" s="1" t="s">
        <v>1891</v>
      </c>
      <c r="F805">
        <f>VLOOKUP(A805,Classifications!$A:$E,5,FALSE)</f>
        <v>1</v>
      </c>
      <c r="G805">
        <f>VLOOKUP(A805,Classifications!$A:$F,6,FALSE)</f>
        <v>1</v>
      </c>
      <c r="H805">
        <f>VLOOKUP(A805,Classifications!$A:$G,7,FALSE)</f>
        <v>43</v>
      </c>
      <c r="I805" t="s">
        <v>11</v>
      </c>
      <c r="J805" s="2">
        <v>44218.598379629628</v>
      </c>
    </row>
    <row r="806" spans="1:10" ht="12.75" customHeight="1" x14ac:dyDescent="0.3">
      <c r="A806">
        <v>1351317</v>
      </c>
      <c r="B806" t="s">
        <v>982</v>
      </c>
      <c r="C806" t="s">
        <v>1892</v>
      </c>
      <c r="D806" t="s">
        <v>1893</v>
      </c>
      <c r="E806" s="1" t="s">
        <v>1894</v>
      </c>
      <c r="F806">
        <f>VLOOKUP(A806,Classifications!$A:$E,5,FALSE)</f>
        <v>1</v>
      </c>
      <c r="G806">
        <f>VLOOKUP(A806,Classifications!$A:$F,6,FALSE)</f>
        <v>1</v>
      </c>
      <c r="H806">
        <f>VLOOKUP(A806,Classifications!$A:$G,7,FALSE)</f>
        <v>41</v>
      </c>
      <c r="I806" t="s">
        <v>11</v>
      </c>
      <c r="J806" s="2">
        <v>44218.553113425929</v>
      </c>
    </row>
    <row r="807" spans="1:10" ht="12.75" customHeight="1" x14ac:dyDescent="0.3">
      <c r="A807">
        <v>1351315</v>
      </c>
      <c r="B807" t="s">
        <v>435</v>
      </c>
      <c r="C807" t="s">
        <v>436</v>
      </c>
      <c r="D807" t="s">
        <v>1867</v>
      </c>
      <c r="E807" s="1" t="s">
        <v>1895</v>
      </c>
      <c r="F807">
        <f>VLOOKUP(A807,Classifications!$A:$E,5,FALSE)</f>
        <v>1</v>
      </c>
      <c r="G807">
        <f>VLOOKUP(A807,Classifications!$A:$F,6,FALSE)</f>
        <v>1</v>
      </c>
      <c r="H807">
        <f>VLOOKUP(A807,Classifications!$A:$G,7,FALSE)</f>
        <v>43</v>
      </c>
      <c r="I807" t="s">
        <v>11</v>
      </c>
      <c r="J807" s="2">
        <v>44218.545798611114</v>
      </c>
    </row>
    <row r="808" spans="1:10" ht="12.75" customHeight="1" x14ac:dyDescent="0.3">
      <c r="A808">
        <v>1351312</v>
      </c>
      <c r="B808" t="s">
        <v>435</v>
      </c>
      <c r="C808" t="s">
        <v>436</v>
      </c>
      <c r="D808" t="s">
        <v>1835</v>
      </c>
      <c r="E808" s="1" t="s">
        <v>1896</v>
      </c>
      <c r="F808">
        <f>VLOOKUP(A808,Classifications!$A:$E,5,FALSE)</f>
        <v>1</v>
      </c>
      <c r="G808">
        <f>VLOOKUP(A808,Classifications!$A:$F,6,FALSE)</f>
        <v>3</v>
      </c>
      <c r="H808">
        <f>VLOOKUP(A808,Classifications!$A:$G,7,FALSE)</f>
        <v>41</v>
      </c>
      <c r="I808" t="s">
        <v>11</v>
      </c>
      <c r="J808" s="2">
        <v>44218.527245370373</v>
      </c>
    </row>
    <row r="809" spans="1:10" ht="12.75" customHeight="1" x14ac:dyDescent="0.3">
      <c r="A809">
        <v>1351306</v>
      </c>
      <c r="B809" t="s">
        <v>318</v>
      </c>
      <c r="C809" t="s">
        <v>1897</v>
      </c>
      <c r="D809" t="s">
        <v>1898</v>
      </c>
      <c r="E809" s="1" t="s">
        <v>1899</v>
      </c>
      <c r="F809">
        <f>VLOOKUP(A809,Classifications!$A:$E,5,FALSE)</f>
        <v>1</v>
      </c>
      <c r="G809">
        <f>VLOOKUP(A809,Classifications!$A:$F,6,FALSE)</f>
        <v>3</v>
      </c>
      <c r="H809">
        <f>VLOOKUP(A809,Classifications!$A:$G,7,FALSE)</f>
        <v>41</v>
      </c>
      <c r="I809" t="s">
        <v>11</v>
      </c>
      <c r="J809" s="2">
        <v>44218.513194444444</v>
      </c>
    </row>
    <row r="810" spans="1:10" ht="12.75" customHeight="1" x14ac:dyDescent="0.3">
      <c r="A810">
        <v>1351303</v>
      </c>
      <c r="B810" t="s">
        <v>91</v>
      </c>
      <c r="C810" t="s">
        <v>1855</v>
      </c>
      <c r="D810" t="s">
        <v>1900</v>
      </c>
      <c r="E810" s="1" t="s">
        <v>1901</v>
      </c>
      <c r="F810">
        <f>VLOOKUP(A810,Classifications!$A:$E,5,FALSE)</f>
        <v>1</v>
      </c>
      <c r="G810">
        <f>VLOOKUP(A810,Classifications!$A:$F,6,FALSE)</f>
        <v>3</v>
      </c>
      <c r="H810">
        <f>VLOOKUP(A810,Classifications!$A:$G,7,FALSE)</f>
        <v>41</v>
      </c>
      <c r="I810" t="s">
        <v>11</v>
      </c>
      <c r="J810" s="2">
        <v>44218.508125</v>
      </c>
    </row>
    <row r="811" spans="1:10" ht="12.75" customHeight="1" x14ac:dyDescent="0.3">
      <c r="A811">
        <v>1351294</v>
      </c>
      <c r="B811" t="s">
        <v>20</v>
      </c>
      <c r="C811" t="s">
        <v>57</v>
      </c>
      <c r="D811" t="s">
        <v>1902</v>
      </c>
      <c r="E811" s="1" t="s">
        <v>1903</v>
      </c>
      <c r="F811">
        <f>VLOOKUP(A811,Classifications!$A:$E,5,FALSE)</f>
        <v>1</v>
      </c>
      <c r="G811">
        <f>VLOOKUP(A811,Classifications!$A:$F,6,FALSE)</f>
        <v>1</v>
      </c>
      <c r="H811">
        <f>VLOOKUP(A811,Classifications!$A:$G,7,FALSE)</f>
        <v>43</v>
      </c>
      <c r="I811" t="s">
        <v>24</v>
      </c>
      <c r="J811" s="2">
        <v>44218.47859953704</v>
      </c>
    </row>
    <row r="812" spans="1:10" ht="12.75" customHeight="1" x14ac:dyDescent="0.3">
      <c r="A812">
        <v>1351290</v>
      </c>
      <c r="B812" t="s">
        <v>16</v>
      </c>
      <c r="C812" t="s">
        <v>1904</v>
      </c>
      <c r="D812" t="s">
        <v>1905</v>
      </c>
      <c r="E812" s="1" t="s">
        <v>1906</v>
      </c>
      <c r="F812">
        <f>VLOOKUP(A812,Classifications!$A:$E,5,FALSE)</f>
        <v>1</v>
      </c>
      <c r="G812">
        <f>VLOOKUP(A812,Classifications!$A:$F,6,FALSE)</f>
        <v>1</v>
      </c>
      <c r="H812">
        <f>VLOOKUP(A812,Classifications!$A:$G,7,FALSE)</f>
        <v>43</v>
      </c>
      <c r="I812" t="s">
        <v>11</v>
      </c>
      <c r="J812" s="2">
        <v>44218.473414351851</v>
      </c>
    </row>
    <row r="813" spans="1:10" ht="12.75" customHeight="1" x14ac:dyDescent="0.3">
      <c r="A813">
        <v>1351289</v>
      </c>
      <c r="B813" t="s">
        <v>16</v>
      </c>
      <c r="C813" t="s">
        <v>181</v>
      </c>
      <c r="D813" t="s">
        <v>1907</v>
      </c>
      <c r="E813" s="1" t="s">
        <v>1908</v>
      </c>
      <c r="F813">
        <f>VLOOKUP(A813,Classifications!$A:$E,5,FALSE)</f>
        <v>1</v>
      </c>
      <c r="G813">
        <f>VLOOKUP(A813,Classifications!$A:$F,6,FALSE)</f>
        <v>1</v>
      </c>
      <c r="H813">
        <f>VLOOKUP(A813,Classifications!$A:$G,7,FALSE)</f>
        <v>43</v>
      </c>
      <c r="I813" t="s">
        <v>11</v>
      </c>
      <c r="J813" s="2">
        <v>44218.470925925925</v>
      </c>
    </row>
    <row r="814" spans="1:10" ht="12.75" customHeight="1" x14ac:dyDescent="0.3">
      <c r="A814">
        <v>1351284</v>
      </c>
      <c r="B814" t="s">
        <v>16</v>
      </c>
      <c r="C814" t="s">
        <v>1909</v>
      </c>
      <c r="D814" t="s">
        <v>1910</v>
      </c>
      <c r="E814" s="1" t="s">
        <v>1911</v>
      </c>
      <c r="F814">
        <f>VLOOKUP(A814,Classifications!$A:$E,5,FALSE)</f>
        <v>1</v>
      </c>
      <c r="G814">
        <f>VLOOKUP(A814,Classifications!$A:$F,6,FALSE)</f>
        <v>1</v>
      </c>
      <c r="H814">
        <f>VLOOKUP(A814,Classifications!$A:$G,7,FALSE)</f>
        <v>41</v>
      </c>
      <c r="I814" t="s">
        <v>11</v>
      </c>
      <c r="J814" s="2">
        <v>44218.449456018519</v>
      </c>
    </row>
    <row r="815" spans="1:10" ht="12.75" customHeight="1" x14ac:dyDescent="0.3">
      <c r="A815">
        <v>1351234</v>
      </c>
      <c r="B815" t="s">
        <v>32</v>
      </c>
      <c r="C815" t="s">
        <v>1257</v>
      </c>
      <c r="D815" t="s">
        <v>1912</v>
      </c>
      <c r="E815" s="1" t="s">
        <v>1913</v>
      </c>
      <c r="F815">
        <f>VLOOKUP(A815,Classifications!$A:$E,5,FALSE)</f>
        <v>1</v>
      </c>
      <c r="G815">
        <f>VLOOKUP(A815,Classifications!$A:$F,6,FALSE)</f>
        <v>1</v>
      </c>
      <c r="H815">
        <f>VLOOKUP(A815,Classifications!$A:$G,7,FALSE)</f>
        <v>43</v>
      </c>
      <c r="I815" t="s">
        <v>24</v>
      </c>
      <c r="J815" s="2">
        <v>44218.401689814818</v>
      </c>
    </row>
    <row r="816" spans="1:10" ht="12.75" customHeight="1" x14ac:dyDescent="0.3">
      <c r="A816">
        <v>1351225</v>
      </c>
      <c r="B816" t="s">
        <v>74</v>
      </c>
      <c r="C816" t="s">
        <v>294</v>
      </c>
      <c r="D816" t="s">
        <v>1914</v>
      </c>
      <c r="E816" s="1" t="s">
        <v>1915</v>
      </c>
      <c r="F816">
        <f>VLOOKUP(A816,Classifications!$A:$E,5,FALSE)</f>
        <v>1</v>
      </c>
      <c r="G816">
        <f>VLOOKUP(A816,Classifications!$A:$F,6,FALSE)</f>
        <v>1</v>
      </c>
      <c r="H816">
        <f>VLOOKUP(A816,Classifications!$A:$G,7,FALSE)</f>
        <v>43</v>
      </c>
      <c r="I816" t="s">
        <v>11</v>
      </c>
      <c r="J816" s="2">
        <v>44218.3905787037</v>
      </c>
    </row>
    <row r="817" spans="1:10" ht="12.75" customHeight="1" x14ac:dyDescent="0.3">
      <c r="A817">
        <v>1351219</v>
      </c>
      <c r="B817" t="s">
        <v>49</v>
      </c>
      <c r="C817" t="s">
        <v>801</v>
      </c>
      <c r="D817" t="s">
        <v>1916</v>
      </c>
      <c r="E817" s="1" t="s">
        <v>1917</v>
      </c>
      <c r="F817">
        <f>VLOOKUP(A817,Classifications!$A:$E,5,FALSE)</f>
        <v>1</v>
      </c>
      <c r="G817">
        <f>VLOOKUP(A817,Classifications!$A:$F,6,FALSE)</f>
        <v>2</v>
      </c>
      <c r="H817">
        <f>VLOOKUP(A817,Classifications!$A:$G,7,FALSE)</f>
        <v>41</v>
      </c>
      <c r="I817" t="s">
        <v>11</v>
      </c>
      <c r="J817" s="2">
        <v>44218.382905092592</v>
      </c>
    </row>
    <row r="818" spans="1:10" ht="12.75" customHeight="1" x14ac:dyDescent="0.3">
      <c r="A818">
        <v>1351215</v>
      </c>
      <c r="B818" t="s">
        <v>1918</v>
      </c>
      <c r="C818" t="s">
        <v>1919</v>
      </c>
      <c r="D818" t="s">
        <v>1920</v>
      </c>
      <c r="E818" s="1" t="s">
        <v>1921</v>
      </c>
      <c r="F818">
        <f>VLOOKUP(A818,Classifications!$A:$E,5,FALSE)</f>
        <v>2</v>
      </c>
      <c r="G818">
        <f>VLOOKUP(A818,Classifications!$A:$F,6,FALSE)</f>
        <v>2</v>
      </c>
      <c r="H818">
        <f>VLOOKUP(A818,Classifications!$A:$G,7,FALSE)</f>
        <v>43</v>
      </c>
      <c r="I818" t="s">
        <v>11</v>
      </c>
      <c r="J818" s="2">
        <v>44218.376747685186</v>
      </c>
    </row>
    <row r="819" spans="1:10" ht="12.75" customHeight="1" x14ac:dyDescent="0.3">
      <c r="A819">
        <v>1351212</v>
      </c>
      <c r="B819" t="s">
        <v>157</v>
      </c>
      <c r="C819" t="s">
        <v>1488</v>
      </c>
      <c r="D819" t="s">
        <v>1922</v>
      </c>
      <c r="E819" s="1" t="s">
        <v>1923</v>
      </c>
      <c r="F819">
        <f>VLOOKUP(A819,Classifications!$A:$E,5,FALSE)</f>
        <v>1</v>
      </c>
      <c r="G819">
        <f>VLOOKUP(A819,Classifications!$A:$F,6,FALSE)</f>
        <v>1</v>
      </c>
      <c r="H819">
        <f>VLOOKUP(A819,Classifications!$A:$G,7,FALSE)</f>
        <v>43</v>
      </c>
      <c r="I819" t="s">
        <v>11</v>
      </c>
      <c r="J819" s="2">
        <v>44218.374340277776</v>
      </c>
    </row>
    <row r="820" spans="1:10" ht="12.75" customHeight="1" x14ac:dyDescent="0.3">
      <c r="A820">
        <v>1351211</v>
      </c>
      <c r="B820" t="s">
        <v>397</v>
      </c>
      <c r="C820" t="s">
        <v>1889</v>
      </c>
      <c r="D820" t="s">
        <v>1924</v>
      </c>
      <c r="E820" s="1" t="s">
        <v>1925</v>
      </c>
      <c r="F820">
        <f>VLOOKUP(A820,Classifications!$A:$E,5,FALSE)</f>
        <v>3</v>
      </c>
      <c r="G820">
        <f>VLOOKUP(A820,Classifications!$A:$F,6,FALSE)</f>
        <v>2</v>
      </c>
      <c r="H820">
        <f>VLOOKUP(A820,Classifications!$A:$G,7,FALSE)</f>
        <v>43</v>
      </c>
      <c r="I820" t="s">
        <v>11</v>
      </c>
      <c r="J820" s="2">
        <v>44218.37290509259</v>
      </c>
    </row>
    <row r="821" spans="1:10" ht="12.75" customHeight="1" x14ac:dyDescent="0.3">
      <c r="A821">
        <v>1351207</v>
      </c>
      <c r="B821" t="s">
        <v>53</v>
      </c>
      <c r="C821" t="s">
        <v>1926</v>
      </c>
      <c r="D821" t="s">
        <v>1927</v>
      </c>
      <c r="E821" s="1" t="s">
        <v>1928</v>
      </c>
      <c r="F821">
        <f>VLOOKUP(A821,Classifications!$A:$E,5,FALSE)</f>
        <v>1</v>
      </c>
      <c r="G821">
        <f>VLOOKUP(A821,Classifications!$A:$F,6,FALSE)</f>
        <v>3</v>
      </c>
      <c r="H821">
        <f>VLOOKUP(A821,Classifications!$A:$G,7,FALSE)</f>
        <v>41</v>
      </c>
      <c r="I821" t="s">
        <v>11</v>
      </c>
      <c r="J821" s="2">
        <v>44218.370405092595</v>
      </c>
    </row>
    <row r="822" spans="1:10" ht="12.75" customHeight="1" x14ac:dyDescent="0.3">
      <c r="A822">
        <v>1351205</v>
      </c>
      <c r="B822" t="s">
        <v>1929</v>
      </c>
      <c r="C822" t="s">
        <v>1930</v>
      </c>
      <c r="D822" t="s">
        <v>1931</v>
      </c>
      <c r="E822" s="1" t="s">
        <v>1932</v>
      </c>
      <c r="F822">
        <f>VLOOKUP(A822,Classifications!$A:$E,5,FALSE)</f>
        <v>1</v>
      </c>
      <c r="G822">
        <f>VLOOKUP(A822,Classifications!$A:$F,6,FALSE)</f>
        <v>1</v>
      </c>
      <c r="H822">
        <f>VLOOKUP(A822,Classifications!$A:$G,7,FALSE)</f>
        <v>43</v>
      </c>
      <c r="I822" t="s">
        <v>11</v>
      </c>
      <c r="J822" s="2">
        <v>44218.369108796294</v>
      </c>
    </row>
    <row r="823" spans="1:10" ht="12.75" customHeight="1" x14ac:dyDescent="0.3">
      <c r="A823">
        <v>1351203</v>
      </c>
      <c r="B823" t="s">
        <v>20</v>
      </c>
      <c r="C823" t="s">
        <v>78</v>
      </c>
      <c r="D823" t="s">
        <v>1933</v>
      </c>
      <c r="E823" s="1" t="s">
        <v>1934</v>
      </c>
      <c r="F823">
        <f>VLOOKUP(A823,Classifications!$A:$E,5,FALSE)</f>
        <v>1</v>
      </c>
      <c r="G823">
        <f>VLOOKUP(A823,Classifications!$A:$F,6,FALSE)</f>
        <v>1</v>
      </c>
      <c r="H823">
        <f>VLOOKUP(A823,Classifications!$A:$G,7,FALSE)</f>
        <v>41</v>
      </c>
      <c r="I823" t="s">
        <v>24</v>
      </c>
      <c r="J823" s="2">
        <v>44218.367361111108</v>
      </c>
    </row>
    <row r="824" spans="1:10" ht="12.75" customHeight="1" x14ac:dyDescent="0.3">
      <c r="A824">
        <v>1351198</v>
      </c>
      <c r="B824" t="s">
        <v>7</v>
      </c>
      <c r="C824" t="s">
        <v>107</v>
      </c>
      <c r="D824" t="s">
        <v>1935</v>
      </c>
      <c r="E824" s="1" t="s">
        <v>1936</v>
      </c>
      <c r="F824">
        <f>VLOOKUP(A824,Classifications!$A:$E,5,FALSE)</f>
        <v>3</v>
      </c>
      <c r="G824">
        <f>VLOOKUP(A824,Classifications!$A:$F,6,FALSE)</f>
        <v>1</v>
      </c>
      <c r="H824">
        <f>VLOOKUP(A824,Classifications!$A:$G,7,FALSE)</f>
        <v>43</v>
      </c>
      <c r="I824" t="s">
        <v>24</v>
      </c>
      <c r="J824" s="2">
        <v>44218.364224537036</v>
      </c>
    </row>
    <row r="825" spans="1:10" ht="12.75" customHeight="1" x14ac:dyDescent="0.3">
      <c r="A825">
        <v>1351181</v>
      </c>
      <c r="B825" t="s">
        <v>95</v>
      </c>
      <c r="C825" t="s">
        <v>1937</v>
      </c>
      <c r="D825" t="s">
        <v>1938</v>
      </c>
      <c r="E825" t="s">
        <v>1939</v>
      </c>
      <c r="F825">
        <f>VLOOKUP(A825,Classifications!$A:$E,5,FALSE)</f>
        <v>1</v>
      </c>
      <c r="G825">
        <f>VLOOKUP(A825,Classifications!$A:$F,6,FALSE)</f>
        <v>1</v>
      </c>
      <c r="H825">
        <f>VLOOKUP(A825,Classifications!$A:$G,7,FALSE)</f>
        <v>43</v>
      </c>
      <c r="I825" t="s">
        <v>24</v>
      </c>
      <c r="J825" s="2">
        <v>44218.335486111115</v>
      </c>
    </row>
    <row r="826" spans="1:10" ht="12.75" customHeight="1" x14ac:dyDescent="0.3">
      <c r="A826">
        <v>1351179</v>
      </c>
      <c r="B826" t="s">
        <v>435</v>
      </c>
      <c r="C826" t="s">
        <v>436</v>
      </c>
      <c r="D826" t="s">
        <v>1835</v>
      </c>
      <c r="E826" s="1" t="s">
        <v>1940</v>
      </c>
      <c r="F826">
        <f>VLOOKUP(A826,Classifications!$A:$E,5,FALSE)</f>
        <v>1</v>
      </c>
      <c r="G826">
        <f>VLOOKUP(A826,Classifications!$A:$F,6,FALSE)</f>
        <v>3</v>
      </c>
      <c r="H826">
        <f>VLOOKUP(A826,Classifications!$A:$G,7,FALSE)</f>
        <v>41</v>
      </c>
      <c r="I826" t="s">
        <v>11</v>
      </c>
      <c r="J826" s="2">
        <v>44218.335243055553</v>
      </c>
    </row>
    <row r="827" spans="1:10" ht="12.75" customHeight="1" x14ac:dyDescent="0.3">
      <c r="A827">
        <v>1351173</v>
      </c>
      <c r="B827" t="s">
        <v>435</v>
      </c>
      <c r="C827" t="s">
        <v>436</v>
      </c>
      <c r="D827" t="s">
        <v>1941</v>
      </c>
      <c r="E827" s="1" t="s">
        <v>1942</v>
      </c>
      <c r="F827">
        <f>VLOOKUP(A827,Classifications!$A:$E,5,FALSE)</f>
        <v>1</v>
      </c>
      <c r="G827">
        <f>VLOOKUP(A827,Classifications!$A:$F,6,FALSE)</f>
        <v>3</v>
      </c>
      <c r="H827">
        <f>VLOOKUP(A827,Classifications!$A:$G,7,FALSE)</f>
        <v>41</v>
      </c>
      <c r="I827" t="s">
        <v>11</v>
      </c>
      <c r="J827" s="2">
        <v>44218.331458333334</v>
      </c>
    </row>
    <row r="828" spans="1:10" ht="12.75" customHeight="1" x14ac:dyDescent="0.3">
      <c r="A828">
        <v>1351166</v>
      </c>
      <c r="B828" t="s">
        <v>435</v>
      </c>
      <c r="C828" t="s">
        <v>436</v>
      </c>
      <c r="D828" t="s">
        <v>1943</v>
      </c>
      <c r="E828" s="1" t="s">
        <v>1944</v>
      </c>
      <c r="F828">
        <f>VLOOKUP(A828,Classifications!$A:$E,5,FALSE)</f>
        <v>1</v>
      </c>
      <c r="G828">
        <f>VLOOKUP(A828,Classifications!$A:$F,6,FALSE)</f>
        <v>1</v>
      </c>
      <c r="H828">
        <f>VLOOKUP(A828,Classifications!$A:$G,7,FALSE)</f>
        <v>43</v>
      </c>
      <c r="I828" t="s">
        <v>11</v>
      </c>
      <c r="J828" s="2">
        <v>44218.311238425929</v>
      </c>
    </row>
    <row r="829" spans="1:10" ht="12.75" customHeight="1" x14ac:dyDescent="0.3">
      <c r="A829">
        <v>1351112</v>
      </c>
      <c r="B829" t="s">
        <v>74</v>
      </c>
      <c r="C829" t="s">
        <v>1945</v>
      </c>
      <c r="D829" t="s">
        <v>1946</v>
      </c>
      <c r="E829" s="1" t="s">
        <v>1947</v>
      </c>
      <c r="F829">
        <f>VLOOKUP(A829,Classifications!$A:$E,5,FALSE)</f>
        <v>1</v>
      </c>
      <c r="G829">
        <f>VLOOKUP(A829,Classifications!$A:$F,6,FALSE)</f>
        <v>1</v>
      </c>
      <c r="H829">
        <f>VLOOKUP(A829,Classifications!$A:$G,7,FALSE)</f>
        <v>43</v>
      </c>
      <c r="I829" t="s">
        <v>11</v>
      </c>
      <c r="J829" s="2">
        <v>44218.052476851852</v>
      </c>
    </row>
    <row r="830" spans="1:10" ht="12.75" customHeight="1" x14ac:dyDescent="0.3">
      <c r="A830">
        <v>1351069</v>
      </c>
      <c r="B830" t="s">
        <v>132</v>
      </c>
      <c r="C830" t="s">
        <v>1072</v>
      </c>
      <c r="D830" t="s">
        <v>1323</v>
      </c>
      <c r="E830" t="s">
        <v>1324</v>
      </c>
      <c r="F830">
        <f>VLOOKUP(A830,Classifications!$A:$E,5,FALSE)</f>
        <v>1</v>
      </c>
      <c r="G830">
        <f>VLOOKUP(A830,Classifications!$A:$F,6,FALSE)</f>
        <v>1</v>
      </c>
      <c r="H830">
        <f>VLOOKUP(A830,Classifications!$A:$G,7,FALSE)</f>
        <v>36</v>
      </c>
      <c r="I830" t="s">
        <v>1158</v>
      </c>
      <c r="J830" s="2">
        <v>44218.000081018516</v>
      </c>
    </row>
    <row r="831" spans="1:10" ht="12.75" customHeight="1" x14ac:dyDescent="0.3">
      <c r="A831">
        <v>1351068</v>
      </c>
      <c r="B831" t="s">
        <v>49</v>
      </c>
      <c r="C831" t="s">
        <v>1469</v>
      </c>
      <c r="D831" t="s">
        <v>1156</v>
      </c>
      <c r="E831" s="1" t="s">
        <v>1157</v>
      </c>
      <c r="F831">
        <f>VLOOKUP(A831,Classifications!$A:$E,5,FALSE)</f>
        <v>1</v>
      </c>
      <c r="G831">
        <f>VLOOKUP(A831,Classifications!$A:$F,6,FALSE)</f>
        <v>1</v>
      </c>
      <c r="H831">
        <f>VLOOKUP(A831,Classifications!$A:$G,7,FALSE)</f>
        <v>36</v>
      </c>
      <c r="I831" t="s">
        <v>1158</v>
      </c>
      <c r="J831" s="2">
        <v>44218.000057870369</v>
      </c>
    </row>
    <row r="832" spans="1:10" ht="12.75" customHeight="1" x14ac:dyDescent="0.3">
      <c r="A832">
        <v>1350853</v>
      </c>
      <c r="B832" t="s">
        <v>45</v>
      </c>
      <c r="C832" t="s">
        <v>354</v>
      </c>
      <c r="D832" t="s">
        <v>1948</v>
      </c>
      <c r="E832" s="1" t="s">
        <v>1949</v>
      </c>
      <c r="F832">
        <f>VLOOKUP(A832,Classifications!$A:$E,5,FALSE)</f>
        <v>1</v>
      </c>
      <c r="G832">
        <f>VLOOKUP(A832,Classifications!$A:$F,6,FALSE)</f>
        <v>1</v>
      </c>
      <c r="H832">
        <f>VLOOKUP(A832,Classifications!$A:$G,7,FALSE)</f>
        <v>36</v>
      </c>
      <c r="I832" t="s">
        <v>24</v>
      </c>
      <c r="J832" s="2">
        <v>44217.733055555553</v>
      </c>
    </row>
    <row r="833" spans="1:10" ht="12.75" customHeight="1" x14ac:dyDescent="0.3">
      <c r="A833">
        <v>1350820</v>
      </c>
      <c r="B833" t="s">
        <v>1950</v>
      </c>
      <c r="C833" t="s">
        <v>1951</v>
      </c>
      <c r="D833" t="s">
        <v>1952</v>
      </c>
      <c r="E833" s="1" t="s">
        <v>1953</v>
      </c>
      <c r="F833">
        <f>VLOOKUP(A833,Classifications!$A:$E,5,FALSE)</f>
        <v>1</v>
      </c>
      <c r="G833">
        <f>VLOOKUP(A833,Classifications!$A:$F,6,FALSE)</f>
        <v>1</v>
      </c>
      <c r="H833">
        <f>VLOOKUP(A833,Classifications!$A:$G,7,FALSE)</f>
        <v>41</v>
      </c>
      <c r="I833" t="s">
        <v>11</v>
      </c>
      <c r="J833" s="2">
        <v>44217.669456018521</v>
      </c>
    </row>
    <row r="834" spans="1:10" ht="12.75" customHeight="1" x14ac:dyDescent="0.3">
      <c r="A834">
        <v>1350817</v>
      </c>
      <c r="B834" t="s">
        <v>32</v>
      </c>
      <c r="C834" t="s">
        <v>463</v>
      </c>
      <c r="D834" t="s">
        <v>1954</v>
      </c>
      <c r="E834" s="1" t="s">
        <v>1955</v>
      </c>
      <c r="F834">
        <f>VLOOKUP(A834,Classifications!$A:$E,5,FALSE)</f>
        <v>1</v>
      </c>
      <c r="G834">
        <f>VLOOKUP(A834,Classifications!$A:$F,6,FALSE)</f>
        <v>1</v>
      </c>
      <c r="H834">
        <f>VLOOKUP(A834,Classifications!$A:$G,7,FALSE)</f>
        <v>36</v>
      </c>
      <c r="I834" t="s">
        <v>11</v>
      </c>
      <c r="J834" s="2">
        <v>44217.658425925925</v>
      </c>
    </row>
    <row r="835" spans="1:10" ht="12.75" customHeight="1" x14ac:dyDescent="0.3">
      <c r="A835">
        <v>1350813</v>
      </c>
      <c r="B835" t="s">
        <v>1956</v>
      </c>
      <c r="C835" t="s">
        <v>646</v>
      </c>
      <c r="D835" t="s">
        <v>1957</v>
      </c>
      <c r="E835" s="1" t="s">
        <v>1958</v>
      </c>
      <c r="F835">
        <f>VLOOKUP(A835,Classifications!$A:$E,5,FALSE)</f>
        <v>1</v>
      </c>
      <c r="G835">
        <f>VLOOKUP(A835,Classifications!$A:$F,6,FALSE)</f>
        <v>1</v>
      </c>
      <c r="H835">
        <f>VLOOKUP(A835,Classifications!$A:$G,7,FALSE)</f>
        <v>36</v>
      </c>
      <c r="I835" t="s">
        <v>11</v>
      </c>
      <c r="J835" s="2">
        <v>44217.642418981479</v>
      </c>
    </row>
    <row r="836" spans="1:10" ht="12.75" customHeight="1" x14ac:dyDescent="0.3">
      <c r="A836">
        <v>1350804</v>
      </c>
      <c r="B836" t="s">
        <v>74</v>
      </c>
      <c r="C836" t="s">
        <v>1374</v>
      </c>
      <c r="D836" t="s">
        <v>1959</v>
      </c>
      <c r="E836" s="1" t="s">
        <v>1960</v>
      </c>
      <c r="F836">
        <f>VLOOKUP(A836,Classifications!$A:$E,5,FALSE)</f>
        <v>2</v>
      </c>
      <c r="G836">
        <f>VLOOKUP(A836,Classifications!$A:$F,6,FALSE)</f>
        <v>1</v>
      </c>
      <c r="H836">
        <f>VLOOKUP(A836,Classifications!$A:$G,7,FALSE)</f>
        <v>43</v>
      </c>
      <c r="I836" t="s">
        <v>11</v>
      </c>
      <c r="J836" s="2">
        <v>44217.620358796295</v>
      </c>
    </row>
    <row r="837" spans="1:10" ht="12.75" customHeight="1" x14ac:dyDescent="0.3">
      <c r="A837">
        <v>1350801</v>
      </c>
      <c r="B837" t="s">
        <v>63</v>
      </c>
      <c r="C837" t="s">
        <v>1524</v>
      </c>
      <c r="D837" t="s">
        <v>1961</v>
      </c>
      <c r="E837" s="1" t="s">
        <v>1962</v>
      </c>
      <c r="F837">
        <f>VLOOKUP(A837,Classifications!$A:$E,5,FALSE)</f>
        <v>1</v>
      </c>
      <c r="G837">
        <f>VLOOKUP(A837,Classifications!$A:$F,6,FALSE)</f>
        <v>1</v>
      </c>
      <c r="H837">
        <f>VLOOKUP(A837,Classifications!$A:$G,7,FALSE)</f>
        <v>43</v>
      </c>
      <c r="I837" t="s">
        <v>11</v>
      </c>
      <c r="J837" s="2">
        <v>44217.610462962963</v>
      </c>
    </row>
    <row r="838" spans="1:10" ht="12.75" customHeight="1" x14ac:dyDescent="0.3">
      <c r="A838">
        <v>1350800</v>
      </c>
      <c r="B838" t="s">
        <v>36</v>
      </c>
      <c r="C838" t="s">
        <v>1963</v>
      </c>
      <c r="D838" t="s">
        <v>1964</v>
      </c>
      <c r="E838" s="1" t="s">
        <v>1965</v>
      </c>
      <c r="F838">
        <f>VLOOKUP(A838,Classifications!$A:$E,5,FALSE)</f>
        <v>2</v>
      </c>
      <c r="G838">
        <f>VLOOKUP(A838,Classifications!$A:$F,6,FALSE)</f>
        <v>2</v>
      </c>
      <c r="H838">
        <f>VLOOKUP(A838,Classifications!$A:$G,7,FALSE)</f>
        <v>43</v>
      </c>
      <c r="I838" t="s">
        <v>24</v>
      </c>
      <c r="J838" s="2">
        <v>44217.609942129631</v>
      </c>
    </row>
    <row r="839" spans="1:10" ht="12.75" customHeight="1" x14ac:dyDescent="0.3">
      <c r="A839">
        <v>1350796</v>
      </c>
      <c r="B839" t="s">
        <v>350</v>
      </c>
      <c r="C839" t="s">
        <v>1966</v>
      </c>
      <c r="D839" t="s">
        <v>1967</v>
      </c>
      <c r="E839" s="1" t="s">
        <v>1968</v>
      </c>
      <c r="F839">
        <f>VLOOKUP(A839,Classifications!$A:$E,5,FALSE)</f>
        <v>1</v>
      </c>
      <c r="G839">
        <f>VLOOKUP(A839,Classifications!$A:$F,6,FALSE)</f>
        <v>2</v>
      </c>
      <c r="H839">
        <f>VLOOKUP(A839,Classifications!$A:$G,7,FALSE)</f>
        <v>41</v>
      </c>
      <c r="I839" t="s">
        <v>24</v>
      </c>
      <c r="J839" s="2">
        <v>44217.598263888889</v>
      </c>
    </row>
    <row r="840" spans="1:10" ht="12.75" customHeight="1" x14ac:dyDescent="0.3">
      <c r="A840">
        <v>1350783</v>
      </c>
      <c r="B840" t="s">
        <v>1105</v>
      </c>
      <c r="C840" t="s">
        <v>1106</v>
      </c>
      <c r="D840" t="s">
        <v>1969</v>
      </c>
      <c r="E840" s="1" t="s">
        <v>1970</v>
      </c>
      <c r="F840">
        <f>VLOOKUP(A840,Classifications!$A:$E,5,FALSE)</f>
        <v>1</v>
      </c>
      <c r="G840">
        <f>VLOOKUP(A840,Classifications!$A:$F,6,FALSE)</f>
        <v>1</v>
      </c>
      <c r="H840">
        <f>VLOOKUP(A840,Classifications!$A:$G,7,FALSE)</f>
        <v>36</v>
      </c>
      <c r="I840" t="s">
        <v>11</v>
      </c>
      <c r="J840" s="2">
        <v>44217.583564814813</v>
      </c>
    </row>
    <row r="841" spans="1:10" ht="12.75" customHeight="1" x14ac:dyDescent="0.3">
      <c r="A841">
        <v>1350781</v>
      </c>
      <c r="B841" t="s">
        <v>36</v>
      </c>
      <c r="C841" t="s">
        <v>752</v>
      </c>
      <c r="D841" t="s">
        <v>1971</v>
      </c>
      <c r="E841" s="1" t="s">
        <v>1972</v>
      </c>
      <c r="F841">
        <f>VLOOKUP(A841,Classifications!$A:$E,5,FALSE)</f>
        <v>1</v>
      </c>
      <c r="G841">
        <f>VLOOKUP(A841,Classifications!$A:$F,6,FALSE)</f>
        <v>1</v>
      </c>
      <c r="H841">
        <f>VLOOKUP(A841,Classifications!$A:$G,7,FALSE)</f>
        <v>41</v>
      </c>
      <c r="I841" t="s">
        <v>24</v>
      </c>
      <c r="J841" s="2">
        <v>44217.579745370371</v>
      </c>
    </row>
    <row r="842" spans="1:10" ht="12.75" customHeight="1" x14ac:dyDescent="0.3">
      <c r="A842">
        <v>1350774</v>
      </c>
      <c r="B842" t="s">
        <v>515</v>
      </c>
      <c r="C842" t="s">
        <v>516</v>
      </c>
      <c r="D842" t="s">
        <v>1973</v>
      </c>
      <c r="E842" s="1" t="s">
        <v>1974</v>
      </c>
      <c r="F842">
        <f>VLOOKUP(A842,Classifications!$A:$E,5,FALSE)</f>
        <v>1</v>
      </c>
      <c r="G842">
        <f>VLOOKUP(A842,Classifications!$A:$F,6,FALSE)</f>
        <v>2</v>
      </c>
      <c r="H842">
        <f>VLOOKUP(A842,Classifications!$A:$G,7,FALSE)</f>
        <v>43</v>
      </c>
      <c r="I842" t="s">
        <v>11</v>
      </c>
      <c r="J842" s="2">
        <v>44217.56958333333</v>
      </c>
    </row>
    <row r="843" spans="1:10" ht="12.75" customHeight="1" x14ac:dyDescent="0.3">
      <c r="A843">
        <v>1350770</v>
      </c>
      <c r="B843" t="s">
        <v>374</v>
      </c>
      <c r="C843" t="s">
        <v>663</v>
      </c>
      <c r="D843" t="s">
        <v>1975</v>
      </c>
      <c r="E843" s="1" t="s">
        <v>1976</v>
      </c>
      <c r="F843">
        <f>VLOOKUP(A843,Classifications!$A:$E,5,FALSE)</f>
        <v>1</v>
      </c>
      <c r="G843">
        <f>VLOOKUP(A843,Classifications!$A:$F,6,FALSE)</f>
        <v>1</v>
      </c>
      <c r="H843">
        <f>VLOOKUP(A843,Classifications!$A:$G,7,FALSE)</f>
        <v>36</v>
      </c>
      <c r="I843" t="s">
        <v>24</v>
      </c>
      <c r="J843" s="2">
        <v>44217.564918981479</v>
      </c>
    </row>
    <row r="844" spans="1:10" ht="12.75" customHeight="1" x14ac:dyDescent="0.3">
      <c r="A844">
        <v>1350762</v>
      </c>
      <c r="B844" t="s">
        <v>1749</v>
      </c>
      <c r="C844" t="s">
        <v>1977</v>
      </c>
      <c r="D844" t="s">
        <v>1978</v>
      </c>
      <c r="E844" s="1" t="s">
        <v>1979</v>
      </c>
      <c r="F844">
        <f>VLOOKUP(A844,Classifications!$A:$E,5,FALSE)</f>
        <v>3</v>
      </c>
      <c r="G844">
        <f>VLOOKUP(A844,Classifications!$A:$F,6,FALSE)</f>
        <v>2</v>
      </c>
      <c r="H844">
        <f>VLOOKUP(A844,Classifications!$A:$G,7,FALSE)</f>
        <v>41</v>
      </c>
      <c r="I844" t="s">
        <v>11</v>
      </c>
      <c r="J844" s="2">
        <v>44217.540706018517</v>
      </c>
    </row>
    <row r="845" spans="1:10" ht="12.75" customHeight="1" x14ac:dyDescent="0.3">
      <c r="A845">
        <v>1350757</v>
      </c>
      <c r="B845" t="s">
        <v>435</v>
      </c>
      <c r="C845" t="s">
        <v>436</v>
      </c>
      <c r="D845" t="s">
        <v>1980</v>
      </c>
      <c r="E845" s="1" t="s">
        <v>1981</v>
      </c>
      <c r="F845">
        <f>VLOOKUP(A845,Classifications!$A:$E,5,FALSE)</f>
        <v>1</v>
      </c>
      <c r="G845">
        <f>VLOOKUP(A845,Classifications!$A:$F,6,FALSE)</f>
        <v>1</v>
      </c>
      <c r="H845">
        <f>VLOOKUP(A845,Classifications!$A:$G,7,FALSE)</f>
        <v>43</v>
      </c>
      <c r="I845" t="s">
        <v>11</v>
      </c>
      <c r="J845" s="2">
        <v>44217.525011574071</v>
      </c>
    </row>
    <row r="846" spans="1:10" ht="12.75" customHeight="1" x14ac:dyDescent="0.3">
      <c r="A846">
        <v>1350756</v>
      </c>
      <c r="B846" t="s">
        <v>746</v>
      </c>
      <c r="C846" t="s">
        <v>1982</v>
      </c>
      <c r="D846" t="s">
        <v>1983</v>
      </c>
      <c r="E846" s="1" t="s">
        <v>1984</v>
      </c>
      <c r="F846">
        <f>VLOOKUP(A846,Classifications!$A:$E,5,FALSE)</f>
        <v>1</v>
      </c>
      <c r="G846">
        <f>VLOOKUP(A846,Classifications!$A:$F,6,FALSE)</f>
        <v>2</v>
      </c>
      <c r="H846">
        <f>VLOOKUP(A846,Classifications!$A:$G,7,FALSE)</f>
        <v>41</v>
      </c>
      <c r="I846" t="s">
        <v>11</v>
      </c>
      <c r="J846" s="2">
        <v>44217.521921296298</v>
      </c>
    </row>
    <row r="847" spans="1:10" ht="12.75" customHeight="1" x14ac:dyDescent="0.3">
      <c r="A847">
        <v>1350753</v>
      </c>
      <c r="B847" t="s">
        <v>746</v>
      </c>
      <c r="C847" t="s">
        <v>1203</v>
      </c>
      <c r="D847" t="s">
        <v>1985</v>
      </c>
      <c r="E847" s="1" t="s">
        <v>1986</v>
      </c>
      <c r="F847">
        <f>VLOOKUP(A847,Classifications!$A:$E,5,FALSE)</f>
        <v>1</v>
      </c>
      <c r="G847">
        <f>VLOOKUP(A847,Classifications!$A:$F,6,FALSE)</f>
        <v>2</v>
      </c>
      <c r="H847">
        <f>VLOOKUP(A847,Classifications!$A:$G,7,FALSE)</f>
        <v>36</v>
      </c>
      <c r="I847" t="s">
        <v>24</v>
      </c>
      <c r="J847" s="2">
        <v>44217.516597222224</v>
      </c>
    </row>
    <row r="848" spans="1:10" ht="12.75" customHeight="1" x14ac:dyDescent="0.3">
      <c r="A848">
        <v>1350752</v>
      </c>
      <c r="B848" t="s">
        <v>281</v>
      </c>
      <c r="C848" t="s">
        <v>282</v>
      </c>
      <c r="D848" t="s">
        <v>1987</v>
      </c>
      <c r="E848" s="1" t="s">
        <v>1988</v>
      </c>
      <c r="F848">
        <f>VLOOKUP(A848,Classifications!$A:$E,5,FALSE)</f>
        <v>1</v>
      </c>
      <c r="G848">
        <f>VLOOKUP(A848,Classifications!$A:$F,6,FALSE)</f>
        <v>1</v>
      </c>
      <c r="H848">
        <f>VLOOKUP(A848,Classifications!$A:$G,7,FALSE)</f>
        <v>36</v>
      </c>
      <c r="I848" t="s">
        <v>24</v>
      </c>
      <c r="J848" s="2">
        <v>44217.516516203701</v>
      </c>
    </row>
    <row r="849" spans="1:10" ht="12.75" customHeight="1" x14ac:dyDescent="0.3">
      <c r="A849">
        <v>1350747</v>
      </c>
      <c r="B849" t="s">
        <v>45</v>
      </c>
      <c r="C849" t="s">
        <v>1743</v>
      </c>
      <c r="D849" t="s">
        <v>1989</v>
      </c>
      <c r="E849" s="1" t="s">
        <v>1990</v>
      </c>
      <c r="F849">
        <f>VLOOKUP(A849,Classifications!$A:$E,5,FALSE)</f>
        <v>1</v>
      </c>
      <c r="G849">
        <f>VLOOKUP(A849,Classifications!$A:$F,6,FALSE)</f>
        <v>1</v>
      </c>
      <c r="H849">
        <f>VLOOKUP(A849,Classifications!$A:$G,7,FALSE)</f>
        <v>43</v>
      </c>
      <c r="I849" t="s">
        <v>11</v>
      </c>
      <c r="J849" s="2">
        <v>44217.502824074072</v>
      </c>
    </row>
    <row r="850" spans="1:10" ht="12.75" customHeight="1" x14ac:dyDescent="0.3">
      <c r="A850">
        <v>1350737</v>
      </c>
      <c r="B850" t="s">
        <v>53</v>
      </c>
      <c r="C850" t="s">
        <v>54</v>
      </c>
      <c r="D850" t="s">
        <v>1991</v>
      </c>
      <c r="E850" s="1" t="s">
        <v>1992</v>
      </c>
      <c r="F850">
        <f>VLOOKUP(A850,Classifications!$A:$E,5,FALSE)</f>
        <v>1</v>
      </c>
      <c r="G850">
        <f>VLOOKUP(A850,Classifications!$A:$F,6,FALSE)</f>
        <v>3</v>
      </c>
      <c r="H850">
        <f>VLOOKUP(A850,Classifications!$A:$G,7,FALSE)</f>
        <v>43</v>
      </c>
      <c r="I850" t="s">
        <v>11</v>
      </c>
      <c r="J850" s="2">
        <v>44217.485289351855</v>
      </c>
    </row>
    <row r="851" spans="1:10" ht="12.75" customHeight="1" x14ac:dyDescent="0.3">
      <c r="A851">
        <v>1350735</v>
      </c>
      <c r="B851" t="s">
        <v>374</v>
      </c>
      <c r="C851" t="s">
        <v>663</v>
      </c>
      <c r="D851" t="s">
        <v>1993</v>
      </c>
      <c r="E851" s="1" t="s">
        <v>1994</v>
      </c>
      <c r="F851">
        <f>VLOOKUP(A851,Classifications!$A:$E,5,FALSE)</f>
        <v>1</v>
      </c>
      <c r="G851">
        <f>VLOOKUP(A851,Classifications!$A:$F,6,FALSE)</f>
        <v>2</v>
      </c>
      <c r="H851">
        <f>VLOOKUP(A851,Classifications!$A:$G,7,FALSE)</f>
        <v>43</v>
      </c>
      <c r="I851" t="s">
        <v>11</v>
      </c>
      <c r="J851" s="2">
        <v>44217.477233796293</v>
      </c>
    </row>
    <row r="852" spans="1:10" ht="12.75" customHeight="1" x14ac:dyDescent="0.3">
      <c r="A852">
        <v>1350733</v>
      </c>
      <c r="B852" t="s">
        <v>25</v>
      </c>
      <c r="C852" t="s">
        <v>1995</v>
      </c>
      <c r="D852" t="s">
        <v>1996</v>
      </c>
      <c r="E852" s="1" t="s">
        <v>1997</v>
      </c>
      <c r="F852">
        <f>VLOOKUP(A852,Classifications!$A:$E,5,FALSE)</f>
        <v>1</v>
      </c>
      <c r="G852">
        <f>VLOOKUP(A852,Classifications!$A:$F,6,FALSE)</f>
        <v>2</v>
      </c>
      <c r="H852">
        <f>VLOOKUP(A852,Classifications!$A:$G,7,FALSE)</f>
        <v>41</v>
      </c>
      <c r="I852" t="s">
        <v>11</v>
      </c>
      <c r="J852" s="2">
        <v>44217.475439814814</v>
      </c>
    </row>
    <row r="853" spans="1:10" ht="12.75" customHeight="1" x14ac:dyDescent="0.3">
      <c r="A853">
        <v>1350709</v>
      </c>
      <c r="B853" t="s">
        <v>36</v>
      </c>
      <c r="C853" t="s">
        <v>1342</v>
      </c>
      <c r="D853" t="s">
        <v>1998</v>
      </c>
      <c r="E853" s="1" t="s">
        <v>1999</v>
      </c>
      <c r="F853">
        <f>VLOOKUP(A853,Classifications!$A:$E,5,FALSE)</f>
        <v>3</v>
      </c>
      <c r="G853">
        <f>VLOOKUP(A853,Classifications!$A:$F,6,FALSE)</f>
        <v>3</v>
      </c>
      <c r="H853">
        <f>VLOOKUP(A853,Classifications!$A:$G,7,FALSE)</f>
        <v>43</v>
      </c>
      <c r="I853" t="s">
        <v>11</v>
      </c>
      <c r="J853" s="2">
        <v>44217.441782407404</v>
      </c>
    </row>
    <row r="854" spans="1:10" ht="12.75" customHeight="1" x14ac:dyDescent="0.3">
      <c r="A854">
        <v>1350658</v>
      </c>
      <c r="B854" t="s">
        <v>7</v>
      </c>
      <c r="C854" t="s">
        <v>2000</v>
      </c>
      <c r="D854" t="s">
        <v>2001</v>
      </c>
      <c r="E854" s="1" t="s">
        <v>2002</v>
      </c>
      <c r="F854">
        <f>VLOOKUP(A854,Classifications!$A:$E,5,FALSE)</f>
        <v>1</v>
      </c>
      <c r="G854">
        <f>VLOOKUP(A854,Classifications!$A:$F,6,FALSE)</f>
        <v>2</v>
      </c>
      <c r="H854">
        <f>VLOOKUP(A854,Classifications!$A:$G,7,FALSE)</f>
        <v>41</v>
      </c>
      <c r="I854" t="s">
        <v>11</v>
      </c>
      <c r="J854" s="2">
        <v>44217.402430555558</v>
      </c>
    </row>
    <row r="855" spans="1:10" ht="12.75" customHeight="1" x14ac:dyDescent="0.3">
      <c r="A855">
        <v>1350650</v>
      </c>
      <c r="B855" t="s">
        <v>45</v>
      </c>
      <c r="C855" t="s">
        <v>2003</v>
      </c>
      <c r="D855" t="s">
        <v>2004</v>
      </c>
      <c r="E855" s="1" t="s">
        <v>2005</v>
      </c>
      <c r="F855">
        <f>VLOOKUP(A855,Classifications!$A:$E,5,FALSE)</f>
        <v>1</v>
      </c>
      <c r="G855">
        <f>VLOOKUP(A855,Classifications!$A:$F,6,FALSE)</f>
        <v>1</v>
      </c>
      <c r="H855">
        <f>VLOOKUP(A855,Classifications!$A:$G,7,FALSE)</f>
        <v>43</v>
      </c>
      <c r="I855" t="s">
        <v>11</v>
      </c>
      <c r="J855" s="2">
        <v>44217.395185185182</v>
      </c>
    </row>
    <row r="856" spans="1:10" ht="12.75" customHeight="1" x14ac:dyDescent="0.3">
      <c r="A856">
        <v>1350644</v>
      </c>
      <c r="B856" t="s">
        <v>20</v>
      </c>
      <c r="C856" t="s">
        <v>136</v>
      </c>
      <c r="D856" t="s">
        <v>2006</v>
      </c>
      <c r="E856" s="1" t="s">
        <v>2007</v>
      </c>
      <c r="F856">
        <f>VLOOKUP(A856,Classifications!$A:$E,5,FALSE)</f>
        <v>1</v>
      </c>
      <c r="G856">
        <f>VLOOKUP(A856,Classifications!$A:$F,6,FALSE)</f>
        <v>1</v>
      </c>
      <c r="H856">
        <f>VLOOKUP(A856,Classifications!$A:$G,7,FALSE)</f>
        <v>43</v>
      </c>
      <c r="I856" t="s">
        <v>11</v>
      </c>
      <c r="J856" s="2">
        <v>44217.384189814817</v>
      </c>
    </row>
    <row r="857" spans="1:10" ht="12.75" customHeight="1" x14ac:dyDescent="0.3">
      <c r="A857">
        <v>1350642</v>
      </c>
      <c r="B857" t="s">
        <v>1236</v>
      </c>
      <c r="C857" t="s">
        <v>1237</v>
      </c>
      <c r="D857" t="s">
        <v>2008</v>
      </c>
      <c r="E857" s="1" t="s">
        <v>2009</v>
      </c>
      <c r="F857">
        <f>VLOOKUP(A857,Classifications!$A:$E,5,FALSE)</f>
        <v>1</v>
      </c>
      <c r="G857">
        <f>VLOOKUP(A857,Classifications!$A:$F,6,FALSE)</f>
        <v>1</v>
      </c>
      <c r="H857">
        <f>VLOOKUP(A857,Classifications!$A:$G,7,FALSE)</f>
        <v>36</v>
      </c>
      <c r="I857" t="s">
        <v>11</v>
      </c>
      <c r="J857" s="2">
        <v>44217.379525462966</v>
      </c>
    </row>
    <row r="858" spans="1:10" ht="12.75" customHeight="1" x14ac:dyDescent="0.3">
      <c r="A858">
        <v>1350640</v>
      </c>
      <c r="B858" t="s">
        <v>435</v>
      </c>
      <c r="C858" t="s">
        <v>2010</v>
      </c>
      <c r="D858" t="s">
        <v>2011</v>
      </c>
      <c r="E858" s="1" t="s">
        <v>2012</v>
      </c>
      <c r="F858">
        <f>VLOOKUP(A858,Classifications!$A:$E,5,FALSE)</f>
        <v>1</v>
      </c>
      <c r="G858">
        <f>VLOOKUP(A858,Classifications!$A:$F,6,FALSE)</f>
        <v>2</v>
      </c>
      <c r="H858">
        <f>VLOOKUP(A858,Classifications!$A:$G,7,FALSE)</f>
        <v>41</v>
      </c>
      <c r="I858" t="s">
        <v>11</v>
      </c>
      <c r="J858" s="2">
        <v>44217.37909722222</v>
      </c>
    </row>
    <row r="859" spans="1:10" ht="12.75" customHeight="1" x14ac:dyDescent="0.3">
      <c r="A859">
        <v>1350631</v>
      </c>
      <c r="B859" t="s">
        <v>157</v>
      </c>
      <c r="C859" t="s">
        <v>627</v>
      </c>
      <c r="D859" t="s">
        <v>2013</v>
      </c>
      <c r="E859" s="1" t="s">
        <v>2014</v>
      </c>
      <c r="F859">
        <f>VLOOKUP(A859,Classifications!$A:$E,5,FALSE)</f>
        <v>1</v>
      </c>
      <c r="G859">
        <f>VLOOKUP(A859,Classifications!$A:$F,6,FALSE)</f>
        <v>2</v>
      </c>
      <c r="H859">
        <f>VLOOKUP(A859,Classifications!$A:$G,7,FALSE)</f>
        <v>43</v>
      </c>
      <c r="I859" t="s">
        <v>24</v>
      </c>
      <c r="J859" s="2">
        <v>44217.365648148145</v>
      </c>
    </row>
    <row r="860" spans="1:10" ht="12.75" customHeight="1" x14ac:dyDescent="0.3">
      <c r="A860">
        <v>1350622</v>
      </c>
      <c r="B860" t="s">
        <v>12</v>
      </c>
      <c r="C860" t="s">
        <v>1774</v>
      </c>
      <c r="D860" t="s">
        <v>2015</v>
      </c>
      <c r="E860" s="1" t="s">
        <v>2016</v>
      </c>
      <c r="F860">
        <f>VLOOKUP(A860,Classifications!$A:$E,5,FALSE)</f>
        <v>1</v>
      </c>
      <c r="G860">
        <f>VLOOKUP(A860,Classifications!$A:$F,6,FALSE)</f>
        <v>1</v>
      </c>
      <c r="H860">
        <f>VLOOKUP(A860,Classifications!$A:$G,7,FALSE)</f>
        <v>36</v>
      </c>
      <c r="I860" t="s">
        <v>24</v>
      </c>
      <c r="J860" s="2">
        <v>44217.350636574076</v>
      </c>
    </row>
    <row r="861" spans="1:10" ht="12.75" customHeight="1" x14ac:dyDescent="0.3">
      <c r="A861">
        <v>1350602</v>
      </c>
      <c r="B861" t="s">
        <v>157</v>
      </c>
      <c r="C861" t="s">
        <v>1740</v>
      </c>
      <c r="D861" t="s">
        <v>2017</v>
      </c>
      <c r="E861" s="1" t="s">
        <v>2018</v>
      </c>
      <c r="F861">
        <f>VLOOKUP(A861,Classifications!$A:$E,5,FALSE)</f>
        <v>1</v>
      </c>
      <c r="G861">
        <f>VLOOKUP(A861,Classifications!$A:$F,6,FALSE)</f>
        <v>2</v>
      </c>
      <c r="H861">
        <f>VLOOKUP(A861,Classifications!$A:$G,7,FALSE)</f>
        <v>41</v>
      </c>
      <c r="I861" t="s">
        <v>11</v>
      </c>
      <c r="J861" s="2">
        <v>44217.33457175926</v>
      </c>
    </row>
    <row r="862" spans="1:10" ht="12.75" customHeight="1" x14ac:dyDescent="0.3">
      <c r="A862">
        <v>1350595</v>
      </c>
      <c r="B862" t="s">
        <v>36</v>
      </c>
      <c r="C862" t="s">
        <v>2019</v>
      </c>
      <c r="D862" t="s">
        <v>2020</v>
      </c>
      <c r="E862" s="1" t="s">
        <v>2021</v>
      </c>
      <c r="F862">
        <f>VLOOKUP(A862,Classifications!$A:$E,5,FALSE)</f>
        <v>1</v>
      </c>
      <c r="G862">
        <f>VLOOKUP(A862,Classifications!$A:$F,6,FALSE)</f>
        <v>1</v>
      </c>
      <c r="H862">
        <f>VLOOKUP(A862,Classifications!$A:$G,7,FALSE)</f>
        <v>41</v>
      </c>
      <c r="I862" t="s">
        <v>24</v>
      </c>
      <c r="J862" s="2">
        <v>44217.33016203704</v>
      </c>
    </row>
    <row r="863" spans="1:10" ht="12.75" customHeight="1" x14ac:dyDescent="0.3">
      <c r="A863">
        <v>1350590</v>
      </c>
      <c r="B863" t="s">
        <v>32</v>
      </c>
      <c r="C863" t="s">
        <v>1622</v>
      </c>
      <c r="D863" t="s">
        <v>2022</v>
      </c>
      <c r="E863" s="1" t="s">
        <v>2023</v>
      </c>
      <c r="F863">
        <f>VLOOKUP(A863,Classifications!$A:$E,5,FALSE)</f>
        <v>1</v>
      </c>
      <c r="G863">
        <f>VLOOKUP(A863,Classifications!$A:$F,6,FALSE)</f>
        <v>3</v>
      </c>
      <c r="H863">
        <f>VLOOKUP(A863,Classifications!$A:$G,7,FALSE)</f>
        <v>41</v>
      </c>
      <c r="I863" t="s">
        <v>11</v>
      </c>
      <c r="J863" s="2">
        <v>44217.323599537034</v>
      </c>
    </row>
    <row r="864" spans="1:10" ht="12.75" customHeight="1" x14ac:dyDescent="0.3">
      <c r="A864">
        <v>1350478</v>
      </c>
      <c r="B864" t="s">
        <v>277</v>
      </c>
      <c r="C864" t="s">
        <v>816</v>
      </c>
      <c r="D864" t="s">
        <v>1429</v>
      </c>
      <c r="E864" s="1" t="s">
        <v>1160</v>
      </c>
      <c r="F864">
        <f>VLOOKUP(A864,Classifications!$A:$E,5,FALSE)</f>
        <v>1</v>
      </c>
      <c r="G864">
        <f>VLOOKUP(A864,Classifications!$A:$F,6,FALSE)</f>
        <v>1</v>
      </c>
      <c r="H864">
        <f>VLOOKUP(A864,Classifications!$A:$G,7,FALSE)</f>
        <v>36</v>
      </c>
      <c r="I864" t="s">
        <v>1158</v>
      </c>
      <c r="J864" s="2">
        <v>44217.000057870369</v>
      </c>
    </row>
    <row r="865" spans="1:10" ht="12.75" customHeight="1" x14ac:dyDescent="0.3">
      <c r="A865">
        <v>1350322</v>
      </c>
      <c r="B865" t="s">
        <v>860</v>
      </c>
      <c r="C865" t="s">
        <v>158</v>
      </c>
      <c r="D865" t="s">
        <v>2024</v>
      </c>
      <c r="E865" s="1" t="s">
        <v>2025</v>
      </c>
      <c r="F865">
        <f>VLOOKUP(A865,Classifications!$A:$E,5,FALSE)</f>
        <v>2</v>
      </c>
      <c r="G865">
        <f>VLOOKUP(A865,Classifications!$A:$F,6,FALSE)</f>
        <v>2</v>
      </c>
      <c r="H865">
        <f>VLOOKUP(A865,Classifications!$A:$G,7,FALSE)</f>
        <v>41</v>
      </c>
      <c r="I865" t="s">
        <v>11</v>
      </c>
      <c r="J865" s="2">
        <v>44216.764282407406</v>
      </c>
    </row>
    <row r="866" spans="1:10" ht="12.75" customHeight="1" x14ac:dyDescent="0.3">
      <c r="A866">
        <v>1350274</v>
      </c>
      <c r="B866" t="s">
        <v>25</v>
      </c>
      <c r="C866" t="s">
        <v>2026</v>
      </c>
      <c r="D866" t="s">
        <v>2027</v>
      </c>
      <c r="E866" s="1" t="s">
        <v>2028</v>
      </c>
      <c r="F866">
        <f>VLOOKUP(A866,Classifications!$A:$E,5,FALSE)</f>
        <v>3</v>
      </c>
      <c r="G866">
        <f>VLOOKUP(A866,Classifications!$A:$F,6,FALSE)</f>
        <v>3</v>
      </c>
      <c r="H866">
        <f>VLOOKUP(A866,Classifications!$A:$G,7,FALSE)</f>
        <v>41</v>
      </c>
      <c r="I866" t="s">
        <v>24</v>
      </c>
      <c r="J866" s="2">
        <v>44216.692881944444</v>
      </c>
    </row>
    <row r="867" spans="1:10" ht="12.75" customHeight="1" x14ac:dyDescent="0.3">
      <c r="A867">
        <v>1350273</v>
      </c>
      <c r="B867" t="s">
        <v>70</v>
      </c>
      <c r="C867" t="s">
        <v>660</v>
      </c>
      <c r="D867" t="s">
        <v>2029</v>
      </c>
      <c r="E867" s="1" t="s">
        <v>2030</v>
      </c>
      <c r="F867">
        <f>VLOOKUP(A867,Classifications!$A:$E,5,FALSE)</f>
        <v>1</v>
      </c>
      <c r="G867">
        <f>VLOOKUP(A867,Classifications!$A:$F,6,FALSE)</f>
        <v>2</v>
      </c>
      <c r="H867">
        <f>VLOOKUP(A867,Classifications!$A:$G,7,FALSE)</f>
        <v>43</v>
      </c>
      <c r="I867" t="s">
        <v>11</v>
      </c>
      <c r="J867" s="2">
        <v>44216.691493055558</v>
      </c>
    </row>
    <row r="868" spans="1:10" ht="12.75" customHeight="1" x14ac:dyDescent="0.3">
      <c r="A868">
        <v>1350268</v>
      </c>
      <c r="B868" t="s">
        <v>74</v>
      </c>
      <c r="C868" t="s">
        <v>1656</v>
      </c>
      <c r="D868" t="s">
        <v>2031</v>
      </c>
      <c r="E868" s="1" t="s">
        <v>2032</v>
      </c>
      <c r="F868">
        <f>VLOOKUP(A868,Classifications!$A:$E,5,FALSE)</f>
        <v>1</v>
      </c>
      <c r="G868">
        <f>VLOOKUP(A868,Classifications!$A:$F,6,FALSE)</f>
        <v>2</v>
      </c>
      <c r="H868">
        <f>VLOOKUP(A868,Classifications!$A:$G,7,FALSE)</f>
        <v>43</v>
      </c>
      <c r="I868" t="s">
        <v>11</v>
      </c>
      <c r="J868" s="2">
        <v>44216.679351851853</v>
      </c>
    </row>
    <row r="869" spans="1:10" ht="12.75" customHeight="1" x14ac:dyDescent="0.3">
      <c r="A869">
        <v>1350262</v>
      </c>
      <c r="B869" t="s">
        <v>2033</v>
      </c>
      <c r="C869" t="s">
        <v>2034</v>
      </c>
      <c r="D869" t="s">
        <v>2035</v>
      </c>
      <c r="E869" s="1" t="s">
        <v>2036</v>
      </c>
      <c r="F869">
        <f>VLOOKUP(A869,Classifications!$A:$E,5,FALSE)</f>
        <v>1</v>
      </c>
      <c r="G869">
        <f>VLOOKUP(A869,Classifications!$A:$F,6,FALSE)</f>
        <v>2</v>
      </c>
      <c r="H869">
        <f>VLOOKUP(A869,Classifications!$A:$G,7,FALSE)</f>
        <v>41</v>
      </c>
      <c r="I869" t="s">
        <v>11</v>
      </c>
      <c r="J869" s="2">
        <v>44216.667569444442</v>
      </c>
    </row>
    <row r="870" spans="1:10" ht="12.75" customHeight="1" x14ac:dyDescent="0.3">
      <c r="A870">
        <v>1350261</v>
      </c>
      <c r="B870" t="s">
        <v>2037</v>
      </c>
      <c r="C870" t="s">
        <v>2038</v>
      </c>
      <c r="D870" t="s">
        <v>2039</v>
      </c>
      <c r="E870" s="1" t="s">
        <v>2040</v>
      </c>
      <c r="F870">
        <f>VLOOKUP(A870,Classifications!$A:$E,5,FALSE)</f>
        <v>1</v>
      </c>
      <c r="G870">
        <f>VLOOKUP(A870,Classifications!$A:$F,6,FALSE)</f>
        <v>2</v>
      </c>
      <c r="H870">
        <f>VLOOKUP(A870,Classifications!$A:$G,7,FALSE)</f>
        <v>41</v>
      </c>
      <c r="I870" t="s">
        <v>11</v>
      </c>
      <c r="J870" s="2">
        <v>44216.666956018518</v>
      </c>
    </row>
    <row r="871" spans="1:10" ht="12.75" customHeight="1" x14ac:dyDescent="0.3">
      <c r="A871">
        <v>1350256</v>
      </c>
      <c r="B871" t="s">
        <v>49</v>
      </c>
      <c r="C871" t="s">
        <v>315</v>
      </c>
      <c r="D871" t="s">
        <v>2041</v>
      </c>
      <c r="E871" s="1" t="s">
        <v>2042</v>
      </c>
      <c r="F871">
        <f>VLOOKUP(A871,Classifications!$A:$E,5,FALSE)</f>
        <v>1</v>
      </c>
      <c r="G871">
        <f>VLOOKUP(A871,Classifications!$A:$F,6,FALSE)</f>
        <v>2</v>
      </c>
      <c r="H871">
        <f>VLOOKUP(A871,Classifications!$A:$G,7,FALSE)</f>
        <v>41</v>
      </c>
      <c r="I871" t="s">
        <v>24</v>
      </c>
      <c r="J871" s="2">
        <v>44216.645046296297</v>
      </c>
    </row>
    <row r="872" spans="1:10" ht="12.75" customHeight="1" x14ac:dyDescent="0.3">
      <c r="A872">
        <v>1350255</v>
      </c>
      <c r="B872" t="s">
        <v>184</v>
      </c>
      <c r="C872" t="s">
        <v>2043</v>
      </c>
      <c r="D872" t="s">
        <v>2044</v>
      </c>
      <c r="E872" s="1" t="s">
        <v>2045</v>
      </c>
      <c r="F872">
        <f>VLOOKUP(A872,Classifications!$A:$E,5,FALSE)</f>
        <v>1</v>
      </c>
      <c r="G872">
        <f>VLOOKUP(A872,Classifications!$A:$F,6,FALSE)</f>
        <v>3</v>
      </c>
      <c r="H872">
        <f>VLOOKUP(A872,Classifications!$A:$G,7,FALSE)</f>
        <v>41</v>
      </c>
      <c r="I872" t="s">
        <v>11</v>
      </c>
      <c r="J872" s="2">
        <v>44216.635821759257</v>
      </c>
    </row>
    <row r="873" spans="1:10" ht="12.75" customHeight="1" x14ac:dyDescent="0.3">
      <c r="A873">
        <v>1350240</v>
      </c>
      <c r="B873" t="s">
        <v>1010</v>
      </c>
      <c r="C873" t="s">
        <v>2046</v>
      </c>
      <c r="D873" t="s">
        <v>2047</v>
      </c>
      <c r="E873" s="1" t="s">
        <v>2048</v>
      </c>
      <c r="F873">
        <f>VLOOKUP(A873,Classifications!$A:$E,5,FALSE)</f>
        <v>1</v>
      </c>
      <c r="G873">
        <f>VLOOKUP(A873,Classifications!$A:$F,6,FALSE)</f>
        <v>1</v>
      </c>
      <c r="H873">
        <f>VLOOKUP(A873,Classifications!$A:$G,7,FALSE)</f>
        <v>41</v>
      </c>
      <c r="I873" t="s">
        <v>11</v>
      </c>
      <c r="J873" s="2">
        <v>44216.589004629626</v>
      </c>
    </row>
    <row r="874" spans="1:10" ht="12.75" customHeight="1" x14ac:dyDescent="0.3">
      <c r="A874">
        <v>1350230</v>
      </c>
      <c r="B874" t="s">
        <v>70</v>
      </c>
      <c r="C874" t="s">
        <v>71</v>
      </c>
      <c r="D874" t="s">
        <v>2049</v>
      </c>
      <c r="E874" s="1" t="s">
        <v>2050</v>
      </c>
      <c r="F874">
        <f>VLOOKUP(A874,Classifications!$A:$E,5,FALSE)</f>
        <v>1</v>
      </c>
      <c r="G874">
        <f>VLOOKUP(A874,Classifications!$A:$F,6,FALSE)</f>
        <v>2</v>
      </c>
      <c r="H874">
        <f>VLOOKUP(A874,Classifications!$A:$G,7,FALSE)</f>
        <v>41</v>
      </c>
      <c r="I874" t="s">
        <v>11</v>
      </c>
      <c r="J874" s="2">
        <v>44216.562280092592</v>
      </c>
    </row>
    <row r="875" spans="1:10" ht="12.75" customHeight="1" x14ac:dyDescent="0.3">
      <c r="A875">
        <v>1350229</v>
      </c>
      <c r="B875" t="s">
        <v>12</v>
      </c>
      <c r="C875" t="s">
        <v>338</v>
      </c>
      <c r="D875" t="s">
        <v>2051</v>
      </c>
      <c r="E875" s="1" t="s">
        <v>2052</v>
      </c>
      <c r="F875">
        <f>VLOOKUP(A875,Classifications!$A:$E,5,FALSE)</f>
        <v>1</v>
      </c>
      <c r="G875">
        <f>VLOOKUP(A875,Classifications!$A:$F,6,FALSE)</f>
        <v>1</v>
      </c>
      <c r="H875">
        <f>VLOOKUP(A875,Classifications!$A:$G,7,FALSE)</f>
        <v>36</v>
      </c>
      <c r="I875" t="s">
        <v>11</v>
      </c>
      <c r="J875" s="2">
        <v>44216.55840277778</v>
      </c>
    </row>
    <row r="876" spans="1:10" ht="12.75" customHeight="1" x14ac:dyDescent="0.3">
      <c r="A876">
        <v>1350228</v>
      </c>
      <c r="B876" t="s">
        <v>157</v>
      </c>
      <c r="C876" t="s">
        <v>414</v>
      </c>
      <c r="D876" t="s">
        <v>2053</v>
      </c>
      <c r="E876" s="1" t="s">
        <v>2054</v>
      </c>
      <c r="F876">
        <f>VLOOKUP(A876,Classifications!$A:$E,5,FALSE)</f>
        <v>1</v>
      </c>
      <c r="G876">
        <f>VLOOKUP(A876,Classifications!$A:$F,6,FALSE)</f>
        <v>3</v>
      </c>
      <c r="H876">
        <f>VLOOKUP(A876,Classifications!$A:$G,7,FALSE)</f>
        <v>43</v>
      </c>
      <c r="I876" t="s">
        <v>24</v>
      </c>
      <c r="J876" s="2">
        <v>44216.557604166665</v>
      </c>
    </row>
    <row r="877" spans="1:10" ht="12.75" customHeight="1" x14ac:dyDescent="0.3">
      <c r="A877">
        <v>1350226</v>
      </c>
      <c r="B877" t="s">
        <v>157</v>
      </c>
      <c r="C877" t="s">
        <v>2055</v>
      </c>
      <c r="D877" t="s">
        <v>2056</v>
      </c>
      <c r="E877" s="1" t="s">
        <v>2057</v>
      </c>
      <c r="F877">
        <f>VLOOKUP(A877,Classifications!$A:$E,5,FALSE)</f>
        <v>1</v>
      </c>
      <c r="G877">
        <f>VLOOKUP(A877,Classifications!$A:$F,6,FALSE)</f>
        <v>2</v>
      </c>
      <c r="H877">
        <f>VLOOKUP(A877,Classifications!$A:$G,7,FALSE)</f>
        <v>43</v>
      </c>
      <c r="I877" t="s">
        <v>24</v>
      </c>
      <c r="J877" s="2">
        <v>44216.554780092592</v>
      </c>
    </row>
    <row r="878" spans="1:10" ht="12.75" customHeight="1" x14ac:dyDescent="0.3">
      <c r="A878">
        <v>1350225</v>
      </c>
      <c r="B878" t="s">
        <v>7</v>
      </c>
      <c r="C878" t="s">
        <v>40</v>
      </c>
      <c r="D878" t="s">
        <v>2058</v>
      </c>
      <c r="E878" s="1" t="s">
        <v>2059</v>
      </c>
      <c r="F878">
        <f>VLOOKUP(A878,Classifications!$A:$E,5,FALSE)</f>
        <v>1</v>
      </c>
      <c r="G878">
        <f>VLOOKUP(A878,Classifications!$A:$F,6,FALSE)</f>
        <v>2</v>
      </c>
      <c r="H878">
        <f>VLOOKUP(A878,Classifications!$A:$G,7,FALSE)</f>
        <v>41</v>
      </c>
      <c r="I878" t="s">
        <v>24</v>
      </c>
      <c r="J878" s="2">
        <v>44216.554027777776</v>
      </c>
    </row>
    <row r="879" spans="1:10" ht="12.75" customHeight="1" x14ac:dyDescent="0.3">
      <c r="A879">
        <v>1350224</v>
      </c>
      <c r="B879" t="s">
        <v>350</v>
      </c>
      <c r="C879" t="s">
        <v>351</v>
      </c>
      <c r="D879" t="s">
        <v>2060</v>
      </c>
      <c r="E879" s="1" t="s">
        <v>2061</v>
      </c>
      <c r="F879">
        <f>VLOOKUP(A879,Classifications!$A:$E,5,FALSE)</f>
        <v>1</v>
      </c>
      <c r="G879">
        <f>VLOOKUP(A879,Classifications!$A:$F,6,FALSE)</f>
        <v>1</v>
      </c>
      <c r="H879">
        <f>VLOOKUP(A879,Classifications!$A:$G,7,FALSE)</f>
        <v>36</v>
      </c>
      <c r="I879" t="s">
        <v>24</v>
      </c>
      <c r="J879" s="2">
        <v>44216.553842592592</v>
      </c>
    </row>
    <row r="880" spans="1:10" ht="12.75" customHeight="1" x14ac:dyDescent="0.3">
      <c r="A880">
        <v>1350216</v>
      </c>
      <c r="B880" t="s">
        <v>1013</v>
      </c>
      <c r="D880" t="s">
        <v>2062</v>
      </c>
      <c r="E880" s="1" t="s">
        <v>2063</v>
      </c>
      <c r="F880">
        <f>VLOOKUP(A880,Classifications!$A:$E,5,FALSE)</f>
        <v>1</v>
      </c>
      <c r="G880">
        <f>VLOOKUP(A880,Classifications!$A:$F,6,FALSE)</f>
        <v>2</v>
      </c>
      <c r="H880">
        <f>VLOOKUP(A880,Classifications!$A:$G,7,FALSE)</f>
        <v>41</v>
      </c>
      <c r="I880" t="s">
        <v>11</v>
      </c>
      <c r="J880" s="2">
        <v>44216.517314814817</v>
      </c>
    </row>
    <row r="881" spans="1:10" ht="12.75" customHeight="1" x14ac:dyDescent="0.3">
      <c r="A881">
        <v>1350213</v>
      </c>
      <c r="B881" t="s">
        <v>53</v>
      </c>
      <c r="C881" t="s">
        <v>54</v>
      </c>
      <c r="D881" t="s">
        <v>2064</v>
      </c>
      <c r="E881" s="1" t="s">
        <v>2065</v>
      </c>
      <c r="F881">
        <f>VLOOKUP(A881,Classifications!$A:$E,5,FALSE)</f>
        <v>2</v>
      </c>
      <c r="G881">
        <f>VLOOKUP(A881,Classifications!$A:$F,6,FALSE)</f>
        <v>2</v>
      </c>
      <c r="H881">
        <f>VLOOKUP(A881,Classifications!$A:$G,7,FALSE)</f>
        <v>43</v>
      </c>
      <c r="I881" t="s">
        <v>188</v>
      </c>
      <c r="J881" s="2">
        <v>44216.508101851854</v>
      </c>
    </row>
    <row r="882" spans="1:10" ht="12.75" customHeight="1" x14ac:dyDescent="0.3">
      <c r="A882">
        <v>1350208</v>
      </c>
      <c r="B882" t="s">
        <v>746</v>
      </c>
      <c r="C882" t="s">
        <v>747</v>
      </c>
      <c r="D882" t="s">
        <v>2066</v>
      </c>
      <c r="E882" s="1" t="s">
        <v>2067</v>
      </c>
      <c r="F882">
        <f>VLOOKUP(A882,Classifications!$A:$E,5,FALSE)</f>
        <v>1</v>
      </c>
      <c r="G882">
        <f>VLOOKUP(A882,Classifications!$A:$F,6,FALSE)</f>
        <v>1</v>
      </c>
      <c r="H882">
        <f>VLOOKUP(A882,Classifications!$A:$G,7,FALSE)</f>
        <v>43</v>
      </c>
      <c r="I882" t="s">
        <v>11</v>
      </c>
      <c r="J882" s="2">
        <v>44216.502847222226</v>
      </c>
    </row>
    <row r="883" spans="1:10" ht="12.75" customHeight="1" x14ac:dyDescent="0.3">
      <c r="A883">
        <v>1350203</v>
      </c>
      <c r="B883" t="s">
        <v>401</v>
      </c>
      <c r="C883" t="s">
        <v>402</v>
      </c>
      <c r="D883" t="s">
        <v>2068</v>
      </c>
      <c r="E883" s="1" t="s">
        <v>2069</v>
      </c>
      <c r="F883">
        <f>VLOOKUP(A883,Classifications!$A:$E,5,FALSE)</f>
        <v>1</v>
      </c>
      <c r="G883">
        <f>VLOOKUP(A883,Classifications!$A:$F,6,FALSE)</f>
        <v>2</v>
      </c>
      <c r="H883">
        <f>VLOOKUP(A883,Classifications!$A:$G,7,FALSE)</f>
        <v>41</v>
      </c>
      <c r="I883" t="s">
        <v>11</v>
      </c>
      <c r="J883" s="2">
        <v>44216.487534722219</v>
      </c>
    </row>
    <row r="884" spans="1:10" ht="12.75" customHeight="1" x14ac:dyDescent="0.3">
      <c r="A884">
        <v>1350202</v>
      </c>
      <c r="B884" t="s">
        <v>435</v>
      </c>
      <c r="C884" t="s">
        <v>436</v>
      </c>
      <c r="D884" t="s">
        <v>2070</v>
      </c>
      <c r="E884" s="1" t="s">
        <v>2071</v>
      </c>
      <c r="F884">
        <f>VLOOKUP(A884,Classifications!$A:$E,5,FALSE)</f>
        <v>1</v>
      </c>
      <c r="G884">
        <f>VLOOKUP(A884,Classifications!$A:$F,6,FALSE)</f>
        <v>1</v>
      </c>
      <c r="H884">
        <f>VLOOKUP(A884,Classifications!$A:$G,7,FALSE)</f>
        <v>43</v>
      </c>
      <c r="I884" t="s">
        <v>11</v>
      </c>
      <c r="J884" s="2">
        <v>44216.486122685186</v>
      </c>
    </row>
    <row r="885" spans="1:10" ht="12.75" customHeight="1" x14ac:dyDescent="0.3">
      <c r="A885">
        <v>1350201</v>
      </c>
      <c r="B885" t="s">
        <v>20</v>
      </c>
      <c r="C885" t="s">
        <v>136</v>
      </c>
      <c r="D885" t="s">
        <v>2072</v>
      </c>
      <c r="E885" s="1" t="s">
        <v>2073</v>
      </c>
      <c r="F885">
        <f>VLOOKUP(A885,Classifications!$A:$E,5,FALSE)</f>
        <v>1</v>
      </c>
      <c r="G885">
        <f>VLOOKUP(A885,Classifications!$A:$F,6,FALSE)</f>
        <v>1</v>
      </c>
      <c r="H885">
        <f>VLOOKUP(A885,Classifications!$A:$G,7,FALSE)</f>
        <v>43</v>
      </c>
      <c r="I885" t="s">
        <v>11</v>
      </c>
      <c r="J885" s="2">
        <v>44216.483715277776</v>
      </c>
    </row>
    <row r="886" spans="1:10" ht="12.75" customHeight="1" x14ac:dyDescent="0.3">
      <c r="A886">
        <v>1350196</v>
      </c>
      <c r="B886" t="s">
        <v>16</v>
      </c>
      <c r="C886" t="s">
        <v>181</v>
      </c>
      <c r="D886" t="s">
        <v>2074</v>
      </c>
      <c r="E886" s="1" t="s">
        <v>2075</v>
      </c>
      <c r="F886">
        <f>VLOOKUP(A886,Classifications!$A:$E,5,FALSE)</f>
        <v>1</v>
      </c>
      <c r="G886">
        <f>VLOOKUP(A886,Classifications!$A:$F,6,FALSE)</f>
        <v>2</v>
      </c>
      <c r="H886">
        <f>VLOOKUP(A886,Classifications!$A:$G,7,FALSE)</f>
        <v>43</v>
      </c>
      <c r="I886" t="s">
        <v>11</v>
      </c>
      <c r="J886" s="2">
        <v>44216.474259259259</v>
      </c>
    </row>
    <row r="887" spans="1:10" ht="12.75" customHeight="1" x14ac:dyDescent="0.3">
      <c r="A887">
        <v>1350192</v>
      </c>
      <c r="B887" t="s">
        <v>36</v>
      </c>
      <c r="C887" t="s">
        <v>509</v>
      </c>
      <c r="D887" t="s">
        <v>2076</v>
      </c>
      <c r="E887" s="1" t="s">
        <v>2077</v>
      </c>
      <c r="F887">
        <f>VLOOKUP(A887,Classifications!$A:$E,5,FALSE)</f>
        <v>2</v>
      </c>
      <c r="G887">
        <f>VLOOKUP(A887,Classifications!$A:$F,6,FALSE)</f>
        <v>2</v>
      </c>
      <c r="H887">
        <f>VLOOKUP(A887,Classifications!$A:$G,7,FALSE)</f>
        <v>43</v>
      </c>
      <c r="I887" t="s">
        <v>24</v>
      </c>
      <c r="J887" s="2">
        <v>44216.462337962963</v>
      </c>
    </row>
    <row r="888" spans="1:10" ht="12.75" customHeight="1" x14ac:dyDescent="0.3">
      <c r="A888">
        <v>1350190</v>
      </c>
      <c r="B888" t="s">
        <v>177</v>
      </c>
      <c r="C888" t="s">
        <v>178</v>
      </c>
      <c r="D888" t="s">
        <v>2078</v>
      </c>
      <c r="E888" s="1" t="s">
        <v>2079</v>
      </c>
      <c r="F888">
        <f>VLOOKUP(A888,Classifications!$A:$E,5,FALSE)</f>
        <v>2</v>
      </c>
      <c r="G888">
        <f>VLOOKUP(A888,Classifications!$A:$F,6,FALSE)</f>
        <v>1</v>
      </c>
      <c r="H888">
        <f>VLOOKUP(A888,Classifications!$A:$G,7,FALSE)</f>
        <v>43</v>
      </c>
      <c r="I888" t="s">
        <v>11</v>
      </c>
      <c r="J888" s="2">
        <v>44216.458796296298</v>
      </c>
    </row>
    <row r="889" spans="1:10" ht="12.75" customHeight="1" x14ac:dyDescent="0.3">
      <c r="A889">
        <v>1350184</v>
      </c>
      <c r="B889" t="s">
        <v>49</v>
      </c>
      <c r="C889" t="s">
        <v>798</v>
      </c>
      <c r="D889" t="s">
        <v>2080</v>
      </c>
      <c r="E889" s="1" t="s">
        <v>2081</v>
      </c>
      <c r="F889">
        <f>VLOOKUP(A889,Classifications!$A:$E,5,FALSE)</f>
        <v>1</v>
      </c>
      <c r="G889">
        <f>VLOOKUP(A889,Classifications!$A:$F,6,FALSE)</f>
        <v>1</v>
      </c>
      <c r="H889">
        <f>VLOOKUP(A889,Classifications!$A:$G,7,FALSE)</f>
        <v>41</v>
      </c>
      <c r="I889" t="s">
        <v>11</v>
      </c>
      <c r="J889" s="2">
        <v>44216.445115740738</v>
      </c>
    </row>
    <row r="890" spans="1:10" ht="12.75" customHeight="1" x14ac:dyDescent="0.3">
      <c r="A890">
        <v>1350183</v>
      </c>
      <c r="B890" t="s">
        <v>489</v>
      </c>
      <c r="C890" t="s">
        <v>2082</v>
      </c>
      <c r="D890" t="s">
        <v>2083</v>
      </c>
      <c r="E890" s="1" t="s">
        <v>2084</v>
      </c>
      <c r="F890">
        <f>VLOOKUP(A890,Classifications!$A:$E,5,FALSE)</f>
        <v>1</v>
      </c>
      <c r="G890">
        <f>VLOOKUP(A890,Classifications!$A:$F,6,FALSE)</f>
        <v>1</v>
      </c>
      <c r="H890">
        <f>VLOOKUP(A890,Classifications!$A:$G,7,FALSE)</f>
        <v>43</v>
      </c>
      <c r="I890" t="s">
        <v>11</v>
      </c>
      <c r="J890" s="2">
        <v>44216.444849537038</v>
      </c>
    </row>
    <row r="891" spans="1:10" ht="12.75" customHeight="1" x14ac:dyDescent="0.3">
      <c r="A891">
        <v>1350171</v>
      </c>
      <c r="B891" t="s">
        <v>297</v>
      </c>
      <c r="C891" t="s">
        <v>2085</v>
      </c>
      <c r="D891" t="s">
        <v>2086</v>
      </c>
      <c r="E891" s="1" t="s">
        <v>2087</v>
      </c>
      <c r="F891">
        <f>VLOOKUP(A891,Classifications!$A:$E,5,FALSE)</f>
        <v>2</v>
      </c>
      <c r="G891">
        <f>VLOOKUP(A891,Classifications!$A:$F,6,FALSE)</f>
        <v>2</v>
      </c>
      <c r="H891">
        <f>VLOOKUP(A891,Classifications!$A:$G,7,FALSE)</f>
        <v>41</v>
      </c>
      <c r="I891" t="s">
        <v>188</v>
      </c>
      <c r="J891" s="2">
        <v>44216.430243055554</v>
      </c>
    </row>
    <row r="892" spans="1:10" ht="12.75" customHeight="1" x14ac:dyDescent="0.3">
      <c r="A892">
        <v>1350170</v>
      </c>
      <c r="B892" t="s">
        <v>20</v>
      </c>
      <c r="C892" t="s">
        <v>2088</v>
      </c>
      <c r="D892" t="s">
        <v>2089</v>
      </c>
      <c r="E892" s="1" t="s">
        <v>2090</v>
      </c>
      <c r="F892">
        <f>VLOOKUP(A892,Classifications!$A:$E,5,FALSE)</f>
        <v>1</v>
      </c>
      <c r="G892">
        <f>VLOOKUP(A892,Classifications!$A:$F,6,FALSE)</f>
        <v>1</v>
      </c>
      <c r="H892">
        <f>VLOOKUP(A892,Classifications!$A:$G,7,FALSE)</f>
        <v>43</v>
      </c>
      <c r="I892" t="s">
        <v>11</v>
      </c>
      <c r="J892" s="2">
        <v>44216.430150462962</v>
      </c>
    </row>
    <row r="893" spans="1:10" ht="12.75" customHeight="1" x14ac:dyDescent="0.3">
      <c r="A893">
        <v>1350169</v>
      </c>
      <c r="B893" t="s">
        <v>20</v>
      </c>
      <c r="C893" t="s">
        <v>1596</v>
      </c>
      <c r="D893" t="s">
        <v>2091</v>
      </c>
      <c r="E893" s="1" t="s">
        <v>2092</v>
      </c>
      <c r="F893">
        <f>VLOOKUP(A893,Classifications!$A:$E,5,FALSE)</f>
        <v>1</v>
      </c>
      <c r="G893">
        <f>VLOOKUP(A893,Classifications!$A:$F,6,FALSE)</f>
        <v>1</v>
      </c>
      <c r="H893">
        <f>VLOOKUP(A893,Classifications!$A:$G,7,FALSE)</f>
        <v>43</v>
      </c>
      <c r="I893" t="s">
        <v>11</v>
      </c>
      <c r="J893" s="2">
        <v>44216.427673611113</v>
      </c>
    </row>
    <row r="894" spans="1:10" ht="12.75" customHeight="1" x14ac:dyDescent="0.3">
      <c r="A894">
        <v>1350168</v>
      </c>
      <c r="B894" t="s">
        <v>20</v>
      </c>
      <c r="C894" t="s">
        <v>136</v>
      </c>
      <c r="D894" t="s">
        <v>2093</v>
      </c>
      <c r="E894" s="1" t="s">
        <v>2094</v>
      </c>
      <c r="F894">
        <f>VLOOKUP(A894,Classifications!$A:$E,5,FALSE)</f>
        <v>1</v>
      </c>
      <c r="G894">
        <f>VLOOKUP(A894,Classifications!$A:$F,6,FALSE)</f>
        <v>1</v>
      </c>
      <c r="H894">
        <f>VLOOKUP(A894,Classifications!$A:$G,7,FALSE)</f>
        <v>43</v>
      </c>
      <c r="I894" t="s">
        <v>11</v>
      </c>
      <c r="J894" s="2">
        <v>44216.42695601852</v>
      </c>
    </row>
    <row r="895" spans="1:10" ht="12.75" customHeight="1" x14ac:dyDescent="0.3">
      <c r="A895">
        <v>1350166</v>
      </c>
      <c r="B895" t="s">
        <v>746</v>
      </c>
      <c r="C895" t="s">
        <v>1203</v>
      </c>
      <c r="D895" t="s">
        <v>2095</v>
      </c>
      <c r="E895" s="1" t="s">
        <v>2096</v>
      </c>
      <c r="F895">
        <f>VLOOKUP(A895,Classifications!$A:$E,5,FALSE)</f>
        <v>1</v>
      </c>
      <c r="G895">
        <f>VLOOKUP(A895,Classifications!$A:$F,6,FALSE)</f>
        <v>1</v>
      </c>
      <c r="H895">
        <f>VLOOKUP(A895,Classifications!$A:$G,7,FALSE)</f>
        <v>43</v>
      </c>
      <c r="I895" t="s">
        <v>11</v>
      </c>
      <c r="J895" s="2">
        <v>44216.42459490741</v>
      </c>
    </row>
    <row r="896" spans="1:10" ht="12.75" customHeight="1" x14ac:dyDescent="0.3">
      <c r="A896">
        <v>1350147</v>
      </c>
      <c r="B896" t="s">
        <v>20</v>
      </c>
      <c r="C896" t="s">
        <v>2097</v>
      </c>
      <c r="D896" t="s">
        <v>2098</v>
      </c>
      <c r="E896" s="1" t="s">
        <v>2099</v>
      </c>
      <c r="F896">
        <f>VLOOKUP(A896,Classifications!$A:$E,5,FALSE)</f>
        <v>1</v>
      </c>
      <c r="G896">
        <f>VLOOKUP(A896,Classifications!$A:$F,6,FALSE)</f>
        <v>1</v>
      </c>
      <c r="H896">
        <f>VLOOKUP(A896,Classifications!$A:$G,7,FALSE)</f>
        <v>43</v>
      </c>
      <c r="I896" t="s">
        <v>11</v>
      </c>
      <c r="J896" s="2">
        <v>44216.417604166665</v>
      </c>
    </row>
    <row r="897" spans="1:10" ht="12.75" customHeight="1" x14ac:dyDescent="0.3">
      <c r="A897">
        <v>1350130</v>
      </c>
      <c r="B897" t="s">
        <v>74</v>
      </c>
      <c r="C897" t="s">
        <v>1374</v>
      </c>
      <c r="D897" t="s">
        <v>2100</v>
      </c>
      <c r="E897" s="1" t="s">
        <v>2101</v>
      </c>
      <c r="F897">
        <f>VLOOKUP(A897,Classifications!$A:$E,5,FALSE)</f>
        <v>1</v>
      </c>
      <c r="G897">
        <f>VLOOKUP(A897,Classifications!$A:$F,6,FALSE)</f>
        <v>1</v>
      </c>
      <c r="H897">
        <f>VLOOKUP(A897,Classifications!$A:$G,7,FALSE)</f>
        <v>43</v>
      </c>
      <c r="I897" t="s">
        <v>11</v>
      </c>
      <c r="J897" s="2">
        <v>44216.401736111111</v>
      </c>
    </row>
    <row r="898" spans="1:10" ht="12.75" customHeight="1" x14ac:dyDescent="0.3">
      <c r="A898">
        <v>1350128</v>
      </c>
      <c r="B898" t="s">
        <v>36</v>
      </c>
      <c r="C898" t="s">
        <v>700</v>
      </c>
      <c r="D898" t="s">
        <v>2102</v>
      </c>
      <c r="E898" s="1" t="s">
        <v>2103</v>
      </c>
      <c r="F898">
        <f>VLOOKUP(A898,Classifications!$A:$E,5,FALSE)</f>
        <v>2</v>
      </c>
      <c r="G898">
        <f>VLOOKUP(A898,Classifications!$A:$F,6,FALSE)</f>
        <v>2</v>
      </c>
      <c r="H898">
        <f>VLOOKUP(A898,Classifications!$A:$G,7,FALSE)</f>
        <v>43</v>
      </c>
      <c r="I898" t="s">
        <v>24</v>
      </c>
      <c r="J898" s="2">
        <v>44216.399409722224</v>
      </c>
    </row>
    <row r="899" spans="1:10" ht="12.75" customHeight="1" x14ac:dyDescent="0.3">
      <c r="A899">
        <v>1350125</v>
      </c>
      <c r="B899" t="s">
        <v>32</v>
      </c>
      <c r="C899" t="s">
        <v>1257</v>
      </c>
      <c r="D899" t="s">
        <v>2104</v>
      </c>
      <c r="E899" s="1" t="s">
        <v>2105</v>
      </c>
      <c r="F899">
        <f>VLOOKUP(A899,Classifications!$A:$E,5,FALSE)</f>
        <v>1</v>
      </c>
      <c r="G899">
        <f>VLOOKUP(A899,Classifications!$A:$F,6,FALSE)</f>
        <v>2</v>
      </c>
      <c r="H899">
        <f>VLOOKUP(A899,Classifications!$A:$G,7,FALSE)</f>
        <v>41</v>
      </c>
      <c r="I899" t="s">
        <v>11</v>
      </c>
      <c r="J899" s="2">
        <v>44216.397175925929</v>
      </c>
    </row>
    <row r="900" spans="1:10" ht="12.75" customHeight="1" x14ac:dyDescent="0.3">
      <c r="A900">
        <v>1350124</v>
      </c>
      <c r="B900" t="s">
        <v>36</v>
      </c>
      <c r="C900" t="s">
        <v>822</v>
      </c>
      <c r="D900" t="s">
        <v>2106</v>
      </c>
      <c r="E900" s="1" t="s">
        <v>2107</v>
      </c>
      <c r="F900">
        <f>VLOOKUP(A900,Classifications!$A:$E,5,FALSE)</f>
        <v>1</v>
      </c>
      <c r="G900">
        <f>VLOOKUP(A900,Classifications!$A:$F,6,FALSE)</f>
        <v>1</v>
      </c>
      <c r="H900">
        <f>VLOOKUP(A900,Classifications!$A:$G,7,FALSE)</f>
        <v>36</v>
      </c>
      <c r="I900" t="s">
        <v>24</v>
      </c>
      <c r="J900" s="2">
        <v>44216.394479166665</v>
      </c>
    </row>
    <row r="901" spans="1:10" ht="12.75" customHeight="1" x14ac:dyDescent="0.3">
      <c r="A901">
        <v>1350123</v>
      </c>
      <c r="B901" t="s">
        <v>53</v>
      </c>
      <c r="C901" t="s">
        <v>1240</v>
      </c>
      <c r="D901" t="s">
        <v>2108</v>
      </c>
      <c r="E901" s="1" t="s">
        <v>2109</v>
      </c>
      <c r="F901">
        <f>VLOOKUP(A901,Classifications!$A:$E,5,FALSE)</f>
        <v>2</v>
      </c>
      <c r="G901">
        <f>VLOOKUP(A901,Classifications!$A:$F,6,FALSE)</f>
        <v>2</v>
      </c>
      <c r="H901">
        <f>VLOOKUP(A901,Classifications!$A:$G,7,FALSE)</f>
        <v>41</v>
      </c>
      <c r="I901" t="s">
        <v>11</v>
      </c>
      <c r="J901" s="2">
        <v>44216.393622685187</v>
      </c>
    </row>
    <row r="902" spans="1:10" ht="12.75" customHeight="1" x14ac:dyDescent="0.3">
      <c r="A902">
        <v>1350121</v>
      </c>
      <c r="B902" t="s">
        <v>503</v>
      </c>
      <c r="D902" t="s">
        <v>2110</v>
      </c>
      <c r="E902" s="1" t="s">
        <v>2111</v>
      </c>
      <c r="F902">
        <f>VLOOKUP(A902,Classifications!$A:$E,5,FALSE)</f>
        <v>1</v>
      </c>
      <c r="G902">
        <f>VLOOKUP(A902,Classifications!$A:$F,6,FALSE)</f>
        <v>1</v>
      </c>
      <c r="H902">
        <f>VLOOKUP(A902,Classifications!$A:$G,7,FALSE)</f>
        <v>36</v>
      </c>
      <c r="I902" t="s">
        <v>11</v>
      </c>
      <c r="J902" s="2">
        <v>44216.389490740738</v>
      </c>
    </row>
    <row r="903" spans="1:10" ht="12.75" customHeight="1" x14ac:dyDescent="0.3">
      <c r="A903">
        <v>1350118</v>
      </c>
      <c r="B903" t="s">
        <v>150</v>
      </c>
      <c r="C903" t="s">
        <v>1797</v>
      </c>
      <c r="D903" t="s">
        <v>2112</v>
      </c>
      <c r="E903" s="1" t="s">
        <v>2113</v>
      </c>
      <c r="F903">
        <f>VLOOKUP(A903,Classifications!$A:$E,5,FALSE)</f>
        <v>1</v>
      </c>
      <c r="G903">
        <f>VLOOKUP(A903,Classifications!$A:$F,6,FALSE)</f>
        <v>1</v>
      </c>
      <c r="H903">
        <f>VLOOKUP(A903,Classifications!$A:$G,7,FALSE)</f>
        <v>41</v>
      </c>
      <c r="I903" t="s">
        <v>24</v>
      </c>
      <c r="J903" s="2">
        <v>44216.3825462963</v>
      </c>
    </row>
    <row r="904" spans="1:10" ht="12.75" customHeight="1" x14ac:dyDescent="0.3">
      <c r="A904">
        <v>1350116</v>
      </c>
      <c r="B904" t="s">
        <v>515</v>
      </c>
      <c r="C904" t="s">
        <v>2114</v>
      </c>
      <c r="D904" t="s">
        <v>2115</v>
      </c>
      <c r="E904" s="1" t="s">
        <v>2116</v>
      </c>
      <c r="F904">
        <f>VLOOKUP(A904,Classifications!$A:$E,5,FALSE)</f>
        <v>1</v>
      </c>
      <c r="G904">
        <f>VLOOKUP(A904,Classifications!$A:$F,6,FALSE)</f>
        <v>1</v>
      </c>
      <c r="H904">
        <f>VLOOKUP(A904,Classifications!$A:$G,7,FALSE)</f>
        <v>36</v>
      </c>
      <c r="I904" t="s">
        <v>24</v>
      </c>
      <c r="J904" s="2">
        <v>44216.382106481484</v>
      </c>
    </row>
    <row r="905" spans="1:10" ht="12.75" customHeight="1" x14ac:dyDescent="0.3">
      <c r="A905">
        <v>1350115</v>
      </c>
      <c r="B905" t="s">
        <v>32</v>
      </c>
      <c r="C905" t="s">
        <v>463</v>
      </c>
      <c r="D905" t="s">
        <v>2117</v>
      </c>
      <c r="E905" s="1" t="s">
        <v>2111</v>
      </c>
      <c r="F905">
        <f>VLOOKUP(A905,Classifications!$A:$E,5,FALSE)</f>
        <v>1</v>
      </c>
      <c r="G905">
        <f>VLOOKUP(A905,Classifications!$A:$F,6,FALSE)</f>
        <v>1</v>
      </c>
      <c r="H905">
        <f>VLOOKUP(A905,Classifications!$A:$G,7,FALSE)</f>
        <v>36</v>
      </c>
      <c r="I905" t="s">
        <v>11</v>
      </c>
      <c r="J905" s="2">
        <v>44216.379988425928</v>
      </c>
    </row>
    <row r="906" spans="1:10" ht="12.75" customHeight="1" x14ac:dyDescent="0.3">
      <c r="A906">
        <v>1350112</v>
      </c>
      <c r="B906" t="s">
        <v>12</v>
      </c>
      <c r="C906" t="s">
        <v>2118</v>
      </c>
      <c r="D906" t="s">
        <v>2119</v>
      </c>
      <c r="E906" s="1" t="s">
        <v>2120</v>
      </c>
      <c r="F906">
        <f>VLOOKUP(A906,Classifications!$A:$E,5,FALSE)</f>
        <v>1</v>
      </c>
      <c r="G906">
        <f>VLOOKUP(A906,Classifications!$A:$F,6,FALSE)</f>
        <v>2</v>
      </c>
      <c r="H906">
        <f>VLOOKUP(A906,Classifications!$A:$G,7,FALSE)</f>
        <v>41</v>
      </c>
      <c r="I906" t="s">
        <v>11</v>
      </c>
      <c r="J906" s="2">
        <v>44216.376851851855</v>
      </c>
    </row>
    <row r="907" spans="1:10" ht="12.75" customHeight="1" x14ac:dyDescent="0.3">
      <c r="A907">
        <v>1350111</v>
      </c>
      <c r="B907" t="s">
        <v>746</v>
      </c>
      <c r="C907" t="s">
        <v>888</v>
      </c>
      <c r="D907" t="s">
        <v>2121</v>
      </c>
      <c r="E907" s="1" t="s">
        <v>2122</v>
      </c>
      <c r="F907">
        <f>VLOOKUP(A907,Classifications!$A:$E,5,FALSE)</f>
        <v>1</v>
      </c>
      <c r="G907">
        <f>VLOOKUP(A907,Classifications!$A:$F,6,FALSE)</f>
        <v>2</v>
      </c>
      <c r="H907">
        <f>VLOOKUP(A907,Classifications!$A:$G,7,FALSE)</f>
        <v>43</v>
      </c>
      <c r="I907" t="s">
        <v>11</v>
      </c>
      <c r="J907" s="2">
        <v>44216.376354166663</v>
      </c>
    </row>
    <row r="908" spans="1:10" ht="12.75" customHeight="1" x14ac:dyDescent="0.3">
      <c r="A908">
        <v>1350089</v>
      </c>
      <c r="B908" t="s">
        <v>53</v>
      </c>
      <c r="C908" t="s">
        <v>2123</v>
      </c>
      <c r="D908" t="s">
        <v>2124</v>
      </c>
      <c r="E908" s="1" t="s">
        <v>2125</v>
      </c>
      <c r="F908">
        <f>VLOOKUP(A908,Classifications!$A:$E,5,FALSE)</f>
        <v>1</v>
      </c>
      <c r="G908">
        <f>VLOOKUP(A908,Classifications!$A:$F,6,FALSE)</f>
        <v>2</v>
      </c>
      <c r="H908">
        <f>VLOOKUP(A908,Classifications!$A:$G,7,FALSE)</f>
        <v>41</v>
      </c>
      <c r="I908" t="s">
        <v>11</v>
      </c>
      <c r="J908" s="2">
        <v>44216.336053240739</v>
      </c>
    </row>
    <row r="909" spans="1:10" ht="12.75" customHeight="1" x14ac:dyDescent="0.3">
      <c r="A909">
        <v>1350074</v>
      </c>
      <c r="B909" t="s">
        <v>157</v>
      </c>
      <c r="C909" t="s">
        <v>627</v>
      </c>
      <c r="D909" t="s">
        <v>1486</v>
      </c>
      <c r="E909" s="1" t="s">
        <v>2126</v>
      </c>
      <c r="F909">
        <f>VLOOKUP(A909,Classifications!$A:$E,5,FALSE)</f>
        <v>1</v>
      </c>
      <c r="G909">
        <f>VLOOKUP(A909,Classifications!$A:$F,6,FALSE)</f>
        <v>2</v>
      </c>
      <c r="H909">
        <f>VLOOKUP(A909,Classifications!$A:$G,7,FALSE)</f>
        <v>43</v>
      </c>
      <c r="I909" t="s">
        <v>11</v>
      </c>
      <c r="J909" s="2">
        <v>44216.328831018516</v>
      </c>
    </row>
    <row r="910" spans="1:10" ht="12.75" customHeight="1" x14ac:dyDescent="0.3">
      <c r="A910">
        <v>1350055</v>
      </c>
      <c r="B910" t="s">
        <v>301</v>
      </c>
      <c r="C910" t="s">
        <v>2127</v>
      </c>
      <c r="D910" t="s">
        <v>2128</v>
      </c>
      <c r="E910" s="1" t="s">
        <v>2129</v>
      </c>
      <c r="F910">
        <f>VLOOKUP(A910,Classifications!$A:$E,5,FALSE)</f>
        <v>1</v>
      </c>
      <c r="G910">
        <f>VLOOKUP(A910,Classifications!$A:$F,6,FALSE)</f>
        <v>3</v>
      </c>
      <c r="H910">
        <f>VLOOKUP(A910,Classifications!$A:$G,7,FALSE)</f>
        <v>41</v>
      </c>
      <c r="I910" t="s">
        <v>11</v>
      </c>
      <c r="J910" s="2">
        <v>44216.259386574071</v>
      </c>
    </row>
    <row r="911" spans="1:10" ht="12.75" customHeight="1" x14ac:dyDescent="0.3">
      <c r="A911">
        <v>1349975</v>
      </c>
      <c r="B911" t="s">
        <v>2130</v>
      </c>
      <c r="C911" t="s">
        <v>2131</v>
      </c>
      <c r="D911" t="s">
        <v>2132</v>
      </c>
      <c r="E911" s="1" t="s">
        <v>2133</v>
      </c>
      <c r="F911">
        <f>VLOOKUP(A911,Classifications!$A:$E,5,FALSE)</f>
        <v>1</v>
      </c>
      <c r="G911">
        <f>VLOOKUP(A911,Classifications!$A:$F,6,FALSE)</f>
        <v>1</v>
      </c>
      <c r="H911">
        <f>VLOOKUP(A911,Classifications!$A:$G,7,FALSE)</f>
        <v>36</v>
      </c>
      <c r="I911" t="s">
        <v>1158</v>
      </c>
      <c r="J911" s="2">
        <v>44216.000081018516</v>
      </c>
    </row>
    <row r="912" spans="1:10" ht="12.75" customHeight="1" x14ac:dyDescent="0.3">
      <c r="A912">
        <v>1349974</v>
      </c>
      <c r="B912" t="s">
        <v>431</v>
      </c>
      <c r="C912" t="s">
        <v>432</v>
      </c>
      <c r="D912" t="s">
        <v>1156</v>
      </c>
      <c r="E912" s="1" t="s">
        <v>1157</v>
      </c>
      <c r="F912">
        <f>VLOOKUP(A912,Classifications!$A:$E,5,FALSE)</f>
        <v>1</v>
      </c>
      <c r="G912">
        <f>VLOOKUP(A912,Classifications!$A:$F,6,FALSE)</f>
        <v>1</v>
      </c>
      <c r="H912">
        <f>VLOOKUP(A912,Classifications!$A:$G,7,FALSE)</f>
        <v>36</v>
      </c>
      <c r="I912" t="s">
        <v>1158</v>
      </c>
      <c r="J912" s="2">
        <v>44216.000069444446</v>
      </c>
    </row>
    <row r="913" spans="1:10" ht="12.75" customHeight="1" x14ac:dyDescent="0.3">
      <c r="A913">
        <v>1349973</v>
      </c>
      <c r="B913" t="s">
        <v>1169</v>
      </c>
      <c r="C913" t="s">
        <v>1170</v>
      </c>
      <c r="D913" t="s">
        <v>1156</v>
      </c>
      <c r="E913" s="1" t="s">
        <v>1157</v>
      </c>
      <c r="F913">
        <f>VLOOKUP(A913,Classifications!$A:$E,5,FALSE)</f>
        <v>1</v>
      </c>
      <c r="G913">
        <f>VLOOKUP(A913,Classifications!$A:$F,6,FALSE)</f>
        <v>1</v>
      </c>
      <c r="H913">
        <f>VLOOKUP(A913,Classifications!$A:$G,7,FALSE)</f>
        <v>36</v>
      </c>
      <c r="I913" t="s">
        <v>1158</v>
      </c>
      <c r="J913" s="2">
        <v>44216.000057870369</v>
      </c>
    </row>
    <row r="914" spans="1:10" ht="12.75" customHeight="1" x14ac:dyDescent="0.3">
      <c r="A914">
        <v>1349865</v>
      </c>
      <c r="B914" t="s">
        <v>2134</v>
      </c>
      <c r="C914" t="s">
        <v>2135</v>
      </c>
      <c r="D914" t="s">
        <v>2136</v>
      </c>
      <c r="E914" s="1" t="s">
        <v>2137</v>
      </c>
      <c r="F914">
        <f>VLOOKUP(A914,Classifications!$A:$E,5,FALSE)</f>
        <v>1</v>
      </c>
      <c r="G914">
        <f>VLOOKUP(A914,Classifications!$A:$F,6,FALSE)</f>
        <v>1</v>
      </c>
      <c r="H914">
        <f>VLOOKUP(A914,Classifications!$A:$G,7,FALSE)</f>
        <v>41</v>
      </c>
      <c r="I914" t="s">
        <v>11</v>
      </c>
      <c r="J914" s="2">
        <v>44215.844537037039</v>
      </c>
    </row>
    <row r="915" spans="1:10" ht="12.75" customHeight="1" x14ac:dyDescent="0.3">
      <c r="A915">
        <v>1349803</v>
      </c>
      <c r="B915" t="s">
        <v>214</v>
      </c>
      <c r="C915" t="s">
        <v>480</v>
      </c>
      <c r="D915">
        <v>1349090</v>
      </c>
      <c r="E915" s="1" t="s">
        <v>2138</v>
      </c>
      <c r="F915">
        <f>VLOOKUP(A915,Classifications!$A:$E,5,FALSE)</f>
        <v>1</v>
      </c>
      <c r="G915">
        <f>VLOOKUP(A915,Classifications!$A:$F,6,FALSE)</f>
        <v>1</v>
      </c>
      <c r="H915">
        <f>VLOOKUP(A915,Classifications!$A:$G,7,FALSE)</f>
        <v>43</v>
      </c>
      <c r="I915" t="s">
        <v>11</v>
      </c>
      <c r="J915" s="2">
        <v>44215.763726851852</v>
      </c>
    </row>
    <row r="916" spans="1:10" ht="12.75" customHeight="1" x14ac:dyDescent="0.3">
      <c r="A916">
        <v>1349758</v>
      </c>
      <c r="B916" t="s">
        <v>2033</v>
      </c>
      <c r="C916" t="s">
        <v>2139</v>
      </c>
      <c r="D916" t="s">
        <v>2140</v>
      </c>
      <c r="E916" s="1" t="s">
        <v>2141</v>
      </c>
      <c r="F916">
        <f>VLOOKUP(A916,Classifications!$A:$E,5,FALSE)</f>
        <v>1</v>
      </c>
      <c r="G916">
        <f>VLOOKUP(A916,Classifications!$A:$F,6,FALSE)</f>
        <v>2</v>
      </c>
      <c r="H916">
        <f>VLOOKUP(A916,Classifications!$A:$G,7,FALSE)</f>
        <v>41</v>
      </c>
      <c r="I916" t="s">
        <v>11</v>
      </c>
      <c r="J916" s="2">
        <v>44215.703703703701</v>
      </c>
    </row>
    <row r="917" spans="1:10" ht="12.75" customHeight="1" x14ac:dyDescent="0.3">
      <c r="A917">
        <v>1349757</v>
      </c>
      <c r="B917" t="s">
        <v>401</v>
      </c>
      <c r="C917" t="s">
        <v>402</v>
      </c>
      <c r="D917" t="s">
        <v>2142</v>
      </c>
      <c r="E917" s="1" t="s">
        <v>2143</v>
      </c>
      <c r="F917">
        <f>VLOOKUP(A917,Classifications!$A:$E,5,FALSE)</f>
        <v>1</v>
      </c>
      <c r="G917">
        <f>VLOOKUP(A917,Classifications!$A:$F,6,FALSE)</f>
        <v>1</v>
      </c>
      <c r="H917">
        <f>VLOOKUP(A917,Classifications!$A:$G,7,FALSE)</f>
        <v>36</v>
      </c>
      <c r="I917" t="s">
        <v>24</v>
      </c>
      <c r="J917" s="2">
        <v>44215.69871527778</v>
      </c>
    </row>
    <row r="918" spans="1:10" ht="12.75" customHeight="1" x14ac:dyDescent="0.3">
      <c r="A918">
        <v>1349753</v>
      </c>
      <c r="B918" t="s">
        <v>214</v>
      </c>
      <c r="C918" t="s">
        <v>215</v>
      </c>
      <c r="D918" t="s">
        <v>2144</v>
      </c>
      <c r="E918" s="1" t="s">
        <v>2145</v>
      </c>
      <c r="F918">
        <f>VLOOKUP(A918,Classifications!$A:$E,5,FALSE)</f>
        <v>1</v>
      </c>
      <c r="G918">
        <f>VLOOKUP(A918,Classifications!$A:$F,6,FALSE)</f>
        <v>1</v>
      </c>
      <c r="H918">
        <f>VLOOKUP(A918,Classifications!$A:$G,7,FALSE)</f>
        <v>43</v>
      </c>
      <c r="I918" t="s">
        <v>11</v>
      </c>
      <c r="J918" s="2">
        <v>44215.694131944445</v>
      </c>
    </row>
    <row r="919" spans="1:10" ht="12.75" customHeight="1" x14ac:dyDescent="0.3">
      <c r="A919">
        <v>1349745</v>
      </c>
      <c r="B919" t="s">
        <v>16</v>
      </c>
      <c r="C919" t="s">
        <v>181</v>
      </c>
      <c r="D919" t="s">
        <v>2146</v>
      </c>
      <c r="E919" s="1" t="s">
        <v>2147</v>
      </c>
      <c r="F919">
        <f>VLOOKUP(A919,Classifications!$A:$E,5,FALSE)</f>
        <v>1</v>
      </c>
      <c r="G919">
        <f>VLOOKUP(A919,Classifications!$A:$F,6,FALSE)</f>
        <v>2</v>
      </c>
      <c r="H919">
        <f>VLOOKUP(A919,Classifications!$A:$G,7,FALSE)</f>
        <v>41</v>
      </c>
      <c r="I919" t="s">
        <v>11</v>
      </c>
      <c r="J919" s="2">
        <v>44215.678020833337</v>
      </c>
    </row>
    <row r="920" spans="1:10" ht="12.75" customHeight="1" x14ac:dyDescent="0.3">
      <c r="A920">
        <v>1349740</v>
      </c>
      <c r="B920" t="s">
        <v>95</v>
      </c>
      <c r="C920" t="s">
        <v>2148</v>
      </c>
      <c r="D920" t="s">
        <v>2149</v>
      </c>
      <c r="E920" s="1" t="s">
        <v>2150</v>
      </c>
      <c r="F920">
        <f>VLOOKUP(A920,Classifications!$A:$E,5,FALSE)</f>
        <v>1</v>
      </c>
      <c r="G920">
        <f>VLOOKUP(A920,Classifications!$A:$F,6,FALSE)</f>
        <v>2</v>
      </c>
      <c r="H920">
        <f>VLOOKUP(A920,Classifications!$A:$G,7,FALSE)</f>
        <v>41</v>
      </c>
      <c r="I920" t="s">
        <v>11</v>
      </c>
      <c r="J920" s="2">
        <v>44215.669641203705</v>
      </c>
    </row>
    <row r="921" spans="1:10" ht="12.75" customHeight="1" x14ac:dyDescent="0.3">
      <c r="A921">
        <v>1349736</v>
      </c>
      <c r="B921" t="s">
        <v>91</v>
      </c>
      <c r="C921" t="s">
        <v>92</v>
      </c>
      <c r="D921" t="s">
        <v>2151</v>
      </c>
      <c r="E921" s="1" t="s">
        <v>2152</v>
      </c>
      <c r="F921">
        <f>VLOOKUP(A921,Classifications!$A:$E,5,FALSE)</f>
        <v>1</v>
      </c>
      <c r="G921">
        <f>VLOOKUP(A921,Classifications!$A:$F,6,FALSE)</f>
        <v>1</v>
      </c>
      <c r="H921">
        <f>VLOOKUP(A921,Classifications!$A:$G,7,FALSE)</f>
        <v>43</v>
      </c>
      <c r="I921" t="s">
        <v>11</v>
      </c>
      <c r="J921" s="2">
        <v>44215.664340277777</v>
      </c>
    </row>
    <row r="922" spans="1:10" ht="12.75" customHeight="1" x14ac:dyDescent="0.3">
      <c r="A922">
        <v>1349734</v>
      </c>
      <c r="B922" t="s">
        <v>1105</v>
      </c>
      <c r="C922" t="s">
        <v>1106</v>
      </c>
      <c r="D922" t="s">
        <v>1969</v>
      </c>
      <c r="E922" s="1" t="s">
        <v>2153</v>
      </c>
      <c r="F922">
        <f>VLOOKUP(A922,Classifications!$A:$E,5,FALSE)</f>
        <v>1</v>
      </c>
      <c r="G922">
        <f>VLOOKUP(A922,Classifications!$A:$F,6,FALSE)</f>
        <v>1</v>
      </c>
      <c r="H922">
        <f>VLOOKUP(A922,Classifications!$A:$G,7,FALSE)</f>
        <v>36</v>
      </c>
      <c r="I922" t="s">
        <v>11</v>
      </c>
      <c r="J922" s="2">
        <v>44215.654918981483</v>
      </c>
    </row>
    <row r="923" spans="1:10" ht="12.75" customHeight="1" x14ac:dyDescent="0.3">
      <c r="A923">
        <v>1349733</v>
      </c>
      <c r="B923" t="s">
        <v>53</v>
      </c>
      <c r="C923" t="s">
        <v>2154</v>
      </c>
      <c r="D923" t="s">
        <v>2155</v>
      </c>
      <c r="E923" s="1" t="s">
        <v>2156</v>
      </c>
      <c r="F923">
        <f>VLOOKUP(A923,Classifications!$A:$E,5,FALSE)</f>
        <v>1</v>
      </c>
      <c r="G923">
        <f>VLOOKUP(A923,Classifications!$A:$F,6,FALSE)</f>
        <v>1</v>
      </c>
      <c r="H923">
        <f>VLOOKUP(A923,Classifications!$A:$G,7,FALSE)</f>
        <v>43</v>
      </c>
      <c r="I923" t="s">
        <v>11</v>
      </c>
      <c r="J923" s="2">
        <v>44215.651597222219</v>
      </c>
    </row>
    <row r="924" spans="1:10" ht="12.75" customHeight="1" x14ac:dyDescent="0.3">
      <c r="A924">
        <v>1349728</v>
      </c>
      <c r="B924" t="s">
        <v>74</v>
      </c>
      <c r="C924" t="s">
        <v>2157</v>
      </c>
      <c r="D924" t="s">
        <v>2158</v>
      </c>
      <c r="E924" s="1" t="s">
        <v>2159</v>
      </c>
      <c r="F924">
        <f>VLOOKUP(A924,Classifications!$A:$E,5,FALSE)</f>
        <v>1</v>
      </c>
      <c r="G924">
        <f>VLOOKUP(A924,Classifications!$A:$F,6,FALSE)</f>
        <v>3</v>
      </c>
      <c r="H924">
        <f>VLOOKUP(A924,Classifications!$A:$G,7,FALSE)</f>
        <v>43</v>
      </c>
      <c r="I924" t="s">
        <v>11</v>
      </c>
      <c r="J924" s="2">
        <v>44215.6327662037</v>
      </c>
    </row>
    <row r="925" spans="1:10" ht="12.75" customHeight="1" x14ac:dyDescent="0.3">
      <c r="A925">
        <v>1349726</v>
      </c>
      <c r="B925" t="s">
        <v>435</v>
      </c>
      <c r="C925" t="s">
        <v>436</v>
      </c>
      <c r="D925" t="s">
        <v>1867</v>
      </c>
      <c r="E925" s="1" t="s">
        <v>2160</v>
      </c>
      <c r="F925">
        <f>VLOOKUP(A925,Classifications!$A:$E,5,FALSE)</f>
        <v>1</v>
      </c>
      <c r="G925">
        <f>VLOOKUP(A925,Classifications!$A:$F,6,FALSE)</f>
        <v>1</v>
      </c>
      <c r="H925">
        <f>VLOOKUP(A925,Classifications!$A:$G,7,FALSE)</f>
        <v>43</v>
      </c>
      <c r="I925" t="s">
        <v>11</v>
      </c>
      <c r="J925" s="2">
        <v>44215.629224537035</v>
      </c>
    </row>
    <row r="926" spans="1:10" ht="12.75" customHeight="1" x14ac:dyDescent="0.3">
      <c r="A926">
        <v>1349725</v>
      </c>
      <c r="B926" t="s">
        <v>20</v>
      </c>
      <c r="C926" t="s">
        <v>2161</v>
      </c>
      <c r="D926">
        <v>1347143</v>
      </c>
      <c r="E926" s="1" t="s">
        <v>2162</v>
      </c>
      <c r="F926">
        <f>VLOOKUP(A926,Classifications!$A:$E,5,FALSE)</f>
        <v>1</v>
      </c>
      <c r="G926">
        <f>VLOOKUP(A926,Classifications!$A:$F,6,FALSE)</f>
        <v>1</v>
      </c>
      <c r="H926">
        <f>VLOOKUP(A926,Classifications!$A:$G,7,FALSE)</f>
        <v>43</v>
      </c>
      <c r="I926" t="s">
        <v>11</v>
      </c>
      <c r="J926" s="2">
        <v>44215.628275462965</v>
      </c>
    </row>
    <row r="927" spans="1:10" ht="12.75" customHeight="1" x14ac:dyDescent="0.3">
      <c r="A927">
        <v>1349722</v>
      </c>
      <c r="B927" t="s">
        <v>20</v>
      </c>
      <c r="C927" t="s">
        <v>57</v>
      </c>
      <c r="D927" t="s">
        <v>2163</v>
      </c>
      <c r="E927" s="1" t="s">
        <v>2164</v>
      </c>
      <c r="F927">
        <f>VLOOKUP(A927,Classifications!$A:$E,5,FALSE)</f>
        <v>1</v>
      </c>
      <c r="G927">
        <f>VLOOKUP(A927,Classifications!$A:$F,6,FALSE)</f>
        <v>1</v>
      </c>
      <c r="H927">
        <f>VLOOKUP(A927,Classifications!$A:$G,7,FALSE)</f>
        <v>41</v>
      </c>
      <c r="I927" t="s">
        <v>24</v>
      </c>
      <c r="J927" s="2">
        <v>44215.61855324074</v>
      </c>
    </row>
    <row r="928" spans="1:10" ht="12.75" customHeight="1" x14ac:dyDescent="0.3">
      <c r="A928">
        <v>1349721</v>
      </c>
      <c r="B928" t="s">
        <v>435</v>
      </c>
      <c r="C928" t="s">
        <v>436</v>
      </c>
      <c r="D928" t="s">
        <v>2165</v>
      </c>
      <c r="E928" s="1" t="s">
        <v>2166</v>
      </c>
      <c r="F928">
        <f>VLOOKUP(A928,Classifications!$A:$E,5,FALSE)</f>
        <v>1</v>
      </c>
      <c r="G928">
        <f>VLOOKUP(A928,Classifications!$A:$F,6,FALSE)</f>
        <v>1</v>
      </c>
      <c r="H928">
        <f>VLOOKUP(A928,Classifications!$A:$G,7,FALSE)</f>
        <v>41</v>
      </c>
      <c r="I928" t="s">
        <v>11</v>
      </c>
      <c r="J928" s="2">
        <v>44215.618136574078</v>
      </c>
    </row>
    <row r="929" spans="1:10" ht="12.75" customHeight="1" x14ac:dyDescent="0.3">
      <c r="A929">
        <v>1349716</v>
      </c>
      <c r="B929" t="s">
        <v>2167</v>
      </c>
      <c r="C929" t="s">
        <v>2168</v>
      </c>
      <c r="D929" t="s">
        <v>2169</v>
      </c>
      <c r="E929" s="1" t="s">
        <v>2170</v>
      </c>
      <c r="F929">
        <f>VLOOKUP(A929,Classifications!$A:$E,5,FALSE)</f>
        <v>1</v>
      </c>
      <c r="G929">
        <f>VLOOKUP(A929,Classifications!$A:$F,6,FALSE)</f>
        <v>2</v>
      </c>
      <c r="H929">
        <f>VLOOKUP(A929,Classifications!$A:$G,7,FALSE)</f>
        <v>41</v>
      </c>
      <c r="I929" t="s">
        <v>188</v>
      </c>
      <c r="J929" s="2">
        <v>44215.61041666667</v>
      </c>
    </row>
    <row r="930" spans="1:10" ht="12.75" customHeight="1" x14ac:dyDescent="0.3">
      <c r="A930">
        <v>1349714</v>
      </c>
      <c r="B930" t="s">
        <v>132</v>
      </c>
      <c r="C930" t="s">
        <v>1072</v>
      </c>
      <c r="D930" t="s">
        <v>2171</v>
      </c>
      <c r="E930" s="1" t="s">
        <v>2172</v>
      </c>
      <c r="F930">
        <f>VLOOKUP(A930,Classifications!$A:$E,5,FALSE)</f>
        <v>1</v>
      </c>
      <c r="G930">
        <f>VLOOKUP(A930,Classifications!$A:$F,6,FALSE)</f>
        <v>1</v>
      </c>
      <c r="H930">
        <f>VLOOKUP(A930,Classifications!$A:$G,7,FALSE)</f>
        <v>36</v>
      </c>
      <c r="I930" t="s">
        <v>24</v>
      </c>
      <c r="J930" s="2">
        <v>44215.594849537039</v>
      </c>
    </row>
    <row r="931" spans="1:10" ht="12.75" customHeight="1" x14ac:dyDescent="0.3">
      <c r="A931">
        <v>1349711</v>
      </c>
      <c r="B931" t="s">
        <v>435</v>
      </c>
      <c r="C931" t="s">
        <v>436</v>
      </c>
      <c r="D931" t="s">
        <v>2173</v>
      </c>
      <c r="E931" s="1" t="s">
        <v>2174</v>
      </c>
      <c r="F931">
        <f>VLOOKUP(A931,Classifications!$A:$E,5,FALSE)</f>
        <v>1</v>
      </c>
      <c r="G931">
        <f>VLOOKUP(A931,Classifications!$A:$F,6,FALSE)</f>
        <v>1</v>
      </c>
      <c r="H931">
        <f>VLOOKUP(A931,Classifications!$A:$G,7,FALSE)</f>
        <v>41</v>
      </c>
      <c r="I931" t="s">
        <v>11</v>
      </c>
      <c r="J931" s="2">
        <v>44215.587384259263</v>
      </c>
    </row>
    <row r="932" spans="1:10" ht="12.75" customHeight="1" x14ac:dyDescent="0.3">
      <c r="A932">
        <v>1349710</v>
      </c>
      <c r="B932" t="s">
        <v>36</v>
      </c>
      <c r="C932" t="s">
        <v>1666</v>
      </c>
      <c r="D932" t="s">
        <v>2175</v>
      </c>
      <c r="E932" s="1" t="s">
        <v>2176</v>
      </c>
      <c r="F932">
        <f>VLOOKUP(A932,Classifications!$A:$E,5,FALSE)</f>
        <v>1</v>
      </c>
      <c r="G932">
        <f>VLOOKUP(A932,Classifications!$A:$F,6,FALSE)</f>
        <v>3</v>
      </c>
      <c r="H932">
        <f>VLOOKUP(A932,Classifications!$A:$G,7,FALSE)</f>
        <v>43</v>
      </c>
      <c r="I932" t="s">
        <v>11</v>
      </c>
      <c r="J932" s="2">
        <v>44215.587372685186</v>
      </c>
    </row>
    <row r="933" spans="1:10" ht="12.75" customHeight="1" x14ac:dyDescent="0.3">
      <c r="A933">
        <v>1349702</v>
      </c>
      <c r="B933" t="s">
        <v>20</v>
      </c>
      <c r="C933" t="s">
        <v>2177</v>
      </c>
      <c r="D933" t="s">
        <v>2178</v>
      </c>
      <c r="E933" s="1" t="s">
        <v>2179</v>
      </c>
      <c r="F933">
        <f>VLOOKUP(A933,Classifications!$A:$E,5,FALSE)</f>
        <v>1</v>
      </c>
      <c r="G933">
        <f>VLOOKUP(A933,Classifications!$A:$F,6,FALSE)</f>
        <v>1</v>
      </c>
      <c r="H933">
        <f>VLOOKUP(A933,Classifications!$A:$G,7,FALSE)</f>
        <v>43</v>
      </c>
      <c r="I933" t="s">
        <v>11</v>
      </c>
      <c r="J933" s="2">
        <v>44215.561412037037</v>
      </c>
    </row>
    <row r="934" spans="1:10" ht="12.75" customHeight="1" x14ac:dyDescent="0.3">
      <c r="A934">
        <v>1349679</v>
      </c>
      <c r="B934" t="s">
        <v>16</v>
      </c>
      <c r="C934" t="s">
        <v>158</v>
      </c>
      <c r="D934" t="s">
        <v>1508</v>
      </c>
      <c r="E934" s="1" t="s">
        <v>2180</v>
      </c>
      <c r="F934">
        <f>VLOOKUP(A934,Classifications!$A:$E,5,FALSE)</f>
        <v>2</v>
      </c>
      <c r="G934">
        <f>VLOOKUP(A934,Classifications!$A:$F,6,FALSE)</f>
        <v>2</v>
      </c>
      <c r="H934">
        <f>VLOOKUP(A934,Classifications!$A:$G,7,FALSE)</f>
        <v>41</v>
      </c>
      <c r="I934" t="s">
        <v>11</v>
      </c>
      <c r="J934" s="2">
        <v>44215.512465277781</v>
      </c>
    </row>
    <row r="935" spans="1:10" ht="12.75" customHeight="1" x14ac:dyDescent="0.3">
      <c r="A935">
        <v>1349676</v>
      </c>
      <c r="B935" t="s">
        <v>435</v>
      </c>
      <c r="C935" t="s">
        <v>436</v>
      </c>
      <c r="D935">
        <v>1343299</v>
      </c>
      <c r="E935" s="1" t="s">
        <v>2181</v>
      </c>
      <c r="F935">
        <f>VLOOKUP(A935,Classifications!$A:$E,5,FALSE)</f>
        <v>1</v>
      </c>
      <c r="G935">
        <f>VLOOKUP(A935,Classifications!$A:$F,6,FALSE)</f>
        <v>1</v>
      </c>
      <c r="H935">
        <f>VLOOKUP(A935,Classifications!$A:$G,7,FALSE)</f>
        <v>43</v>
      </c>
      <c r="I935" t="s">
        <v>11</v>
      </c>
      <c r="J935" s="2">
        <v>44215.504583333335</v>
      </c>
    </row>
    <row r="936" spans="1:10" ht="12.75" customHeight="1" x14ac:dyDescent="0.3">
      <c r="A936">
        <v>1349668</v>
      </c>
      <c r="B936" t="s">
        <v>503</v>
      </c>
      <c r="D936" t="s">
        <v>2182</v>
      </c>
      <c r="E936" s="1" t="s">
        <v>2183</v>
      </c>
      <c r="F936">
        <f>VLOOKUP(A936,Classifications!$A:$E,5,FALSE)</f>
        <v>1</v>
      </c>
      <c r="G936">
        <f>VLOOKUP(A936,Classifications!$A:$F,6,FALSE)</f>
        <v>1</v>
      </c>
      <c r="H936">
        <f>VLOOKUP(A936,Classifications!$A:$G,7,FALSE)</f>
        <v>36</v>
      </c>
      <c r="I936" t="s">
        <v>11</v>
      </c>
      <c r="J936" s="2">
        <v>44215.477071759262</v>
      </c>
    </row>
    <row r="937" spans="1:10" ht="12.75" customHeight="1" x14ac:dyDescent="0.3">
      <c r="A937">
        <v>1349667</v>
      </c>
      <c r="B937" t="s">
        <v>435</v>
      </c>
      <c r="C937" t="s">
        <v>436</v>
      </c>
      <c r="D937" t="s">
        <v>2184</v>
      </c>
      <c r="E937" s="1" t="s">
        <v>2185</v>
      </c>
      <c r="F937">
        <f>VLOOKUP(A937,Classifications!$A:$E,5,FALSE)</f>
        <v>1</v>
      </c>
      <c r="G937">
        <f>VLOOKUP(A937,Classifications!$A:$F,6,FALSE)</f>
        <v>1</v>
      </c>
      <c r="H937">
        <f>VLOOKUP(A937,Classifications!$A:$G,7,FALSE)</f>
        <v>43</v>
      </c>
      <c r="I937" t="s">
        <v>11</v>
      </c>
      <c r="J937" s="2">
        <v>44215.474641203706</v>
      </c>
    </row>
    <row r="938" spans="1:10" ht="12.75" customHeight="1" x14ac:dyDescent="0.3">
      <c r="A938">
        <v>1349654</v>
      </c>
      <c r="B938" t="s">
        <v>7</v>
      </c>
      <c r="C938" t="s">
        <v>1539</v>
      </c>
      <c r="D938" t="s">
        <v>2186</v>
      </c>
      <c r="E938" s="1" t="s">
        <v>1541</v>
      </c>
      <c r="F938">
        <f>VLOOKUP(A938,Classifications!$A:$E,5,FALSE)</f>
        <v>1</v>
      </c>
      <c r="G938">
        <f>VLOOKUP(A938,Classifications!$A:$F,6,FALSE)</f>
        <v>1</v>
      </c>
      <c r="H938">
        <f>VLOOKUP(A938,Classifications!$A:$G,7,FALSE)</f>
        <v>41</v>
      </c>
      <c r="I938" t="s">
        <v>11</v>
      </c>
      <c r="J938" s="2">
        <v>44215.463773148149</v>
      </c>
    </row>
    <row r="939" spans="1:10" ht="12.75" customHeight="1" x14ac:dyDescent="0.3">
      <c r="A939">
        <v>1349652</v>
      </c>
      <c r="B939" t="s">
        <v>350</v>
      </c>
      <c r="C939" t="s">
        <v>351</v>
      </c>
      <c r="D939" t="s">
        <v>2187</v>
      </c>
      <c r="E939" s="1" t="s">
        <v>2188</v>
      </c>
      <c r="F939">
        <f>VLOOKUP(A939,Classifications!$A:$E,5,FALSE)</f>
        <v>1</v>
      </c>
      <c r="G939">
        <f>VLOOKUP(A939,Classifications!$A:$F,6,FALSE)</f>
        <v>1</v>
      </c>
      <c r="H939">
        <f>VLOOKUP(A939,Classifications!$A:$G,7,FALSE)</f>
        <v>43</v>
      </c>
      <c r="I939" t="s">
        <v>24</v>
      </c>
      <c r="J939" s="2">
        <v>44215.449074074073</v>
      </c>
    </row>
    <row r="940" spans="1:10" ht="12.75" customHeight="1" x14ac:dyDescent="0.3">
      <c r="A940">
        <v>1349651</v>
      </c>
      <c r="B940" t="s">
        <v>95</v>
      </c>
      <c r="C940" t="s">
        <v>2189</v>
      </c>
      <c r="D940" t="s">
        <v>2190</v>
      </c>
      <c r="E940" s="1" t="s">
        <v>2191</v>
      </c>
      <c r="F940">
        <f>VLOOKUP(A940,Classifications!$A:$E,5,FALSE)</f>
        <v>1</v>
      </c>
      <c r="G940">
        <f>VLOOKUP(A940,Classifications!$A:$F,6,FALSE)</f>
        <v>1</v>
      </c>
      <c r="H940">
        <f>VLOOKUP(A940,Classifications!$A:$G,7,FALSE)</f>
        <v>41</v>
      </c>
      <c r="I940" t="s">
        <v>24</v>
      </c>
      <c r="J940" s="2">
        <v>44215.44740740741</v>
      </c>
    </row>
    <row r="941" spans="1:10" ht="12.75" customHeight="1" x14ac:dyDescent="0.3">
      <c r="A941">
        <v>1349650</v>
      </c>
      <c r="B941" t="s">
        <v>1137</v>
      </c>
      <c r="C941" t="s">
        <v>1138</v>
      </c>
      <c r="D941" t="s">
        <v>2192</v>
      </c>
      <c r="E941" s="1" t="s">
        <v>2193</v>
      </c>
      <c r="F941">
        <f>VLOOKUP(A941,Classifications!$A:$E,5,FALSE)</f>
        <v>1</v>
      </c>
      <c r="G941">
        <f>VLOOKUP(A941,Classifications!$A:$F,6,FALSE)</f>
        <v>1</v>
      </c>
      <c r="H941">
        <f>VLOOKUP(A941,Classifications!$A:$G,7,FALSE)</f>
        <v>43</v>
      </c>
      <c r="I941" t="s">
        <v>11</v>
      </c>
      <c r="J941" s="2">
        <v>44215.446238425924</v>
      </c>
    </row>
    <row r="942" spans="1:10" ht="12.75" customHeight="1" x14ac:dyDescent="0.3">
      <c r="A942">
        <v>1349640</v>
      </c>
      <c r="B942" t="s">
        <v>16</v>
      </c>
      <c r="C942" t="s">
        <v>2194</v>
      </c>
      <c r="D942" t="s">
        <v>2195</v>
      </c>
      <c r="E942" s="1" t="s">
        <v>2196</v>
      </c>
      <c r="F942">
        <f>VLOOKUP(A942,Classifications!$A:$E,5,FALSE)</f>
        <v>1</v>
      </c>
      <c r="G942">
        <f>VLOOKUP(A942,Classifications!$A:$F,6,FALSE)</f>
        <v>1</v>
      </c>
      <c r="H942">
        <f>VLOOKUP(A942,Classifications!$A:$G,7,FALSE)</f>
        <v>41</v>
      </c>
      <c r="I942" t="s">
        <v>11</v>
      </c>
      <c r="J942" s="2">
        <v>44215.439976851849</v>
      </c>
    </row>
    <row r="943" spans="1:10" ht="12.75" customHeight="1" x14ac:dyDescent="0.3">
      <c r="A943">
        <v>1349637</v>
      </c>
      <c r="B943" t="s">
        <v>157</v>
      </c>
      <c r="C943" t="s">
        <v>627</v>
      </c>
      <c r="D943" t="s">
        <v>2197</v>
      </c>
      <c r="E943" s="1" t="s">
        <v>2198</v>
      </c>
      <c r="F943">
        <f>VLOOKUP(A943,Classifications!$A:$E,5,FALSE)</f>
        <v>1</v>
      </c>
      <c r="G943">
        <f>VLOOKUP(A943,Classifications!$A:$F,6,FALSE)</f>
        <v>1</v>
      </c>
      <c r="H943">
        <f>VLOOKUP(A943,Classifications!$A:$G,7,FALSE)</f>
        <v>43</v>
      </c>
      <c r="I943" t="s">
        <v>11</v>
      </c>
      <c r="J943" s="2">
        <v>44215.435949074075</v>
      </c>
    </row>
    <row r="944" spans="1:10" ht="12.75" customHeight="1" x14ac:dyDescent="0.3">
      <c r="A944">
        <v>1349626</v>
      </c>
      <c r="B944" t="s">
        <v>36</v>
      </c>
      <c r="C944" t="s">
        <v>2199</v>
      </c>
      <c r="D944" t="s">
        <v>2200</v>
      </c>
      <c r="E944" s="1" t="s">
        <v>2201</v>
      </c>
      <c r="F944">
        <f>VLOOKUP(A944,Classifications!$A:$E,5,FALSE)</f>
        <v>1</v>
      </c>
      <c r="G944">
        <f>VLOOKUP(A944,Classifications!$A:$F,6,FALSE)</f>
        <v>1</v>
      </c>
      <c r="H944">
        <f>VLOOKUP(A944,Classifications!$A:$G,7,FALSE)</f>
        <v>36</v>
      </c>
      <c r="I944" t="s">
        <v>24</v>
      </c>
      <c r="J944" s="2">
        <v>44215.420555555553</v>
      </c>
    </row>
    <row r="945" spans="1:10" ht="12.75" customHeight="1" x14ac:dyDescent="0.3">
      <c r="A945">
        <v>1349596</v>
      </c>
      <c r="B945" t="s">
        <v>20</v>
      </c>
      <c r="C945" t="s">
        <v>2161</v>
      </c>
      <c r="D945" t="s">
        <v>2202</v>
      </c>
      <c r="E945" s="1" t="s">
        <v>2203</v>
      </c>
      <c r="F945">
        <f>VLOOKUP(A945,Classifications!$A:$E,5,FALSE)</f>
        <v>1</v>
      </c>
      <c r="G945">
        <f>VLOOKUP(A945,Classifications!$A:$F,6,FALSE)</f>
        <v>3</v>
      </c>
      <c r="H945">
        <f>VLOOKUP(A945,Classifications!$A:$G,7,FALSE)</f>
        <v>41</v>
      </c>
      <c r="I945" t="s">
        <v>11</v>
      </c>
      <c r="J945" s="2">
        <v>44215.417002314818</v>
      </c>
    </row>
    <row r="946" spans="1:10" ht="12.75" customHeight="1" x14ac:dyDescent="0.3">
      <c r="A946">
        <v>1349590</v>
      </c>
      <c r="B946" t="s">
        <v>1782</v>
      </c>
      <c r="C946" t="s">
        <v>2204</v>
      </c>
      <c r="D946" t="s">
        <v>2205</v>
      </c>
      <c r="E946" s="1" t="s">
        <v>2206</v>
      </c>
      <c r="F946">
        <f>VLOOKUP(A946,Classifications!$A:$E,5,FALSE)</f>
        <v>2</v>
      </c>
      <c r="G946">
        <f>VLOOKUP(A946,Classifications!$A:$F,6,FALSE)</f>
        <v>3</v>
      </c>
      <c r="H946">
        <f>VLOOKUP(A946,Classifications!$A:$G,7,FALSE)</f>
        <v>41</v>
      </c>
      <c r="I946" t="s">
        <v>11</v>
      </c>
      <c r="J946" s="2">
        <v>44215.406539351854</v>
      </c>
    </row>
    <row r="947" spans="1:10" ht="12.75" customHeight="1" x14ac:dyDescent="0.3">
      <c r="A947">
        <v>1349585</v>
      </c>
      <c r="B947" t="s">
        <v>1956</v>
      </c>
      <c r="C947" t="s">
        <v>646</v>
      </c>
      <c r="D947" t="s">
        <v>2207</v>
      </c>
      <c r="E947" s="1" t="s">
        <v>2208</v>
      </c>
      <c r="F947">
        <f>VLOOKUP(A947,Classifications!$A:$E,5,FALSE)</f>
        <v>1</v>
      </c>
      <c r="G947">
        <f>VLOOKUP(A947,Classifications!$A:$F,6,FALSE)</f>
        <v>1</v>
      </c>
      <c r="H947">
        <f>VLOOKUP(A947,Classifications!$A:$G,7,FALSE)</f>
        <v>36</v>
      </c>
      <c r="I947" t="s">
        <v>11</v>
      </c>
      <c r="J947" s="2">
        <v>44215.399270833332</v>
      </c>
    </row>
    <row r="948" spans="1:10" ht="12.75" customHeight="1" x14ac:dyDescent="0.3">
      <c r="A948">
        <v>1349579</v>
      </c>
      <c r="B948" t="s">
        <v>545</v>
      </c>
      <c r="C948" t="s">
        <v>2209</v>
      </c>
      <c r="D948" t="s">
        <v>2210</v>
      </c>
      <c r="E948" s="1" t="s">
        <v>2211</v>
      </c>
      <c r="F948">
        <f>VLOOKUP(A948,Classifications!$A:$E,5,FALSE)</f>
        <v>1</v>
      </c>
      <c r="G948">
        <f>VLOOKUP(A948,Classifications!$A:$F,6,FALSE)</f>
        <v>2</v>
      </c>
      <c r="H948">
        <f>VLOOKUP(A948,Classifications!$A:$G,7,FALSE)</f>
        <v>41</v>
      </c>
      <c r="I948" t="s">
        <v>24</v>
      </c>
      <c r="J948" s="2">
        <v>44215.393599537034</v>
      </c>
    </row>
    <row r="949" spans="1:10" ht="12.75" customHeight="1" x14ac:dyDescent="0.3">
      <c r="A949">
        <v>1349571</v>
      </c>
      <c r="B949" t="s">
        <v>191</v>
      </c>
      <c r="C949" t="s">
        <v>192</v>
      </c>
      <c r="D949" t="s">
        <v>2212</v>
      </c>
      <c r="E949" s="1" t="s">
        <v>2213</v>
      </c>
      <c r="F949">
        <f>VLOOKUP(A949,Classifications!$A:$E,5,FALSE)</f>
        <v>1</v>
      </c>
      <c r="G949">
        <f>VLOOKUP(A949,Classifications!$A:$F,6,FALSE)</f>
        <v>1</v>
      </c>
      <c r="H949">
        <f>VLOOKUP(A949,Classifications!$A:$G,7,FALSE)</f>
        <v>43</v>
      </c>
      <c r="I949" t="s">
        <v>11</v>
      </c>
      <c r="J949" s="2">
        <v>44215.372407407405</v>
      </c>
    </row>
    <row r="950" spans="1:10" ht="12.75" customHeight="1" x14ac:dyDescent="0.3">
      <c r="A950">
        <v>1349563</v>
      </c>
      <c r="B950" t="s">
        <v>91</v>
      </c>
      <c r="C950" t="s">
        <v>1842</v>
      </c>
      <c r="D950" t="s">
        <v>2214</v>
      </c>
      <c r="E950" s="1" t="s">
        <v>2215</v>
      </c>
      <c r="F950">
        <f>VLOOKUP(A950,Classifications!$A:$E,5,FALSE)</f>
        <v>1</v>
      </c>
      <c r="G950">
        <f>VLOOKUP(A950,Classifications!$A:$F,6,FALSE)</f>
        <v>1</v>
      </c>
      <c r="H950">
        <f>VLOOKUP(A950,Classifications!$A:$G,7,FALSE)</f>
        <v>43</v>
      </c>
      <c r="I950" t="s">
        <v>11</v>
      </c>
      <c r="J950" s="2">
        <v>44215.359861111108</v>
      </c>
    </row>
    <row r="951" spans="1:10" ht="12.75" customHeight="1" x14ac:dyDescent="0.3">
      <c r="A951">
        <v>1349556</v>
      </c>
      <c r="B951" t="s">
        <v>177</v>
      </c>
      <c r="C951" t="s">
        <v>158</v>
      </c>
      <c r="D951" t="s">
        <v>2216</v>
      </c>
      <c r="E951" s="1" t="s">
        <v>2217</v>
      </c>
      <c r="F951">
        <f>VLOOKUP(A951,Classifications!$A:$E,5,FALSE)</f>
        <v>1</v>
      </c>
      <c r="G951">
        <f>VLOOKUP(A951,Classifications!$A:$F,6,FALSE)</f>
        <v>1</v>
      </c>
      <c r="H951">
        <f>VLOOKUP(A951,Classifications!$A:$G,7,FALSE)</f>
        <v>43</v>
      </c>
      <c r="I951" t="s">
        <v>24</v>
      </c>
      <c r="J951" s="2">
        <v>44215.353460648148</v>
      </c>
    </row>
    <row r="952" spans="1:10" ht="12.75" customHeight="1" x14ac:dyDescent="0.3">
      <c r="A952">
        <v>1349545</v>
      </c>
      <c r="B952" t="s">
        <v>435</v>
      </c>
      <c r="C952" t="s">
        <v>436</v>
      </c>
      <c r="D952" t="s">
        <v>1943</v>
      </c>
      <c r="E952" s="1" t="s">
        <v>2218</v>
      </c>
      <c r="F952">
        <f>VLOOKUP(A952,Classifications!$A:$E,5,FALSE)</f>
        <v>1</v>
      </c>
      <c r="G952">
        <f>VLOOKUP(A952,Classifications!$A:$F,6,FALSE)</f>
        <v>1</v>
      </c>
      <c r="H952">
        <f>VLOOKUP(A952,Classifications!$A:$G,7,FALSE)</f>
        <v>43</v>
      </c>
      <c r="I952" t="s">
        <v>11</v>
      </c>
      <c r="J952" s="2">
        <v>44215.334282407406</v>
      </c>
    </row>
    <row r="953" spans="1:10" ht="12.75" customHeight="1" x14ac:dyDescent="0.3">
      <c r="A953">
        <v>1349433</v>
      </c>
      <c r="B953" t="s">
        <v>95</v>
      </c>
      <c r="C953" t="s">
        <v>668</v>
      </c>
      <c r="D953" t="s">
        <v>1323</v>
      </c>
      <c r="E953" t="s">
        <v>1324</v>
      </c>
      <c r="F953">
        <f>VLOOKUP(A953,Classifications!$A:$E,5,FALSE)</f>
        <v>1</v>
      </c>
      <c r="G953">
        <f>VLOOKUP(A953,Classifications!$A:$F,6,FALSE)</f>
        <v>1</v>
      </c>
      <c r="H953">
        <f>VLOOKUP(A953,Classifications!$A:$G,7,FALSE)</f>
        <v>36</v>
      </c>
      <c r="I953" t="s">
        <v>1158</v>
      </c>
      <c r="J953" s="2">
        <v>44215.000127314815</v>
      </c>
    </row>
    <row r="954" spans="1:10" ht="12.75" customHeight="1" x14ac:dyDescent="0.3">
      <c r="A954">
        <v>1349432</v>
      </c>
      <c r="B954" t="s">
        <v>95</v>
      </c>
      <c r="C954" t="s">
        <v>668</v>
      </c>
      <c r="D954" t="s">
        <v>1323</v>
      </c>
      <c r="E954" t="s">
        <v>1324</v>
      </c>
      <c r="F954">
        <f>VLOOKUP(A954,Classifications!$A:$E,5,FALSE)</f>
        <v>1</v>
      </c>
      <c r="G954">
        <f>VLOOKUP(A954,Classifications!$A:$F,6,FALSE)</f>
        <v>1</v>
      </c>
      <c r="H954">
        <f>VLOOKUP(A954,Classifications!$A:$G,7,FALSE)</f>
        <v>36</v>
      </c>
      <c r="I954" t="s">
        <v>1158</v>
      </c>
      <c r="J954" s="2">
        <v>44215.000115740739</v>
      </c>
    </row>
    <row r="955" spans="1:10" ht="12.75" customHeight="1" x14ac:dyDescent="0.3">
      <c r="A955">
        <v>1349430</v>
      </c>
      <c r="B955" t="s">
        <v>1413</v>
      </c>
      <c r="C955" t="s">
        <v>2219</v>
      </c>
      <c r="D955" t="s">
        <v>2220</v>
      </c>
      <c r="E955" s="1" t="s">
        <v>1326</v>
      </c>
      <c r="F955">
        <f>VLOOKUP(A955,Classifications!$A:$E,5,FALSE)</f>
        <v>2</v>
      </c>
      <c r="G955">
        <f>VLOOKUP(A955,Classifications!$A:$F,6,FALSE)</f>
        <v>1</v>
      </c>
      <c r="H955">
        <f>VLOOKUP(A955,Classifications!$A:$G,7,FALSE)</f>
        <v>36</v>
      </c>
      <c r="I955" t="s">
        <v>1158</v>
      </c>
      <c r="J955" s="2">
        <v>44215.000104166669</v>
      </c>
    </row>
    <row r="956" spans="1:10" ht="12.75" customHeight="1" x14ac:dyDescent="0.3">
      <c r="A956">
        <v>1349428</v>
      </c>
      <c r="B956" t="s">
        <v>2221</v>
      </c>
      <c r="C956" t="s">
        <v>2222</v>
      </c>
      <c r="D956" t="s">
        <v>1429</v>
      </c>
      <c r="E956" s="1" t="s">
        <v>1160</v>
      </c>
      <c r="F956">
        <f>VLOOKUP(A956,Classifications!$A:$E,5,FALSE)</f>
        <v>1</v>
      </c>
      <c r="G956">
        <f>VLOOKUP(A956,Classifications!$A:$F,6,FALSE)</f>
        <v>1</v>
      </c>
      <c r="H956">
        <f>VLOOKUP(A956,Classifications!$A:$G,7,FALSE)</f>
        <v>36</v>
      </c>
      <c r="I956" t="s">
        <v>1158</v>
      </c>
      <c r="J956" s="2">
        <v>44215.000092592592</v>
      </c>
    </row>
    <row r="957" spans="1:10" ht="12.75" customHeight="1" x14ac:dyDescent="0.3">
      <c r="A957">
        <v>1349216</v>
      </c>
      <c r="B957" t="s">
        <v>36</v>
      </c>
      <c r="C957" t="s">
        <v>2199</v>
      </c>
      <c r="D957" t="s">
        <v>2223</v>
      </c>
      <c r="E957" s="1" t="s">
        <v>2224</v>
      </c>
      <c r="F957">
        <f>VLOOKUP(A957,Classifications!$A:$E,5,FALSE)</f>
        <v>1</v>
      </c>
      <c r="G957">
        <f>VLOOKUP(A957,Classifications!$A:$F,6,FALSE)</f>
        <v>1</v>
      </c>
      <c r="H957">
        <f>VLOOKUP(A957,Classifications!$A:$G,7,FALSE)</f>
        <v>36</v>
      </c>
      <c r="I957" t="s">
        <v>24</v>
      </c>
      <c r="J957" s="2">
        <v>44214.732592592591</v>
      </c>
    </row>
    <row r="958" spans="1:10" ht="12.75" customHeight="1" x14ac:dyDescent="0.3">
      <c r="A958">
        <v>1349195</v>
      </c>
      <c r="B958" t="s">
        <v>2130</v>
      </c>
      <c r="C958" t="s">
        <v>2131</v>
      </c>
      <c r="D958" t="s">
        <v>2225</v>
      </c>
      <c r="E958" s="1" t="s">
        <v>2226</v>
      </c>
      <c r="F958">
        <f>VLOOKUP(A958,Classifications!$A:$E,5,FALSE)</f>
        <v>1</v>
      </c>
      <c r="G958">
        <f>VLOOKUP(A958,Classifications!$A:$F,6,FALSE)</f>
        <v>1</v>
      </c>
      <c r="H958">
        <f>VLOOKUP(A958,Classifications!$A:$G,7,FALSE)</f>
        <v>43</v>
      </c>
      <c r="I958" t="s">
        <v>11</v>
      </c>
      <c r="J958" s="2">
        <v>44214.708865740744</v>
      </c>
    </row>
    <row r="959" spans="1:10" ht="12.75" customHeight="1" x14ac:dyDescent="0.3">
      <c r="A959">
        <v>1349179</v>
      </c>
      <c r="B959" t="s">
        <v>489</v>
      </c>
      <c r="C959" t="s">
        <v>2227</v>
      </c>
      <c r="D959" t="s">
        <v>2228</v>
      </c>
      <c r="E959" s="1" t="s">
        <v>2229</v>
      </c>
      <c r="F959">
        <f>VLOOKUP(A959,Classifications!$A:$E,5,FALSE)</f>
        <v>2</v>
      </c>
      <c r="G959">
        <f>VLOOKUP(A959,Classifications!$A:$F,6,FALSE)</f>
        <v>3</v>
      </c>
      <c r="H959">
        <f>VLOOKUP(A959,Classifications!$A:$G,7,FALSE)</f>
        <v>41</v>
      </c>
      <c r="I959" t="s">
        <v>11</v>
      </c>
      <c r="J959" s="2">
        <v>44214.68178240741</v>
      </c>
    </row>
    <row r="960" spans="1:10" ht="12.75" customHeight="1" x14ac:dyDescent="0.3">
      <c r="A960">
        <v>1349167</v>
      </c>
      <c r="B960" t="s">
        <v>32</v>
      </c>
      <c r="C960" t="s">
        <v>2230</v>
      </c>
      <c r="D960" t="s">
        <v>2231</v>
      </c>
      <c r="E960" s="1" t="s">
        <v>2232</v>
      </c>
      <c r="F960">
        <f>VLOOKUP(A960,Classifications!$A:$E,5,FALSE)</f>
        <v>1</v>
      </c>
      <c r="G960">
        <f>VLOOKUP(A960,Classifications!$A:$F,6,FALSE)</f>
        <v>3</v>
      </c>
      <c r="H960">
        <f>VLOOKUP(A960,Classifications!$A:$G,7,FALSE)</f>
        <v>41</v>
      </c>
      <c r="I960" t="s">
        <v>11</v>
      </c>
      <c r="J960" s="2">
        <v>44214.656956018516</v>
      </c>
    </row>
    <row r="961" spans="1:10" ht="12.75" customHeight="1" x14ac:dyDescent="0.3">
      <c r="A961">
        <v>1349163</v>
      </c>
      <c r="B961" t="s">
        <v>2233</v>
      </c>
      <c r="C961" t="s">
        <v>2234</v>
      </c>
      <c r="D961" t="s">
        <v>2235</v>
      </c>
      <c r="E961" s="1" t="s">
        <v>2236</v>
      </c>
      <c r="F961">
        <f>VLOOKUP(A961,Classifications!$A:$E,5,FALSE)</f>
        <v>1</v>
      </c>
      <c r="G961">
        <f>VLOOKUP(A961,Classifications!$A:$F,6,FALSE)</f>
        <v>2</v>
      </c>
      <c r="H961">
        <f>VLOOKUP(A961,Classifications!$A:$G,7,FALSE)</f>
        <v>41</v>
      </c>
      <c r="I961" t="s">
        <v>11</v>
      </c>
      <c r="J961" s="2">
        <v>44214.650011574071</v>
      </c>
    </row>
    <row r="962" spans="1:10" ht="12.75" customHeight="1" x14ac:dyDescent="0.3">
      <c r="A962">
        <v>1349162</v>
      </c>
      <c r="B962" t="s">
        <v>157</v>
      </c>
      <c r="C962" t="s">
        <v>414</v>
      </c>
      <c r="D962" t="s">
        <v>2237</v>
      </c>
      <c r="E962" s="1" t="s">
        <v>2238</v>
      </c>
      <c r="F962">
        <f>VLOOKUP(A962,Classifications!$A:$E,5,FALSE)</f>
        <v>1</v>
      </c>
      <c r="G962">
        <f>VLOOKUP(A962,Classifications!$A:$F,6,FALSE)</f>
        <v>1</v>
      </c>
      <c r="H962">
        <f>VLOOKUP(A962,Classifications!$A:$G,7,FALSE)</f>
        <v>43</v>
      </c>
      <c r="I962" t="s">
        <v>11</v>
      </c>
      <c r="J962" s="2">
        <v>44214.646215277775</v>
      </c>
    </row>
    <row r="963" spans="1:10" ht="12.75" customHeight="1" x14ac:dyDescent="0.3">
      <c r="A963">
        <v>1349154</v>
      </c>
      <c r="B963" t="s">
        <v>20</v>
      </c>
      <c r="C963" t="s">
        <v>2239</v>
      </c>
      <c r="D963" t="s">
        <v>2240</v>
      </c>
      <c r="E963" s="1" t="s">
        <v>2241</v>
      </c>
      <c r="F963">
        <f>VLOOKUP(A963,Classifications!$A:$E,5,FALSE)</f>
        <v>1</v>
      </c>
      <c r="G963">
        <f>VLOOKUP(A963,Classifications!$A:$F,6,FALSE)</f>
        <v>1</v>
      </c>
      <c r="H963">
        <f>VLOOKUP(A963,Classifications!$A:$G,7,FALSE)</f>
        <v>43</v>
      </c>
      <c r="I963" t="s">
        <v>11</v>
      </c>
      <c r="J963" s="2">
        <v>44214.640601851854</v>
      </c>
    </row>
    <row r="964" spans="1:10" ht="12.75" customHeight="1" x14ac:dyDescent="0.3">
      <c r="A964">
        <v>1349151</v>
      </c>
      <c r="B964" t="s">
        <v>20</v>
      </c>
      <c r="C964" t="s">
        <v>136</v>
      </c>
      <c r="D964" t="s">
        <v>2242</v>
      </c>
      <c r="E964" s="1" t="s">
        <v>2243</v>
      </c>
      <c r="F964">
        <f>VLOOKUP(A964,Classifications!$A:$E,5,FALSE)</f>
        <v>1</v>
      </c>
      <c r="G964">
        <f>VLOOKUP(A964,Classifications!$A:$F,6,FALSE)</f>
        <v>1</v>
      </c>
      <c r="H964">
        <f>VLOOKUP(A964,Classifications!$A:$G,7,FALSE)</f>
        <v>43</v>
      </c>
      <c r="I964" t="s">
        <v>11</v>
      </c>
      <c r="J964" s="2">
        <v>44214.635717592595</v>
      </c>
    </row>
    <row r="965" spans="1:10" ht="12.75" customHeight="1" x14ac:dyDescent="0.3">
      <c r="A965">
        <v>1349150</v>
      </c>
      <c r="B965" t="s">
        <v>20</v>
      </c>
      <c r="C965" t="s">
        <v>2244</v>
      </c>
      <c r="D965" t="s">
        <v>2245</v>
      </c>
      <c r="E965" s="1" t="s">
        <v>2246</v>
      </c>
      <c r="F965">
        <f>VLOOKUP(A965,Classifications!$A:$E,5,FALSE)</f>
        <v>1</v>
      </c>
      <c r="G965">
        <f>VLOOKUP(A965,Classifications!$A:$F,6,FALSE)</f>
        <v>1</v>
      </c>
      <c r="H965">
        <f>VLOOKUP(A965,Classifications!$A:$G,7,FALSE)</f>
        <v>43</v>
      </c>
      <c r="I965" t="s">
        <v>11</v>
      </c>
      <c r="J965" s="2">
        <v>44214.634745370371</v>
      </c>
    </row>
    <row r="966" spans="1:10" ht="12.75" customHeight="1" x14ac:dyDescent="0.3">
      <c r="A966">
        <v>1349141</v>
      </c>
      <c r="B966" t="s">
        <v>16</v>
      </c>
      <c r="C966" t="s">
        <v>649</v>
      </c>
      <c r="D966" t="s">
        <v>650</v>
      </c>
      <c r="E966" s="1" t="s">
        <v>2247</v>
      </c>
      <c r="F966">
        <f>VLOOKUP(A966,Classifications!$A:$E,5,FALSE)</f>
        <v>1</v>
      </c>
      <c r="G966">
        <f>VLOOKUP(A966,Classifications!$A:$F,6,FALSE)</f>
        <v>1</v>
      </c>
      <c r="H966">
        <f>VLOOKUP(A966,Classifications!$A:$G,7,FALSE)</f>
        <v>43</v>
      </c>
      <c r="I966" t="s">
        <v>11</v>
      </c>
      <c r="J966" s="2">
        <v>44214.621724537035</v>
      </c>
    </row>
    <row r="967" spans="1:10" ht="12.75" customHeight="1" x14ac:dyDescent="0.3">
      <c r="A967">
        <v>1349139</v>
      </c>
      <c r="B967" t="s">
        <v>16</v>
      </c>
      <c r="C967" t="s">
        <v>649</v>
      </c>
      <c r="D967" t="s">
        <v>650</v>
      </c>
      <c r="E967" s="1" t="s">
        <v>2248</v>
      </c>
      <c r="F967">
        <f>VLOOKUP(A967,Classifications!$A:$E,5,FALSE)</f>
        <v>1</v>
      </c>
      <c r="G967">
        <f>VLOOKUP(A967,Classifications!$A:$F,6,FALSE)</f>
        <v>1</v>
      </c>
      <c r="H967">
        <f>VLOOKUP(A967,Classifications!$A:$G,7,FALSE)</f>
        <v>43</v>
      </c>
      <c r="I967" t="s">
        <v>11</v>
      </c>
      <c r="J967" s="2">
        <v>44214.620891203704</v>
      </c>
    </row>
    <row r="968" spans="1:10" ht="12.75" customHeight="1" x14ac:dyDescent="0.3">
      <c r="A968">
        <v>1349138</v>
      </c>
      <c r="B968" t="s">
        <v>70</v>
      </c>
      <c r="C968" t="s">
        <v>2249</v>
      </c>
      <c r="D968" t="s">
        <v>2250</v>
      </c>
      <c r="E968" s="1" t="s">
        <v>2251</v>
      </c>
      <c r="F968">
        <f>VLOOKUP(A968,Classifications!$A:$E,5,FALSE)</f>
        <v>1</v>
      </c>
      <c r="G968">
        <f>VLOOKUP(A968,Classifications!$A:$F,6,FALSE)</f>
        <v>2</v>
      </c>
      <c r="H968">
        <f>VLOOKUP(A968,Classifications!$A:$G,7,FALSE)</f>
        <v>41</v>
      </c>
      <c r="I968" t="s">
        <v>11</v>
      </c>
      <c r="J968" s="2">
        <v>44214.620752314811</v>
      </c>
    </row>
    <row r="969" spans="1:10" ht="12.75" customHeight="1" x14ac:dyDescent="0.3">
      <c r="A969">
        <v>1349137</v>
      </c>
      <c r="B969" t="s">
        <v>16</v>
      </c>
      <c r="C969" t="s">
        <v>649</v>
      </c>
      <c r="D969" t="s">
        <v>650</v>
      </c>
      <c r="E969" s="1" t="s">
        <v>2252</v>
      </c>
      <c r="F969">
        <f>VLOOKUP(A969,Classifications!$A:$E,5,FALSE)</f>
        <v>1</v>
      </c>
      <c r="G969">
        <f>VLOOKUP(A969,Classifications!$A:$F,6,FALSE)</f>
        <v>1</v>
      </c>
      <c r="H969">
        <f>VLOOKUP(A969,Classifications!$A:$G,7,FALSE)</f>
        <v>43</v>
      </c>
      <c r="I969" t="s">
        <v>11</v>
      </c>
      <c r="J969" s="2">
        <v>44214.620613425926</v>
      </c>
    </row>
    <row r="970" spans="1:10" ht="12.75" customHeight="1" x14ac:dyDescent="0.3">
      <c r="A970">
        <v>1349126</v>
      </c>
      <c r="B970" t="s">
        <v>150</v>
      </c>
      <c r="C970" t="s">
        <v>151</v>
      </c>
      <c r="D970" t="s">
        <v>2253</v>
      </c>
      <c r="E970" s="1" t="s">
        <v>2254</v>
      </c>
      <c r="F970">
        <f>VLOOKUP(A970,Classifications!$A:$E,5,FALSE)</f>
        <v>1</v>
      </c>
      <c r="G970">
        <f>VLOOKUP(A970,Classifications!$A:$F,6,FALSE)</f>
        <v>2</v>
      </c>
      <c r="H970">
        <f>VLOOKUP(A970,Classifications!$A:$G,7,FALSE)</f>
        <v>41</v>
      </c>
      <c r="I970" t="s">
        <v>24</v>
      </c>
      <c r="J970" s="2">
        <v>44214.608634259261</v>
      </c>
    </row>
    <row r="971" spans="1:10" ht="12.75" customHeight="1" x14ac:dyDescent="0.3">
      <c r="A971">
        <v>1349121</v>
      </c>
      <c r="B971" t="s">
        <v>36</v>
      </c>
      <c r="C971" t="s">
        <v>1342</v>
      </c>
      <c r="D971" t="s">
        <v>2255</v>
      </c>
      <c r="E971" s="1" t="s">
        <v>2256</v>
      </c>
      <c r="F971">
        <f>VLOOKUP(A971,Classifications!$A:$E,5,FALSE)</f>
        <v>1</v>
      </c>
      <c r="G971">
        <f>VLOOKUP(A971,Classifications!$A:$F,6,FALSE)</f>
        <v>1</v>
      </c>
      <c r="H971">
        <f>VLOOKUP(A971,Classifications!$A:$G,7,FALSE)</f>
        <v>36</v>
      </c>
      <c r="I971" t="s">
        <v>11</v>
      </c>
      <c r="J971" s="2">
        <v>44214.600289351853</v>
      </c>
    </row>
    <row r="972" spans="1:10" ht="12.75" customHeight="1" x14ac:dyDescent="0.3">
      <c r="A972">
        <v>1349120</v>
      </c>
      <c r="B972" t="s">
        <v>7</v>
      </c>
      <c r="C972" t="s">
        <v>107</v>
      </c>
      <c r="D972" t="s">
        <v>2257</v>
      </c>
      <c r="E972" s="1" t="s">
        <v>2258</v>
      </c>
      <c r="F972">
        <f>VLOOKUP(A972,Classifications!$A:$E,5,FALSE)</f>
        <v>1</v>
      </c>
      <c r="G972">
        <f>VLOOKUP(A972,Classifications!$A:$F,6,FALSE)</f>
        <v>1</v>
      </c>
      <c r="H972">
        <f>VLOOKUP(A972,Classifications!$A:$G,7,FALSE)</f>
        <v>43</v>
      </c>
      <c r="I972" t="s">
        <v>11</v>
      </c>
      <c r="J972" s="2">
        <v>44214.59648148148</v>
      </c>
    </row>
    <row r="973" spans="1:10" ht="12.75" customHeight="1" x14ac:dyDescent="0.3">
      <c r="A973">
        <v>1349116</v>
      </c>
      <c r="B973" t="s">
        <v>63</v>
      </c>
      <c r="C973" t="s">
        <v>2259</v>
      </c>
      <c r="D973" t="s">
        <v>2260</v>
      </c>
      <c r="E973" s="1" t="s">
        <v>2261</v>
      </c>
      <c r="F973">
        <f>VLOOKUP(A973,Classifications!$A:$E,5,FALSE)</f>
        <v>1</v>
      </c>
      <c r="G973">
        <f>VLOOKUP(A973,Classifications!$A:$F,6,FALSE)</f>
        <v>1</v>
      </c>
      <c r="H973">
        <f>VLOOKUP(A973,Classifications!$A:$G,7,FALSE)</f>
        <v>36</v>
      </c>
      <c r="I973" t="s">
        <v>11</v>
      </c>
      <c r="J973" s="2">
        <v>44214.589131944442</v>
      </c>
    </row>
    <row r="974" spans="1:10" ht="12.75" customHeight="1" x14ac:dyDescent="0.3">
      <c r="A974">
        <v>1349114</v>
      </c>
      <c r="B974" t="s">
        <v>157</v>
      </c>
      <c r="C974" t="s">
        <v>414</v>
      </c>
      <c r="D974" t="s">
        <v>2262</v>
      </c>
      <c r="E974" s="1" t="s">
        <v>2263</v>
      </c>
      <c r="F974">
        <f>VLOOKUP(A974,Classifications!$A:$E,5,FALSE)</f>
        <v>1</v>
      </c>
      <c r="G974">
        <f>VLOOKUP(A974,Classifications!$A:$F,6,FALSE)</f>
        <v>1</v>
      </c>
      <c r="H974">
        <f>VLOOKUP(A974,Classifications!$A:$G,7,FALSE)</f>
        <v>43</v>
      </c>
      <c r="I974" t="s">
        <v>11</v>
      </c>
      <c r="J974" s="2">
        <v>44214.581585648149</v>
      </c>
    </row>
    <row r="975" spans="1:10" ht="12.75" customHeight="1" x14ac:dyDescent="0.3">
      <c r="A975">
        <v>1349113</v>
      </c>
      <c r="B975" t="s">
        <v>2264</v>
      </c>
      <c r="C975" t="s">
        <v>2265</v>
      </c>
      <c r="D975" t="s">
        <v>2266</v>
      </c>
      <c r="E975" s="1" t="s">
        <v>2267</v>
      </c>
      <c r="F975">
        <f>VLOOKUP(A975,Classifications!$A:$E,5,FALSE)</f>
        <v>1</v>
      </c>
      <c r="G975">
        <f>VLOOKUP(A975,Classifications!$A:$F,6,FALSE)</f>
        <v>1</v>
      </c>
      <c r="H975">
        <f>VLOOKUP(A975,Classifications!$A:$G,7,FALSE)</f>
        <v>36</v>
      </c>
      <c r="I975" t="s">
        <v>11</v>
      </c>
      <c r="J975" s="2">
        <v>44214.581226851849</v>
      </c>
    </row>
    <row r="976" spans="1:10" ht="12.75" customHeight="1" x14ac:dyDescent="0.3">
      <c r="A976">
        <v>1349112</v>
      </c>
      <c r="B976" t="s">
        <v>350</v>
      </c>
      <c r="C976" t="s">
        <v>351</v>
      </c>
      <c r="D976" t="s">
        <v>2268</v>
      </c>
      <c r="E976" s="1" t="s">
        <v>2269</v>
      </c>
      <c r="F976">
        <f>VLOOKUP(A976,Classifications!$A:$E,5,FALSE)</f>
        <v>1</v>
      </c>
      <c r="G976">
        <f>VLOOKUP(A976,Classifications!$A:$F,6,FALSE)</f>
        <v>1</v>
      </c>
      <c r="H976">
        <f>VLOOKUP(A976,Classifications!$A:$G,7,FALSE)</f>
        <v>36</v>
      </c>
      <c r="I976" t="s">
        <v>11</v>
      </c>
      <c r="J976" s="2">
        <v>44214.580868055556</v>
      </c>
    </row>
    <row r="977" spans="1:10" ht="12.75" customHeight="1" x14ac:dyDescent="0.3">
      <c r="A977">
        <v>1349111</v>
      </c>
      <c r="B977" t="s">
        <v>431</v>
      </c>
      <c r="C977" t="s">
        <v>432</v>
      </c>
      <c r="D977" t="s">
        <v>2270</v>
      </c>
      <c r="E977" s="1" t="s">
        <v>2271</v>
      </c>
      <c r="F977">
        <f>VLOOKUP(A977,Classifications!$A:$E,5,FALSE)</f>
        <v>1</v>
      </c>
      <c r="G977">
        <f>VLOOKUP(A977,Classifications!$A:$F,6,FALSE)</f>
        <v>2</v>
      </c>
      <c r="H977">
        <f>VLOOKUP(A977,Classifications!$A:$G,7,FALSE)</f>
        <v>36</v>
      </c>
      <c r="I977" t="s">
        <v>11</v>
      </c>
      <c r="J977" s="2">
        <v>44214.580509259256</v>
      </c>
    </row>
    <row r="978" spans="1:10" ht="12.75" customHeight="1" x14ac:dyDescent="0.3">
      <c r="A978">
        <v>1349102</v>
      </c>
      <c r="B978" t="s">
        <v>427</v>
      </c>
      <c r="C978" t="s">
        <v>2272</v>
      </c>
      <c r="D978" t="s">
        <v>2273</v>
      </c>
      <c r="E978" s="1" t="s">
        <v>2274</v>
      </c>
      <c r="F978">
        <f>VLOOKUP(A978,Classifications!$A:$E,5,FALSE)</f>
        <v>1</v>
      </c>
      <c r="G978">
        <f>VLOOKUP(A978,Classifications!$A:$F,6,FALSE)</f>
        <v>1</v>
      </c>
      <c r="H978">
        <f>VLOOKUP(A978,Classifications!$A:$G,7,FALSE)</f>
        <v>43</v>
      </c>
      <c r="I978" t="s">
        <v>11</v>
      </c>
      <c r="J978" s="2">
        <v>44214.567152777781</v>
      </c>
    </row>
    <row r="979" spans="1:10" ht="12.75" customHeight="1" x14ac:dyDescent="0.3">
      <c r="A979">
        <v>1349094</v>
      </c>
      <c r="B979" t="s">
        <v>277</v>
      </c>
      <c r="D979" t="s">
        <v>2275</v>
      </c>
      <c r="E979" s="1" t="s">
        <v>2276</v>
      </c>
      <c r="F979">
        <f>VLOOKUP(A979,Classifications!$A:$E,5,FALSE)</f>
        <v>2</v>
      </c>
      <c r="G979">
        <f>VLOOKUP(A979,Classifications!$A:$F,6,FALSE)</f>
        <v>3</v>
      </c>
      <c r="H979">
        <f>VLOOKUP(A979,Classifications!$A:$G,7,FALSE)</f>
        <v>41</v>
      </c>
      <c r="I979" t="s">
        <v>11</v>
      </c>
      <c r="J979" s="2">
        <v>44214.542557870373</v>
      </c>
    </row>
    <row r="980" spans="1:10" ht="12.75" customHeight="1" x14ac:dyDescent="0.3">
      <c r="A980">
        <v>1349093</v>
      </c>
      <c r="B980" t="s">
        <v>70</v>
      </c>
      <c r="C980" t="s">
        <v>2277</v>
      </c>
      <c r="D980" t="s">
        <v>2278</v>
      </c>
      <c r="E980" s="1" t="s">
        <v>2279</v>
      </c>
      <c r="F980">
        <f>VLOOKUP(A980,Classifications!$A:$E,5,FALSE)</f>
        <v>1</v>
      </c>
      <c r="G980">
        <f>VLOOKUP(A980,Classifications!$A:$F,6,FALSE)</f>
        <v>2</v>
      </c>
      <c r="H980">
        <f>VLOOKUP(A980,Classifications!$A:$G,7,FALSE)</f>
        <v>41</v>
      </c>
      <c r="I980" t="s">
        <v>24</v>
      </c>
      <c r="J980" s="2">
        <v>44214.542395833334</v>
      </c>
    </row>
    <row r="981" spans="1:10" ht="12.75" customHeight="1" x14ac:dyDescent="0.3">
      <c r="A981">
        <v>1349092</v>
      </c>
      <c r="B981" t="s">
        <v>20</v>
      </c>
      <c r="C981" t="s">
        <v>136</v>
      </c>
      <c r="D981" t="s">
        <v>2280</v>
      </c>
      <c r="E981" s="1" t="s">
        <v>2281</v>
      </c>
      <c r="F981">
        <f>VLOOKUP(A981,Classifications!$A:$E,5,FALSE)</f>
        <v>1</v>
      </c>
      <c r="G981">
        <f>VLOOKUP(A981,Classifications!$A:$F,6,FALSE)</f>
        <v>1</v>
      </c>
      <c r="H981">
        <f>VLOOKUP(A981,Classifications!$A:$G,7,FALSE)</f>
        <v>36</v>
      </c>
      <c r="I981" t="s">
        <v>24</v>
      </c>
      <c r="J981" s="2">
        <v>44214.536979166667</v>
      </c>
    </row>
    <row r="982" spans="1:10" ht="12.75" customHeight="1" x14ac:dyDescent="0.3">
      <c r="A982">
        <v>1349076</v>
      </c>
      <c r="B982" t="s">
        <v>53</v>
      </c>
      <c r="C982" t="s">
        <v>54</v>
      </c>
      <c r="D982" t="s">
        <v>2282</v>
      </c>
      <c r="E982" s="1" t="s">
        <v>2283</v>
      </c>
      <c r="F982">
        <f>VLOOKUP(A982,Classifications!$A:$E,5,FALSE)</f>
        <v>1</v>
      </c>
      <c r="G982">
        <f>VLOOKUP(A982,Classifications!$A:$F,6,FALSE)</f>
        <v>1</v>
      </c>
      <c r="H982">
        <f>VLOOKUP(A982,Classifications!$A:$G,7,FALSE)</f>
        <v>43</v>
      </c>
      <c r="I982" t="s">
        <v>11</v>
      </c>
      <c r="J982" s="2">
        <v>44214.513090277775</v>
      </c>
    </row>
    <row r="983" spans="1:10" ht="12.75" customHeight="1" x14ac:dyDescent="0.3">
      <c r="A983">
        <v>1349057</v>
      </c>
      <c r="B983" t="s">
        <v>74</v>
      </c>
      <c r="C983" t="s">
        <v>75</v>
      </c>
      <c r="D983" t="s">
        <v>2284</v>
      </c>
      <c r="E983" s="1" t="s">
        <v>2285</v>
      </c>
      <c r="F983">
        <f>VLOOKUP(A983,Classifications!$A:$E,5,FALSE)</f>
        <v>1</v>
      </c>
      <c r="G983">
        <f>VLOOKUP(A983,Classifications!$A:$F,6,FALSE)</f>
        <v>1</v>
      </c>
      <c r="H983">
        <f>VLOOKUP(A983,Classifications!$A:$G,7,FALSE)</f>
        <v>36</v>
      </c>
      <c r="I983" t="s">
        <v>11</v>
      </c>
      <c r="J983" s="2">
        <v>44214.475219907406</v>
      </c>
    </row>
    <row r="984" spans="1:10" ht="12.75" customHeight="1" x14ac:dyDescent="0.3">
      <c r="A984">
        <v>1349056</v>
      </c>
      <c r="B984" t="s">
        <v>290</v>
      </c>
      <c r="C984" t="s">
        <v>2286</v>
      </c>
      <c r="D984" t="s">
        <v>2287</v>
      </c>
      <c r="E984" s="1" t="s">
        <v>2288</v>
      </c>
      <c r="F984">
        <f>VLOOKUP(A984,Classifications!$A:$E,5,FALSE)</f>
        <v>1</v>
      </c>
      <c r="G984">
        <f>VLOOKUP(A984,Classifications!$A:$F,6,FALSE)</f>
        <v>2</v>
      </c>
      <c r="H984">
        <f>VLOOKUP(A984,Classifications!$A:$G,7,FALSE)</f>
        <v>41</v>
      </c>
      <c r="I984" t="s">
        <v>24</v>
      </c>
      <c r="J984" s="2">
        <v>44214.474178240744</v>
      </c>
    </row>
    <row r="985" spans="1:10" ht="12.75" customHeight="1" x14ac:dyDescent="0.3">
      <c r="A985">
        <v>1349053</v>
      </c>
      <c r="B985" t="s">
        <v>214</v>
      </c>
      <c r="C985" t="s">
        <v>215</v>
      </c>
      <c r="D985" t="s">
        <v>2289</v>
      </c>
      <c r="E985" s="1" t="s">
        <v>2290</v>
      </c>
      <c r="F985">
        <f>VLOOKUP(A985,Classifications!$A:$E,5,FALSE)</f>
        <v>1</v>
      </c>
      <c r="G985">
        <f>VLOOKUP(A985,Classifications!$A:$F,6,FALSE)</f>
        <v>1</v>
      </c>
      <c r="H985">
        <f>VLOOKUP(A985,Classifications!$A:$G,7,FALSE)</f>
        <v>43</v>
      </c>
      <c r="I985" t="s">
        <v>24</v>
      </c>
      <c r="J985" s="2">
        <v>44214.463912037034</v>
      </c>
    </row>
    <row r="986" spans="1:10" ht="12.75" customHeight="1" x14ac:dyDescent="0.3">
      <c r="A986">
        <v>1349045</v>
      </c>
      <c r="B986" t="s">
        <v>177</v>
      </c>
      <c r="C986" t="s">
        <v>247</v>
      </c>
      <c r="D986" t="s">
        <v>2291</v>
      </c>
      <c r="E986" s="1" t="s">
        <v>2292</v>
      </c>
      <c r="F986">
        <f>VLOOKUP(A986,Classifications!$A:$E,5,FALSE)</f>
        <v>1</v>
      </c>
      <c r="G986">
        <f>VLOOKUP(A986,Classifications!$A:$F,6,FALSE)</f>
        <v>1</v>
      </c>
      <c r="H986">
        <f>VLOOKUP(A986,Classifications!$A:$G,7,FALSE)</f>
        <v>43</v>
      </c>
      <c r="I986" t="s">
        <v>24</v>
      </c>
      <c r="J986" s="2">
        <v>44214.453634259262</v>
      </c>
    </row>
    <row r="987" spans="1:10" ht="12.75" customHeight="1" x14ac:dyDescent="0.3">
      <c r="A987">
        <v>1349041</v>
      </c>
      <c r="B987" t="s">
        <v>214</v>
      </c>
      <c r="C987" t="s">
        <v>215</v>
      </c>
      <c r="D987" t="s">
        <v>2293</v>
      </c>
      <c r="E987" s="1" t="s">
        <v>2294</v>
      </c>
      <c r="F987">
        <f>VLOOKUP(A987,Classifications!$A:$E,5,FALSE)</f>
        <v>1</v>
      </c>
      <c r="G987">
        <f>VLOOKUP(A987,Classifications!$A:$F,6,FALSE)</f>
        <v>1</v>
      </c>
      <c r="H987">
        <f>VLOOKUP(A987,Classifications!$A:$G,7,FALSE)</f>
        <v>36</v>
      </c>
      <c r="I987" t="s">
        <v>24</v>
      </c>
      <c r="J987" s="2">
        <v>44214.448703703703</v>
      </c>
    </row>
    <row r="988" spans="1:10" ht="12.75" customHeight="1" x14ac:dyDescent="0.3">
      <c r="A988">
        <v>1349032</v>
      </c>
      <c r="B988" t="s">
        <v>746</v>
      </c>
      <c r="C988" t="s">
        <v>2295</v>
      </c>
      <c r="D988" t="s">
        <v>2296</v>
      </c>
      <c r="E988" s="1" t="s">
        <v>2297</v>
      </c>
      <c r="F988">
        <f>VLOOKUP(A988,Classifications!$A:$E,5,FALSE)</f>
        <v>1</v>
      </c>
      <c r="G988">
        <f>VLOOKUP(A988,Classifications!$A:$F,6,FALSE)</f>
        <v>3</v>
      </c>
      <c r="H988">
        <f>VLOOKUP(A988,Classifications!$A:$G,7,FALSE)</f>
        <v>41</v>
      </c>
      <c r="I988" t="s">
        <v>24</v>
      </c>
      <c r="J988" s="2">
        <v>44214.435925925929</v>
      </c>
    </row>
    <row r="989" spans="1:10" ht="12.75" customHeight="1" x14ac:dyDescent="0.3">
      <c r="A989">
        <v>1349022</v>
      </c>
      <c r="B989" t="s">
        <v>49</v>
      </c>
      <c r="C989" t="s">
        <v>315</v>
      </c>
      <c r="D989" t="s">
        <v>2298</v>
      </c>
      <c r="E989" s="1" t="s">
        <v>2042</v>
      </c>
      <c r="F989">
        <f>VLOOKUP(A989,Classifications!$A:$E,5,FALSE)</f>
        <v>1</v>
      </c>
      <c r="G989">
        <f>VLOOKUP(A989,Classifications!$A:$F,6,FALSE)</f>
        <v>2</v>
      </c>
      <c r="H989">
        <f>VLOOKUP(A989,Classifications!$A:$G,7,FALSE)</f>
        <v>41</v>
      </c>
      <c r="I989" t="s">
        <v>24</v>
      </c>
      <c r="J989" s="2">
        <v>44214.426481481481</v>
      </c>
    </row>
    <row r="990" spans="1:10" ht="12.75" customHeight="1" x14ac:dyDescent="0.3">
      <c r="A990">
        <v>1349018</v>
      </c>
      <c r="B990" t="s">
        <v>20</v>
      </c>
      <c r="C990" t="s">
        <v>136</v>
      </c>
      <c r="D990" t="s">
        <v>2299</v>
      </c>
      <c r="E990" s="1" t="s">
        <v>2300</v>
      </c>
      <c r="F990">
        <f>VLOOKUP(A990,Classifications!$A:$E,5,FALSE)</f>
        <v>1</v>
      </c>
      <c r="G990">
        <f>VLOOKUP(A990,Classifications!$A:$F,6,FALSE)</f>
        <v>2</v>
      </c>
      <c r="H990">
        <f>VLOOKUP(A990,Classifications!$A:$G,7,FALSE)</f>
        <v>43</v>
      </c>
      <c r="I990" t="s">
        <v>11</v>
      </c>
      <c r="J990" s="2">
        <v>44214.421736111108</v>
      </c>
    </row>
    <row r="991" spans="1:10" ht="12.75" customHeight="1" x14ac:dyDescent="0.3">
      <c r="A991">
        <v>1349017</v>
      </c>
      <c r="B991" t="s">
        <v>16</v>
      </c>
      <c r="C991" t="s">
        <v>360</v>
      </c>
      <c r="D991" t="s">
        <v>2301</v>
      </c>
      <c r="E991" s="1" t="s">
        <v>2302</v>
      </c>
      <c r="F991">
        <f>VLOOKUP(A991,Classifications!$A:$E,5,FALSE)</f>
        <v>2</v>
      </c>
      <c r="G991">
        <f>VLOOKUP(A991,Classifications!$A:$F,6,FALSE)</f>
        <v>2</v>
      </c>
      <c r="H991">
        <f>VLOOKUP(A991,Classifications!$A:$G,7,FALSE)</f>
        <v>43</v>
      </c>
      <c r="I991" t="s">
        <v>11</v>
      </c>
      <c r="J991" s="2">
        <v>44214.420428240737</v>
      </c>
    </row>
    <row r="992" spans="1:10" ht="12.75" customHeight="1" x14ac:dyDescent="0.3">
      <c r="A992">
        <v>1348978</v>
      </c>
      <c r="B992" t="s">
        <v>20</v>
      </c>
      <c r="C992" t="s">
        <v>78</v>
      </c>
      <c r="D992" t="s">
        <v>2303</v>
      </c>
      <c r="E992" s="1" t="s">
        <v>2304</v>
      </c>
      <c r="F992">
        <f>VLOOKUP(A992,Classifications!$A:$E,5,FALSE)</f>
        <v>1</v>
      </c>
      <c r="G992">
        <f>VLOOKUP(A992,Classifications!$A:$F,6,FALSE)</f>
        <v>3</v>
      </c>
      <c r="H992">
        <f>VLOOKUP(A992,Classifications!$A:$G,7,FALSE)</f>
        <v>41</v>
      </c>
      <c r="I992" t="s">
        <v>24</v>
      </c>
      <c r="J992" s="2">
        <v>44214.403692129628</v>
      </c>
    </row>
    <row r="993" spans="1:10" ht="12.75" customHeight="1" x14ac:dyDescent="0.3">
      <c r="A993">
        <v>1348968</v>
      </c>
      <c r="B993" t="s">
        <v>20</v>
      </c>
      <c r="C993" t="s">
        <v>2305</v>
      </c>
      <c r="D993" t="s">
        <v>2306</v>
      </c>
      <c r="E993" s="1" t="s">
        <v>2307</v>
      </c>
      <c r="F993">
        <f>VLOOKUP(A993,Classifications!$A:$E,5,FALSE)</f>
        <v>1</v>
      </c>
      <c r="G993">
        <f>VLOOKUP(A993,Classifications!$A:$F,6,FALSE)</f>
        <v>2</v>
      </c>
      <c r="H993">
        <f>VLOOKUP(A993,Classifications!$A:$G,7,FALSE)</f>
        <v>41</v>
      </c>
      <c r="I993" t="s">
        <v>11</v>
      </c>
      <c r="J993" s="2">
        <v>44214.393263888887</v>
      </c>
    </row>
    <row r="994" spans="1:10" ht="12.75" customHeight="1" x14ac:dyDescent="0.3">
      <c r="A994">
        <v>1348967</v>
      </c>
      <c r="B994" t="s">
        <v>214</v>
      </c>
      <c r="C994" t="s">
        <v>2308</v>
      </c>
      <c r="D994" t="s">
        <v>2309</v>
      </c>
      <c r="E994" s="1" t="s">
        <v>2310</v>
      </c>
      <c r="F994">
        <f>VLOOKUP(A994,Classifications!$A:$E,5,FALSE)</f>
        <v>1</v>
      </c>
      <c r="G994">
        <f>VLOOKUP(A994,Classifications!$A:$F,6,FALSE)</f>
        <v>3</v>
      </c>
      <c r="H994">
        <f>VLOOKUP(A994,Classifications!$A:$G,7,FALSE)</f>
        <v>41</v>
      </c>
      <c r="I994" t="s">
        <v>11</v>
      </c>
      <c r="J994" s="2">
        <v>44214.391712962963</v>
      </c>
    </row>
    <row r="995" spans="1:10" ht="12.75" customHeight="1" x14ac:dyDescent="0.3">
      <c r="A995">
        <v>1348966</v>
      </c>
      <c r="B995" t="s">
        <v>45</v>
      </c>
      <c r="C995" t="s">
        <v>2311</v>
      </c>
      <c r="D995" t="s">
        <v>2312</v>
      </c>
      <c r="E995" s="1" t="s">
        <v>2313</v>
      </c>
      <c r="F995">
        <f>VLOOKUP(A995,Classifications!$A:$E,5,FALSE)</f>
        <v>1</v>
      </c>
      <c r="G995">
        <f>VLOOKUP(A995,Classifications!$A:$F,6,FALSE)</f>
        <v>2</v>
      </c>
      <c r="H995">
        <f>VLOOKUP(A995,Classifications!$A:$G,7,FALSE)</f>
        <v>41</v>
      </c>
      <c r="I995" t="s">
        <v>11</v>
      </c>
      <c r="J995" s="2">
        <v>44214.390046296299</v>
      </c>
    </row>
    <row r="996" spans="1:10" ht="12.75" customHeight="1" x14ac:dyDescent="0.3">
      <c r="A996">
        <v>1348964</v>
      </c>
      <c r="B996" t="s">
        <v>7</v>
      </c>
      <c r="C996" t="s">
        <v>789</v>
      </c>
      <c r="D996" t="s">
        <v>2314</v>
      </c>
      <c r="E996" s="1" t="s">
        <v>2315</v>
      </c>
      <c r="F996">
        <f>VLOOKUP(A996,Classifications!$A:$E,5,FALSE)</f>
        <v>1</v>
      </c>
      <c r="G996">
        <f>VLOOKUP(A996,Classifications!$A:$F,6,FALSE)</f>
        <v>1</v>
      </c>
      <c r="H996">
        <f>VLOOKUP(A996,Classifications!$A:$G,7,FALSE)</f>
        <v>41</v>
      </c>
      <c r="I996" t="s">
        <v>24</v>
      </c>
      <c r="J996" s="2">
        <v>44214.379814814813</v>
      </c>
    </row>
    <row r="997" spans="1:10" ht="12.75" customHeight="1" x14ac:dyDescent="0.3">
      <c r="A997">
        <v>1348962</v>
      </c>
      <c r="B997" t="s">
        <v>20</v>
      </c>
      <c r="C997" t="s">
        <v>1596</v>
      </c>
      <c r="D997" t="s">
        <v>2316</v>
      </c>
      <c r="E997" s="1" t="s">
        <v>2317</v>
      </c>
      <c r="F997">
        <f>VLOOKUP(A997,Classifications!$A:$E,5,FALSE)</f>
        <v>2</v>
      </c>
      <c r="G997">
        <f>VLOOKUP(A997,Classifications!$A:$F,6,FALSE)</f>
        <v>3</v>
      </c>
      <c r="H997">
        <f>VLOOKUP(A997,Classifications!$A:$G,7,FALSE)</f>
        <v>41</v>
      </c>
      <c r="I997" t="s">
        <v>24</v>
      </c>
      <c r="J997" s="2">
        <v>44214.378865740742</v>
      </c>
    </row>
    <row r="998" spans="1:10" ht="12.75" customHeight="1" x14ac:dyDescent="0.3">
      <c r="A998">
        <v>1348959</v>
      </c>
      <c r="B998" t="s">
        <v>53</v>
      </c>
      <c r="C998" t="s">
        <v>2318</v>
      </c>
      <c r="D998" t="s">
        <v>2319</v>
      </c>
      <c r="E998" s="1" t="s">
        <v>2320</v>
      </c>
      <c r="F998">
        <f>VLOOKUP(A998,Classifications!$A:$E,5,FALSE)</f>
        <v>1</v>
      </c>
      <c r="G998">
        <f>VLOOKUP(A998,Classifications!$A:$F,6,FALSE)</f>
        <v>2</v>
      </c>
      <c r="H998">
        <f>VLOOKUP(A998,Classifications!$A:$G,7,FALSE)</f>
        <v>41</v>
      </c>
      <c r="I998" t="s">
        <v>11</v>
      </c>
      <c r="J998" s="2">
        <v>44214.37599537037</v>
      </c>
    </row>
    <row r="999" spans="1:10" ht="12.75" customHeight="1" x14ac:dyDescent="0.3">
      <c r="A999">
        <v>1348958</v>
      </c>
      <c r="B999" t="s">
        <v>746</v>
      </c>
      <c r="C999" t="s">
        <v>2321</v>
      </c>
      <c r="D999" t="s">
        <v>2322</v>
      </c>
      <c r="E999" s="1" t="s">
        <v>2323</v>
      </c>
      <c r="F999">
        <f>VLOOKUP(A999,Classifications!$A:$E,5,FALSE)</f>
        <v>1</v>
      </c>
      <c r="G999">
        <f>VLOOKUP(A999,Classifications!$A:$F,6,FALSE)</f>
        <v>3</v>
      </c>
      <c r="H999">
        <f>VLOOKUP(A999,Classifications!$A:$G,7,FALSE)</f>
        <v>41</v>
      </c>
      <c r="I999" t="s">
        <v>24</v>
      </c>
      <c r="J999" s="2">
        <v>44214.37572916667</v>
      </c>
    </row>
    <row r="1000" spans="1:10" ht="12.75" customHeight="1" x14ac:dyDescent="0.3">
      <c r="A1000">
        <v>1348953</v>
      </c>
      <c r="B1000" t="s">
        <v>401</v>
      </c>
      <c r="C1000" t="s">
        <v>2324</v>
      </c>
      <c r="D1000" t="s">
        <v>2325</v>
      </c>
      <c r="E1000" s="1" t="s">
        <v>2326</v>
      </c>
      <c r="F1000">
        <f>VLOOKUP(A1000,Classifications!$A:$E,5,FALSE)</f>
        <v>2</v>
      </c>
      <c r="G1000">
        <f>VLOOKUP(A1000,Classifications!$A:$F,6,FALSE)</f>
        <v>2</v>
      </c>
      <c r="H1000">
        <f>VLOOKUP(A1000,Classifications!$A:$G,7,FALSE)</f>
        <v>41</v>
      </c>
      <c r="I1000" t="s">
        <v>11</v>
      </c>
      <c r="J1000" s="2">
        <v>44214.353865740741</v>
      </c>
    </row>
    <row r="1001" spans="1:10" ht="12.75" customHeight="1" x14ac:dyDescent="0.3">
      <c r="A1001">
        <v>1348949</v>
      </c>
      <c r="B1001" t="s">
        <v>70</v>
      </c>
      <c r="C1001" t="s">
        <v>2327</v>
      </c>
      <c r="D1001" t="s">
        <v>2328</v>
      </c>
      <c r="E1001" s="1" t="s">
        <v>2329</v>
      </c>
      <c r="F1001">
        <f>VLOOKUP(A1001,Classifications!$A:$E,5,FALSE)</f>
        <v>1</v>
      </c>
      <c r="G1001">
        <f>VLOOKUP(A1001,Classifications!$A:$F,6,FALSE)</f>
        <v>2</v>
      </c>
      <c r="H1001">
        <f>VLOOKUP(A1001,Classifications!$A:$G,7,FALSE)</f>
        <v>41</v>
      </c>
      <c r="I1001" t="s">
        <v>24</v>
      </c>
      <c r="J1001" s="2">
        <v>44214.347662037035</v>
      </c>
    </row>
    <row r="1002" spans="1:10" ht="12.75" customHeight="1" x14ac:dyDescent="0.3">
      <c r="A1002">
        <v>1348942</v>
      </c>
      <c r="B1002" t="s">
        <v>350</v>
      </c>
      <c r="C1002" t="s">
        <v>351</v>
      </c>
      <c r="D1002" t="s">
        <v>2330</v>
      </c>
      <c r="E1002" s="1" t="s">
        <v>2331</v>
      </c>
      <c r="F1002">
        <f>VLOOKUP(A1002,Classifications!$A:$E,5,FALSE)</f>
        <v>1</v>
      </c>
      <c r="G1002">
        <f>VLOOKUP(A1002,Classifications!$A:$F,6,FALSE)</f>
        <v>1</v>
      </c>
      <c r="H1002">
        <f>VLOOKUP(A1002,Classifications!$A:$G,7,FALSE)</f>
        <v>36</v>
      </c>
      <c r="I1002" t="s">
        <v>24</v>
      </c>
      <c r="J1002" s="2">
        <v>44214.343391203707</v>
      </c>
    </row>
    <row r="1003" spans="1:10" ht="12.75" customHeight="1" x14ac:dyDescent="0.3">
      <c r="A1003">
        <v>1348916</v>
      </c>
      <c r="B1003" t="s">
        <v>1413</v>
      </c>
      <c r="C1003" t="s">
        <v>1414</v>
      </c>
      <c r="D1003" t="s">
        <v>2332</v>
      </c>
      <c r="E1003" s="1" t="s">
        <v>2333</v>
      </c>
      <c r="F1003">
        <f>VLOOKUP(A1003,Classifications!$A:$E,5,FALSE)</f>
        <v>1</v>
      </c>
      <c r="G1003">
        <f>VLOOKUP(A1003,Classifications!$A:$F,6,FALSE)</f>
        <v>1</v>
      </c>
      <c r="H1003">
        <f>VLOOKUP(A1003,Classifications!$A:$G,7,FALSE)</f>
        <v>43</v>
      </c>
      <c r="I1003" t="s">
        <v>11</v>
      </c>
      <c r="J1003" s="2">
        <v>44214.320219907408</v>
      </c>
    </row>
    <row r="1004" spans="1:10" ht="12.75" customHeight="1" x14ac:dyDescent="0.3">
      <c r="A1004">
        <v>1348812</v>
      </c>
      <c r="B1004" t="s">
        <v>95</v>
      </c>
      <c r="C1004" t="s">
        <v>601</v>
      </c>
      <c r="D1004" t="s">
        <v>602</v>
      </c>
      <c r="E1004" t="s">
        <v>603</v>
      </c>
      <c r="F1004">
        <f>VLOOKUP(A1004,Classifications!$A:$E,5,FALSE)</f>
        <v>2</v>
      </c>
      <c r="G1004">
        <f>VLOOKUP(A1004,Classifications!$A:$F,6,FALSE)</f>
        <v>2</v>
      </c>
      <c r="H1004">
        <f>VLOOKUP(A1004,Classifications!$A:$G,7,FALSE)</f>
        <v>43</v>
      </c>
      <c r="I1004" t="s">
        <v>188</v>
      </c>
      <c r="J1004" s="2">
        <v>44214.042175925926</v>
      </c>
    </row>
    <row r="1005" spans="1:10" ht="12.75" customHeight="1" x14ac:dyDescent="0.3">
      <c r="A1005">
        <v>1348751</v>
      </c>
      <c r="B1005" t="s">
        <v>2334</v>
      </c>
      <c r="C1005" t="s">
        <v>2335</v>
      </c>
      <c r="D1005" t="s">
        <v>2336</v>
      </c>
      <c r="E1005" t="s">
        <v>1324</v>
      </c>
      <c r="F1005">
        <f>VLOOKUP(A1005,Classifications!$A:$E,5,FALSE)</f>
        <v>1</v>
      </c>
      <c r="G1005">
        <f>VLOOKUP(A1005,Classifications!$A:$F,6,FALSE)</f>
        <v>1</v>
      </c>
      <c r="H1005">
        <f>VLOOKUP(A1005,Classifications!$A:$G,7,FALSE)</f>
        <v>36</v>
      </c>
      <c r="I1005" t="s">
        <v>1158</v>
      </c>
      <c r="J1005" s="2">
        <v>44214.0000462963</v>
      </c>
    </row>
    <row r="1006" spans="1:10" ht="12.75" customHeight="1" x14ac:dyDescent="0.3">
      <c r="A1006">
        <v>1348705</v>
      </c>
      <c r="B1006" t="s">
        <v>1105</v>
      </c>
      <c r="C1006" t="s">
        <v>1106</v>
      </c>
      <c r="D1006" t="s">
        <v>2337</v>
      </c>
      <c r="E1006" s="1" t="s">
        <v>2338</v>
      </c>
      <c r="F1006">
        <f>VLOOKUP(A1006,Classifications!$A:$E,5,FALSE)</f>
        <v>1</v>
      </c>
      <c r="G1006">
        <f>VLOOKUP(A1006,Classifications!$A:$F,6,FALSE)</f>
        <v>2</v>
      </c>
      <c r="H1006">
        <f>VLOOKUP(A1006,Classifications!$A:$G,7,FALSE)</f>
        <v>41</v>
      </c>
      <c r="I1006" t="s">
        <v>24</v>
      </c>
      <c r="J1006" s="2">
        <v>44213.936249999999</v>
      </c>
    </row>
    <row r="1007" spans="1:10" ht="12.75" customHeight="1" x14ac:dyDescent="0.3">
      <c r="A1007">
        <v>1348664</v>
      </c>
      <c r="B1007" t="s">
        <v>2339</v>
      </c>
      <c r="C1007" t="s">
        <v>2340</v>
      </c>
      <c r="D1007" t="s">
        <v>2341</v>
      </c>
      <c r="E1007" s="1" t="s">
        <v>2342</v>
      </c>
      <c r="F1007">
        <f>VLOOKUP(A1007,Classifications!$A:$E,5,FALSE)</f>
        <v>1</v>
      </c>
      <c r="G1007">
        <f>VLOOKUP(A1007,Classifications!$A:$F,6,FALSE)</f>
        <v>1</v>
      </c>
      <c r="H1007">
        <f>VLOOKUP(A1007,Classifications!$A:$G,7,FALSE)</f>
        <v>43</v>
      </c>
      <c r="I1007" t="s">
        <v>11</v>
      </c>
      <c r="J1007" s="2">
        <v>44213.894409722219</v>
      </c>
    </row>
    <row r="1008" spans="1:10" ht="12.75" customHeight="1" x14ac:dyDescent="0.3">
      <c r="A1008">
        <v>1348549</v>
      </c>
      <c r="B1008" t="s">
        <v>16</v>
      </c>
      <c r="C1008" t="s">
        <v>2343</v>
      </c>
      <c r="D1008" t="s">
        <v>2344</v>
      </c>
      <c r="E1008" s="1" t="s">
        <v>2345</v>
      </c>
      <c r="F1008">
        <f>VLOOKUP(A1008,Classifications!$A:$E,5,FALSE)</f>
        <v>1</v>
      </c>
      <c r="G1008">
        <f>VLOOKUP(A1008,Classifications!$A:$F,6,FALSE)</f>
        <v>2</v>
      </c>
      <c r="H1008">
        <f>VLOOKUP(A1008,Classifications!$A:$G,7,FALSE)</f>
        <v>43</v>
      </c>
      <c r="I1008" t="s">
        <v>11</v>
      </c>
      <c r="J1008" s="2">
        <v>44213.710173611114</v>
      </c>
    </row>
    <row r="1009" spans="1:10" ht="12.75" customHeight="1" x14ac:dyDescent="0.3">
      <c r="A1009">
        <v>1348494</v>
      </c>
      <c r="B1009" t="s">
        <v>12</v>
      </c>
      <c r="C1009" t="s">
        <v>2346</v>
      </c>
      <c r="D1009" t="s">
        <v>2347</v>
      </c>
      <c r="E1009" s="1" t="s">
        <v>2348</v>
      </c>
      <c r="F1009">
        <f>VLOOKUP(A1009,Classifications!$A:$E,5,FALSE)</f>
        <v>1</v>
      </c>
      <c r="G1009">
        <f>VLOOKUP(A1009,Classifications!$A:$F,6,FALSE)</f>
        <v>3</v>
      </c>
      <c r="H1009">
        <f>VLOOKUP(A1009,Classifications!$A:$G,7,FALSE)</f>
        <v>41</v>
      </c>
      <c r="I1009" t="s">
        <v>24</v>
      </c>
      <c r="J1009" s="2">
        <v>44213.577569444446</v>
      </c>
    </row>
    <row r="1010" spans="1:10" ht="12.75" customHeight="1" x14ac:dyDescent="0.3">
      <c r="A1010">
        <v>1348312</v>
      </c>
      <c r="B1010" t="s">
        <v>95</v>
      </c>
      <c r="C1010" t="s">
        <v>668</v>
      </c>
      <c r="D1010" t="s">
        <v>1325</v>
      </c>
      <c r="E1010" s="1" t="s">
        <v>1326</v>
      </c>
      <c r="F1010">
        <f>VLOOKUP(A1010,Classifications!$A:$E,5,FALSE)</f>
        <v>1</v>
      </c>
      <c r="G1010">
        <f>VLOOKUP(A1010,Classifications!$A:$F,6,FALSE)</f>
        <v>1</v>
      </c>
      <c r="H1010">
        <f>VLOOKUP(A1010,Classifications!$A:$G,7,FALSE)</f>
        <v>36</v>
      </c>
      <c r="I1010" t="s">
        <v>1158</v>
      </c>
      <c r="J1010" s="2">
        <v>44213.000162037039</v>
      </c>
    </row>
    <row r="1011" spans="1:10" ht="12.75" customHeight="1" x14ac:dyDescent="0.3">
      <c r="A1011">
        <v>1348311</v>
      </c>
      <c r="B1011" t="s">
        <v>95</v>
      </c>
      <c r="C1011" t="s">
        <v>668</v>
      </c>
      <c r="D1011" t="s">
        <v>1325</v>
      </c>
      <c r="E1011" s="1" t="s">
        <v>1326</v>
      </c>
      <c r="F1011">
        <f>VLOOKUP(A1011,Classifications!$A:$E,5,FALSE)</f>
        <v>1</v>
      </c>
      <c r="G1011">
        <f>VLOOKUP(A1011,Classifications!$A:$F,6,FALSE)</f>
        <v>1</v>
      </c>
      <c r="H1011">
        <f>VLOOKUP(A1011,Classifications!$A:$G,7,FALSE)</f>
        <v>36</v>
      </c>
      <c r="I1011" t="s">
        <v>1158</v>
      </c>
      <c r="J1011" s="2">
        <v>44213.000150462962</v>
      </c>
    </row>
    <row r="1012" spans="1:10" ht="12.75" customHeight="1" x14ac:dyDescent="0.3">
      <c r="A1012">
        <v>1348310</v>
      </c>
      <c r="B1012" t="s">
        <v>95</v>
      </c>
      <c r="C1012" t="s">
        <v>668</v>
      </c>
      <c r="D1012" t="s">
        <v>2349</v>
      </c>
      <c r="E1012" s="1" t="s">
        <v>1326</v>
      </c>
      <c r="F1012">
        <f>VLOOKUP(A1012,Classifications!$A:$E,5,FALSE)</f>
        <v>1</v>
      </c>
      <c r="G1012">
        <f>VLOOKUP(A1012,Classifications!$A:$F,6,FALSE)</f>
        <v>1</v>
      </c>
      <c r="H1012">
        <f>VLOOKUP(A1012,Classifications!$A:$G,7,FALSE)</f>
        <v>36</v>
      </c>
      <c r="I1012" t="s">
        <v>1158</v>
      </c>
      <c r="J1012" s="2">
        <v>44213.000138888892</v>
      </c>
    </row>
    <row r="1013" spans="1:10" ht="12.75" customHeight="1" x14ac:dyDescent="0.3">
      <c r="A1013">
        <v>1348309</v>
      </c>
      <c r="B1013" t="s">
        <v>281</v>
      </c>
      <c r="C1013" t="s">
        <v>282</v>
      </c>
      <c r="D1013" t="s">
        <v>1156</v>
      </c>
      <c r="E1013" s="1" t="s">
        <v>1157</v>
      </c>
      <c r="F1013">
        <f>VLOOKUP(A1013,Classifications!$A:$E,5,FALSE)</f>
        <v>1</v>
      </c>
      <c r="G1013">
        <f>VLOOKUP(A1013,Classifications!$A:$F,6,FALSE)</f>
        <v>1</v>
      </c>
      <c r="H1013">
        <f>VLOOKUP(A1013,Classifications!$A:$G,7,FALSE)</f>
        <v>36</v>
      </c>
      <c r="I1013" t="s">
        <v>1158</v>
      </c>
      <c r="J1013" s="2">
        <v>44213.000138888892</v>
      </c>
    </row>
    <row r="1014" spans="1:10" ht="12.75" customHeight="1" x14ac:dyDescent="0.3">
      <c r="A1014">
        <v>1348308</v>
      </c>
      <c r="B1014" t="s">
        <v>1413</v>
      </c>
      <c r="C1014" t="s">
        <v>2219</v>
      </c>
      <c r="D1014" t="s">
        <v>1156</v>
      </c>
      <c r="E1014" s="1" t="s">
        <v>1157</v>
      </c>
      <c r="F1014">
        <f>VLOOKUP(A1014,Classifications!$A:$E,5,FALSE)</f>
        <v>1</v>
      </c>
      <c r="G1014">
        <f>VLOOKUP(A1014,Classifications!$A:$F,6,FALSE)</f>
        <v>1</v>
      </c>
      <c r="H1014">
        <f>VLOOKUP(A1014,Classifications!$A:$G,7,FALSE)</f>
        <v>36</v>
      </c>
      <c r="I1014" t="s">
        <v>1158</v>
      </c>
      <c r="J1014" s="2">
        <v>44213.000127314815</v>
      </c>
    </row>
    <row r="1015" spans="1:10" ht="12.75" customHeight="1" x14ac:dyDescent="0.3">
      <c r="A1015">
        <v>1348109</v>
      </c>
      <c r="B1015" t="s">
        <v>16</v>
      </c>
      <c r="C1015" t="s">
        <v>455</v>
      </c>
      <c r="D1015" t="s">
        <v>2350</v>
      </c>
      <c r="E1015" s="1" t="s">
        <v>2351</v>
      </c>
      <c r="F1015">
        <f>VLOOKUP(A1015,Classifications!$A:$E,5,FALSE)</f>
        <v>1</v>
      </c>
      <c r="G1015">
        <f>VLOOKUP(A1015,Classifications!$A:$F,6,FALSE)</f>
        <v>2</v>
      </c>
      <c r="H1015">
        <f>VLOOKUP(A1015,Classifications!$A:$G,7,FALSE)</f>
        <v>43</v>
      </c>
      <c r="I1015" t="s">
        <v>24</v>
      </c>
      <c r="J1015" s="2">
        <v>44212.550613425927</v>
      </c>
    </row>
    <row r="1016" spans="1:10" ht="12.75" customHeight="1" x14ac:dyDescent="0.3">
      <c r="A1016">
        <v>1348099</v>
      </c>
      <c r="B1016" t="s">
        <v>53</v>
      </c>
      <c r="C1016" t="s">
        <v>2352</v>
      </c>
      <c r="D1016" t="s">
        <v>2353</v>
      </c>
      <c r="E1016" s="1" t="s">
        <v>2354</v>
      </c>
      <c r="F1016">
        <f>VLOOKUP(A1016,Classifications!$A:$E,5,FALSE)</f>
        <v>1</v>
      </c>
      <c r="G1016">
        <f>VLOOKUP(A1016,Classifications!$A:$F,6,FALSE)</f>
        <v>2</v>
      </c>
      <c r="H1016">
        <f>VLOOKUP(A1016,Classifications!$A:$G,7,FALSE)</f>
        <v>41</v>
      </c>
      <c r="I1016" t="s">
        <v>11</v>
      </c>
      <c r="J1016" s="2">
        <v>44212.438645833332</v>
      </c>
    </row>
    <row r="1017" spans="1:10" ht="12.75" customHeight="1" x14ac:dyDescent="0.3">
      <c r="A1017">
        <v>1347942</v>
      </c>
      <c r="B1017" t="s">
        <v>2355</v>
      </c>
      <c r="C1017" t="s">
        <v>2356</v>
      </c>
      <c r="D1017" t="s">
        <v>2357</v>
      </c>
      <c r="E1017" s="1" t="s">
        <v>1326</v>
      </c>
      <c r="F1017">
        <f>VLOOKUP(A1017,Classifications!$A:$E,5,FALSE)</f>
        <v>1</v>
      </c>
      <c r="G1017">
        <f>VLOOKUP(A1017,Classifications!$A:$F,6,FALSE)</f>
        <v>1</v>
      </c>
      <c r="H1017">
        <f>VLOOKUP(A1017,Classifications!$A:$G,7,FALSE)</f>
        <v>36</v>
      </c>
      <c r="I1017" t="s">
        <v>1158</v>
      </c>
      <c r="J1017" s="2">
        <v>44212.000127314815</v>
      </c>
    </row>
    <row r="1018" spans="1:10" ht="12.75" customHeight="1" x14ac:dyDescent="0.3">
      <c r="A1018">
        <v>1347941</v>
      </c>
      <c r="B1018" t="s">
        <v>70</v>
      </c>
      <c r="C1018" t="s">
        <v>369</v>
      </c>
      <c r="D1018" t="s">
        <v>1325</v>
      </c>
      <c r="E1018" s="1" t="s">
        <v>1326</v>
      </c>
      <c r="F1018">
        <f>VLOOKUP(A1018,Classifications!$A:$E,5,FALSE)</f>
        <v>1</v>
      </c>
      <c r="G1018">
        <f>VLOOKUP(A1018,Classifications!$A:$F,6,FALSE)</f>
        <v>1</v>
      </c>
      <c r="H1018">
        <f>VLOOKUP(A1018,Classifications!$A:$G,7,FALSE)</f>
        <v>36</v>
      </c>
      <c r="I1018" t="s">
        <v>1158</v>
      </c>
      <c r="J1018" s="2">
        <v>44212.000127314815</v>
      </c>
    </row>
    <row r="1019" spans="1:10" ht="12.75" customHeight="1" x14ac:dyDescent="0.3">
      <c r="A1019">
        <v>1347940</v>
      </c>
      <c r="B1019" t="s">
        <v>2358</v>
      </c>
      <c r="C1019" t="s">
        <v>2359</v>
      </c>
      <c r="D1019" t="s">
        <v>1156</v>
      </c>
      <c r="E1019" s="1" t="s">
        <v>1157</v>
      </c>
      <c r="F1019">
        <f>VLOOKUP(A1019,Classifications!$A:$E,5,FALSE)</f>
        <v>1</v>
      </c>
      <c r="G1019">
        <f>VLOOKUP(A1019,Classifications!$A:$F,6,FALSE)</f>
        <v>1</v>
      </c>
      <c r="H1019">
        <f>VLOOKUP(A1019,Classifications!$A:$G,7,FALSE)</f>
        <v>36</v>
      </c>
      <c r="I1019" t="s">
        <v>1158</v>
      </c>
      <c r="J1019" s="2">
        <v>44212.000115740739</v>
      </c>
    </row>
    <row r="1020" spans="1:10" ht="12.75" customHeight="1" x14ac:dyDescent="0.3">
      <c r="A1020">
        <v>1347711</v>
      </c>
      <c r="B1020" t="s">
        <v>7</v>
      </c>
      <c r="C1020" t="s">
        <v>2360</v>
      </c>
      <c r="D1020" t="s">
        <v>2361</v>
      </c>
      <c r="E1020" s="1" t="s">
        <v>2362</v>
      </c>
      <c r="F1020">
        <f>VLOOKUP(A1020,Classifications!$A:$E,5,FALSE)</f>
        <v>1</v>
      </c>
      <c r="G1020">
        <f>VLOOKUP(A1020,Classifications!$A:$F,6,FALSE)</f>
        <v>2</v>
      </c>
      <c r="H1020">
        <f>VLOOKUP(A1020,Classifications!$A:$G,7,FALSE)</f>
        <v>41</v>
      </c>
      <c r="I1020" t="s">
        <v>24</v>
      </c>
      <c r="J1020" s="2">
        <v>44211.713703703703</v>
      </c>
    </row>
    <row r="1021" spans="1:10" ht="12.75" customHeight="1" x14ac:dyDescent="0.3">
      <c r="A1021">
        <v>1347701</v>
      </c>
      <c r="B1021" t="s">
        <v>20</v>
      </c>
      <c r="C1021" t="s">
        <v>2177</v>
      </c>
      <c r="D1021" t="s">
        <v>2363</v>
      </c>
      <c r="E1021" s="1" t="s">
        <v>2364</v>
      </c>
      <c r="F1021">
        <f>VLOOKUP(A1021,Classifications!$A:$E,5,FALSE)</f>
        <v>1</v>
      </c>
      <c r="G1021">
        <f>VLOOKUP(A1021,Classifications!$A:$F,6,FALSE)</f>
        <v>1</v>
      </c>
      <c r="H1021">
        <f>VLOOKUP(A1021,Classifications!$A:$G,7,FALSE)</f>
        <v>43</v>
      </c>
      <c r="I1021" t="s">
        <v>11</v>
      </c>
      <c r="J1021" s="2">
        <v>44211.702453703707</v>
      </c>
    </row>
    <row r="1022" spans="1:10" ht="12.75" customHeight="1" x14ac:dyDescent="0.3">
      <c r="A1022">
        <v>1347688</v>
      </c>
      <c r="B1022" t="s">
        <v>350</v>
      </c>
      <c r="C1022" t="s">
        <v>351</v>
      </c>
      <c r="D1022" t="s">
        <v>2365</v>
      </c>
      <c r="E1022" s="1" t="s">
        <v>2366</v>
      </c>
      <c r="F1022">
        <f>VLOOKUP(A1022,Classifications!$A:$E,5,FALSE)</f>
        <v>1</v>
      </c>
      <c r="G1022">
        <f>VLOOKUP(A1022,Classifications!$A:$F,6,FALSE)</f>
        <v>3</v>
      </c>
      <c r="H1022">
        <f>VLOOKUP(A1022,Classifications!$A:$G,7,FALSE)</f>
        <v>43</v>
      </c>
      <c r="I1022" t="s">
        <v>24</v>
      </c>
      <c r="J1022" s="2">
        <v>44211.632638888892</v>
      </c>
    </row>
    <row r="1023" spans="1:10" ht="12.75" customHeight="1" x14ac:dyDescent="0.3">
      <c r="A1023">
        <v>1347682</v>
      </c>
      <c r="B1023" t="s">
        <v>20</v>
      </c>
      <c r="C1023" t="s">
        <v>78</v>
      </c>
      <c r="D1023" t="s">
        <v>2367</v>
      </c>
      <c r="E1023" t="s">
        <v>2368</v>
      </c>
      <c r="F1023">
        <f>VLOOKUP(A1023,Classifications!$A:$E,5,FALSE)</f>
        <v>1</v>
      </c>
      <c r="G1023">
        <f>VLOOKUP(A1023,Classifications!$A:$F,6,FALSE)</f>
        <v>3</v>
      </c>
      <c r="H1023">
        <f>VLOOKUP(A1023,Classifications!$A:$G,7,FALSE)</f>
        <v>43</v>
      </c>
      <c r="I1023" t="s">
        <v>24</v>
      </c>
      <c r="J1023" s="2">
        <v>44211.611678240741</v>
      </c>
    </row>
    <row r="1024" spans="1:10" ht="12.75" customHeight="1" x14ac:dyDescent="0.3">
      <c r="A1024">
        <v>1347680</v>
      </c>
      <c r="B1024" t="s">
        <v>20</v>
      </c>
      <c r="C1024" t="s">
        <v>565</v>
      </c>
      <c r="D1024" t="s">
        <v>2369</v>
      </c>
      <c r="E1024" s="1" t="s">
        <v>2370</v>
      </c>
      <c r="F1024">
        <f>VLOOKUP(A1024,Classifications!$A:$E,5,FALSE)</f>
        <v>1</v>
      </c>
      <c r="G1024">
        <f>VLOOKUP(A1024,Classifications!$A:$F,6,FALSE)</f>
        <v>1</v>
      </c>
      <c r="H1024">
        <f>VLOOKUP(A1024,Classifications!$A:$G,7,FALSE)</f>
        <v>43</v>
      </c>
      <c r="I1024" t="s">
        <v>24</v>
      </c>
      <c r="J1024" s="2">
        <v>44211.603344907409</v>
      </c>
    </row>
    <row r="1025" spans="1:10" ht="12.75" customHeight="1" x14ac:dyDescent="0.3">
      <c r="A1025">
        <v>1347677</v>
      </c>
      <c r="B1025" t="s">
        <v>431</v>
      </c>
      <c r="C1025" t="s">
        <v>2371</v>
      </c>
      <c r="D1025" t="s">
        <v>2372</v>
      </c>
      <c r="E1025" s="1" t="s">
        <v>2373</v>
      </c>
      <c r="F1025">
        <f>VLOOKUP(A1025,Classifications!$A:$E,5,FALSE)</f>
        <v>1</v>
      </c>
      <c r="G1025">
        <f>VLOOKUP(A1025,Classifications!$A:$F,6,FALSE)</f>
        <v>1</v>
      </c>
      <c r="H1025">
        <f>VLOOKUP(A1025,Classifications!$A:$G,7,FALSE)</f>
        <v>43</v>
      </c>
      <c r="I1025" t="s">
        <v>24</v>
      </c>
      <c r="J1025" s="2">
        <v>44211.593819444446</v>
      </c>
    </row>
    <row r="1026" spans="1:10" ht="12.75" customHeight="1" x14ac:dyDescent="0.3">
      <c r="A1026">
        <v>1347673</v>
      </c>
      <c r="B1026" t="s">
        <v>49</v>
      </c>
      <c r="C1026" t="s">
        <v>2374</v>
      </c>
      <c r="D1026" t="s">
        <v>2375</v>
      </c>
      <c r="E1026" s="1" t="s">
        <v>2376</v>
      </c>
      <c r="F1026">
        <f>VLOOKUP(A1026,Classifications!$A:$E,5,FALSE)</f>
        <v>1</v>
      </c>
      <c r="G1026">
        <f>VLOOKUP(A1026,Classifications!$A:$F,6,FALSE)</f>
        <v>2</v>
      </c>
      <c r="H1026">
        <f>VLOOKUP(A1026,Classifications!$A:$G,7,FALSE)</f>
        <v>41</v>
      </c>
      <c r="I1026" t="s">
        <v>24</v>
      </c>
      <c r="J1026" s="2">
        <v>44211.587442129632</v>
      </c>
    </row>
    <row r="1027" spans="1:10" ht="12.75" customHeight="1" x14ac:dyDescent="0.3">
      <c r="A1027">
        <v>1347665</v>
      </c>
      <c r="B1027" t="s">
        <v>36</v>
      </c>
      <c r="C1027" t="s">
        <v>752</v>
      </c>
      <c r="D1027" t="s">
        <v>2377</v>
      </c>
      <c r="E1027" s="1" t="s">
        <v>2378</v>
      </c>
      <c r="F1027">
        <f>VLOOKUP(A1027,Classifications!$A:$E,5,FALSE)</f>
        <v>1</v>
      </c>
      <c r="G1027">
        <f>VLOOKUP(A1027,Classifications!$A:$F,6,FALSE)</f>
        <v>2</v>
      </c>
      <c r="H1027">
        <f>VLOOKUP(A1027,Classifications!$A:$G,7,FALSE)</f>
        <v>41</v>
      </c>
      <c r="I1027" t="s">
        <v>24</v>
      </c>
      <c r="J1027" s="2">
        <v>44211.571585648147</v>
      </c>
    </row>
    <row r="1028" spans="1:10" ht="12.75" customHeight="1" x14ac:dyDescent="0.3">
      <c r="A1028">
        <v>1347661</v>
      </c>
      <c r="B1028" t="s">
        <v>53</v>
      </c>
      <c r="C1028" t="s">
        <v>54</v>
      </c>
      <c r="D1028" t="s">
        <v>2379</v>
      </c>
      <c r="E1028" s="1" t="s">
        <v>2380</v>
      </c>
      <c r="F1028">
        <f>VLOOKUP(A1028,Classifications!$A:$E,5,FALSE)</f>
        <v>1</v>
      </c>
      <c r="G1028">
        <f>VLOOKUP(A1028,Classifications!$A:$F,6,FALSE)</f>
        <v>1</v>
      </c>
      <c r="H1028">
        <f>VLOOKUP(A1028,Classifications!$A:$G,7,FALSE)</f>
        <v>43</v>
      </c>
      <c r="I1028" t="s">
        <v>11</v>
      </c>
      <c r="J1028" s="2">
        <v>44211.563263888886</v>
      </c>
    </row>
    <row r="1029" spans="1:10" ht="12.75" customHeight="1" x14ac:dyDescent="0.3">
      <c r="A1029">
        <v>1347657</v>
      </c>
      <c r="B1029" t="s">
        <v>20</v>
      </c>
      <c r="C1029" t="s">
        <v>57</v>
      </c>
      <c r="D1029" t="s">
        <v>2381</v>
      </c>
      <c r="E1029" s="1" t="s">
        <v>2382</v>
      </c>
      <c r="F1029">
        <f>VLOOKUP(A1029,Classifications!$A:$E,5,FALSE)</f>
        <v>1</v>
      </c>
      <c r="G1029">
        <f>VLOOKUP(A1029,Classifications!$A:$F,6,FALSE)</f>
        <v>1</v>
      </c>
      <c r="H1029">
        <f>VLOOKUP(A1029,Classifications!$A:$G,7,FALSE)</f>
        <v>43</v>
      </c>
      <c r="I1029" t="s">
        <v>24</v>
      </c>
      <c r="J1029" s="2">
        <v>44211.548368055555</v>
      </c>
    </row>
    <row r="1030" spans="1:10" ht="12.75" customHeight="1" x14ac:dyDescent="0.3">
      <c r="A1030">
        <v>1347651</v>
      </c>
      <c r="B1030" t="s">
        <v>45</v>
      </c>
      <c r="C1030" t="s">
        <v>1743</v>
      </c>
      <c r="D1030" t="s">
        <v>2383</v>
      </c>
      <c r="E1030" s="1" t="s">
        <v>2384</v>
      </c>
      <c r="F1030">
        <f>VLOOKUP(A1030,Classifications!$A:$E,5,FALSE)</f>
        <v>1</v>
      </c>
      <c r="G1030">
        <f>VLOOKUP(A1030,Classifications!$A:$F,6,FALSE)</f>
        <v>2</v>
      </c>
      <c r="H1030">
        <f>VLOOKUP(A1030,Classifications!$A:$G,7,FALSE)</f>
        <v>41</v>
      </c>
      <c r="I1030" t="s">
        <v>11</v>
      </c>
      <c r="J1030" s="2">
        <v>44211.540289351855</v>
      </c>
    </row>
    <row r="1031" spans="1:10" ht="12.75" customHeight="1" x14ac:dyDescent="0.3">
      <c r="A1031">
        <v>1347647</v>
      </c>
      <c r="B1031" t="s">
        <v>53</v>
      </c>
      <c r="C1031" t="s">
        <v>54</v>
      </c>
      <c r="D1031" t="s">
        <v>2385</v>
      </c>
      <c r="E1031" s="1" t="s">
        <v>2386</v>
      </c>
      <c r="F1031">
        <f>VLOOKUP(A1031,Classifications!$A:$E,5,FALSE)</f>
        <v>1</v>
      </c>
      <c r="G1031">
        <f>VLOOKUP(A1031,Classifications!$A:$F,6,FALSE)</f>
        <v>1</v>
      </c>
      <c r="H1031">
        <f>VLOOKUP(A1031,Classifications!$A:$G,7,FALSE)</f>
        <v>36</v>
      </c>
      <c r="I1031" t="s">
        <v>11</v>
      </c>
      <c r="J1031" s="2">
        <v>44211.528749999998</v>
      </c>
    </row>
    <row r="1032" spans="1:10" ht="12.75" customHeight="1" x14ac:dyDescent="0.3">
      <c r="A1032">
        <v>1347645</v>
      </c>
      <c r="B1032" t="s">
        <v>36</v>
      </c>
      <c r="C1032" t="s">
        <v>2387</v>
      </c>
      <c r="D1032" t="s">
        <v>2388</v>
      </c>
      <c r="E1032" s="1" t="s">
        <v>2389</v>
      </c>
      <c r="F1032">
        <f>VLOOKUP(A1032,Classifications!$A:$E,5,FALSE)</f>
        <v>1</v>
      </c>
      <c r="G1032">
        <f>VLOOKUP(A1032,Classifications!$A:$F,6,FALSE)</f>
        <v>1</v>
      </c>
      <c r="H1032">
        <f>VLOOKUP(A1032,Classifications!$A:$G,7,FALSE)</f>
        <v>41</v>
      </c>
      <c r="I1032" t="s">
        <v>24</v>
      </c>
      <c r="J1032" s="2">
        <v>44211.524398148147</v>
      </c>
    </row>
    <row r="1033" spans="1:10" ht="12.75" customHeight="1" x14ac:dyDescent="0.3">
      <c r="A1033">
        <v>1347644</v>
      </c>
      <c r="B1033" t="s">
        <v>222</v>
      </c>
      <c r="C1033" t="s">
        <v>2390</v>
      </c>
      <c r="D1033" t="s">
        <v>2391</v>
      </c>
      <c r="E1033" s="1" t="s">
        <v>2392</v>
      </c>
      <c r="F1033">
        <f>VLOOKUP(A1033,Classifications!$A:$E,5,FALSE)</f>
        <v>1</v>
      </c>
      <c r="G1033">
        <f>VLOOKUP(A1033,Classifications!$A:$F,6,FALSE)</f>
        <v>3</v>
      </c>
      <c r="H1033">
        <f>VLOOKUP(A1033,Classifications!$A:$G,7,FALSE)</f>
        <v>41</v>
      </c>
      <c r="I1033" t="s">
        <v>24</v>
      </c>
      <c r="J1033" s="2">
        <v>44211.524317129632</v>
      </c>
    </row>
    <row r="1034" spans="1:10" ht="12.75" customHeight="1" x14ac:dyDescent="0.3">
      <c r="A1034">
        <v>1347637</v>
      </c>
      <c r="B1034" t="s">
        <v>12</v>
      </c>
      <c r="C1034" t="s">
        <v>1774</v>
      </c>
      <c r="D1034" t="s">
        <v>2393</v>
      </c>
      <c r="E1034" s="1" t="s">
        <v>2394</v>
      </c>
      <c r="F1034">
        <f>VLOOKUP(A1034,Classifications!$A:$E,5,FALSE)</f>
        <v>2</v>
      </c>
      <c r="G1034">
        <f>VLOOKUP(A1034,Classifications!$A:$F,6,FALSE)</f>
        <v>2</v>
      </c>
      <c r="H1034">
        <f>VLOOKUP(A1034,Classifications!$A:$G,7,FALSE)</f>
        <v>43</v>
      </c>
      <c r="I1034" t="s">
        <v>24</v>
      </c>
      <c r="J1034" s="2">
        <v>44211.505208333336</v>
      </c>
    </row>
    <row r="1035" spans="1:10" ht="12.75" customHeight="1" x14ac:dyDescent="0.3">
      <c r="A1035">
        <v>1347628</v>
      </c>
      <c r="B1035" t="s">
        <v>32</v>
      </c>
      <c r="C1035" t="s">
        <v>2395</v>
      </c>
      <c r="D1035" t="s">
        <v>2396</v>
      </c>
      <c r="E1035" s="1" t="s">
        <v>2397</v>
      </c>
      <c r="F1035">
        <f>VLOOKUP(A1035,Classifications!$A:$E,5,FALSE)</f>
        <v>1</v>
      </c>
      <c r="G1035">
        <f>VLOOKUP(A1035,Classifications!$A:$F,6,FALSE)</f>
        <v>2</v>
      </c>
      <c r="H1035">
        <f>VLOOKUP(A1035,Classifications!$A:$G,7,FALSE)</f>
        <v>41</v>
      </c>
      <c r="I1035" t="s">
        <v>11</v>
      </c>
      <c r="J1035" s="2">
        <v>44211.47755787037</v>
      </c>
    </row>
    <row r="1036" spans="1:10" ht="12.75" customHeight="1" x14ac:dyDescent="0.3">
      <c r="A1036">
        <v>1347621</v>
      </c>
      <c r="B1036" t="s">
        <v>435</v>
      </c>
      <c r="C1036" t="s">
        <v>436</v>
      </c>
      <c r="D1036" t="s">
        <v>2398</v>
      </c>
      <c r="E1036" s="1" t="s">
        <v>2399</v>
      </c>
      <c r="F1036">
        <f>VLOOKUP(A1036,Classifications!$A:$E,5,FALSE)</f>
        <v>1</v>
      </c>
      <c r="G1036">
        <f>VLOOKUP(A1036,Classifications!$A:$F,6,FALSE)</f>
        <v>1</v>
      </c>
      <c r="H1036">
        <f>VLOOKUP(A1036,Classifications!$A:$G,7,FALSE)</f>
        <v>41</v>
      </c>
      <c r="I1036" t="s">
        <v>11</v>
      </c>
      <c r="J1036" s="2">
        <v>44211.458252314813</v>
      </c>
    </row>
    <row r="1037" spans="1:10" ht="12.75" customHeight="1" x14ac:dyDescent="0.3">
      <c r="A1037">
        <v>1347616</v>
      </c>
      <c r="B1037" t="s">
        <v>118</v>
      </c>
      <c r="C1037" t="s">
        <v>119</v>
      </c>
      <c r="D1037" t="s">
        <v>2400</v>
      </c>
      <c r="E1037" s="1" t="s">
        <v>2401</v>
      </c>
      <c r="F1037">
        <f>VLOOKUP(A1037,Classifications!$A:$E,5,FALSE)</f>
        <v>2</v>
      </c>
      <c r="G1037">
        <f>VLOOKUP(A1037,Classifications!$A:$F,6,FALSE)</f>
        <v>3</v>
      </c>
      <c r="H1037">
        <f>VLOOKUP(A1037,Classifications!$A:$G,7,FALSE)</f>
        <v>41</v>
      </c>
      <c r="I1037" t="s">
        <v>11</v>
      </c>
      <c r="J1037" s="2">
        <v>44211.444004629629</v>
      </c>
    </row>
    <row r="1038" spans="1:10" ht="12.75" customHeight="1" x14ac:dyDescent="0.3">
      <c r="A1038">
        <v>1347607</v>
      </c>
      <c r="B1038" t="s">
        <v>91</v>
      </c>
      <c r="C1038" t="s">
        <v>2402</v>
      </c>
      <c r="D1038" t="s">
        <v>2403</v>
      </c>
      <c r="E1038" s="1" t="s">
        <v>2404</v>
      </c>
      <c r="F1038">
        <f>VLOOKUP(A1038,Classifications!$A:$E,5,FALSE)</f>
        <v>1</v>
      </c>
      <c r="G1038">
        <f>VLOOKUP(A1038,Classifications!$A:$F,6,FALSE)</f>
        <v>1</v>
      </c>
      <c r="H1038">
        <f>VLOOKUP(A1038,Classifications!$A:$G,7,FALSE)</f>
        <v>43</v>
      </c>
      <c r="I1038" t="s">
        <v>11</v>
      </c>
      <c r="J1038" s="2">
        <v>44211.43173611111</v>
      </c>
    </row>
    <row r="1039" spans="1:10" ht="12.75" customHeight="1" x14ac:dyDescent="0.3">
      <c r="A1039">
        <v>1347606</v>
      </c>
      <c r="B1039" t="s">
        <v>16</v>
      </c>
      <c r="C1039" t="s">
        <v>2405</v>
      </c>
      <c r="D1039" t="s">
        <v>2406</v>
      </c>
      <c r="E1039" s="1" t="s">
        <v>2407</v>
      </c>
      <c r="F1039">
        <f>VLOOKUP(A1039,Classifications!$A:$E,5,FALSE)</f>
        <v>1</v>
      </c>
      <c r="G1039">
        <f>VLOOKUP(A1039,Classifications!$A:$F,6,FALSE)</f>
        <v>1</v>
      </c>
      <c r="H1039">
        <f>VLOOKUP(A1039,Classifications!$A:$G,7,FALSE)</f>
        <v>36</v>
      </c>
      <c r="I1039" t="s">
        <v>11</v>
      </c>
      <c r="J1039" s="2">
        <v>44211.427951388891</v>
      </c>
    </row>
    <row r="1040" spans="1:10" ht="12.75" customHeight="1" x14ac:dyDescent="0.3">
      <c r="A1040">
        <v>1347602</v>
      </c>
      <c r="B1040" t="s">
        <v>1749</v>
      </c>
      <c r="C1040" t="s">
        <v>1750</v>
      </c>
      <c r="D1040" t="s">
        <v>2408</v>
      </c>
      <c r="E1040" s="1" t="s">
        <v>2409</v>
      </c>
      <c r="F1040">
        <f>VLOOKUP(A1040,Classifications!$A:$E,5,FALSE)</f>
        <v>2</v>
      </c>
      <c r="G1040">
        <f>VLOOKUP(A1040,Classifications!$A:$F,6,FALSE)</f>
        <v>1</v>
      </c>
      <c r="H1040">
        <f>VLOOKUP(A1040,Classifications!$A:$G,7,FALSE)</f>
        <v>41</v>
      </c>
      <c r="I1040" t="s">
        <v>24</v>
      </c>
      <c r="J1040" s="2">
        <v>44211.424317129633</v>
      </c>
    </row>
    <row r="1041" spans="1:10" ht="12.75" customHeight="1" x14ac:dyDescent="0.3">
      <c r="A1041">
        <v>1347598</v>
      </c>
      <c r="B1041" t="s">
        <v>1749</v>
      </c>
      <c r="C1041" t="s">
        <v>1977</v>
      </c>
      <c r="D1041" t="s">
        <v>2410</v>
      </c>
      <c r="E1041" s="1" t="s">
        <v>2411</v>
      </c>
      <c r="F1041">
        <f>VLOOKUP(A1041,Classifications!$A:$E,5,FALSE)</f>
        <v>1</v>
      </c>
      <c r="G1041">
        <f>VLOOKUP(A1041,Classifications!$A:$F,6,FALSE)</f>
        <v>3</v>
      </c>
      <c r="H1041">
        <f>VLOOKUP(A1041,Classifications!$A:$G,7,FALSE)</f>
        <v>41</v>
      </c>
      <c r="I1041" t="s">
        <v>24</v>
      </c>
      <c r="J1041" s="2">
        <v>44211.422500000001</v>
      </c>
    </row>
    <row r="1042" spans="1:10" ht="12.75" customHeight="1" x14ac:dyDescent="0.3">
      <c r="A1042">
        <v>1347562</v>
      </c>
      <c r="B1042" t="s">
        <v>45</v>
      </c>
      <c r="C1042" t="s">
        <v>1743</v>
      </c>
      <c r="D1042" t="s">
        <v>2412</v>
      </c>
      <c r="E1042" s="1" t="s">
        <v>2413</v>
      </c>
      <c r="F1042">
        <f>VLOOKUP(A1042,Classifications!$A:$E,5,FALSE)</f>
        <v>2</v>
      </c>
      <c r="G1042">
        <f>VLOOKUP(A1042,Classifications!$A:$F,6,FALSE)</f>
        <v>2</v>
      </c>
      <c r="H1042">
        <f>VLOOKUP(A1042,Classifications!$A:$G,7,FALSE)</f>
        <v>43</v>
      </c>
      <c r="I1042" t="s">
        <v>11</v>
      </c>
      <c r="J1042" s="2">
        <v>44211.413124999999</v>
      </c>
    </row>
    <row r="1043" spans="1:10" ht="12.75" customHeight="1" x14ac:dyDescent="0.3">
      <c r="A1043">
        <v>1347556</v>
      </c>
      <c r="B1043" t="s">
        <v>36</v>
      </c>
      <c r="C1043" t="s">
        <v>2414</v>
      </c>
      <c r="D1043" t="s">
        <v>2415</v>
      </c>
      <c r="E1043" s="1" t="s">
        <v>2416</v>
      </c>
      <c r="F1043">
        <f>VLOOKUP(A1043,Classifications!$A:$E,5,FALSE)</f>
        <v>1</v>
      </c>
      <c r="G1043">
        <f>VLOOKUP(A1043,Classifications!$A:$F,6,FALSE)</f>
        <v>2</v>
      </c>
      <c r="H1043">
        <f>VLOOKUP(A1043,Classifications!$A:$G,7,FALSE)</f>
        <v>41</v>
      </c>
      <c r="I1043" t="s">
        <v>24</v>
      </c>
      <c r="J1043" s="2">
        <v>44211.398645833331</v>
      </c>
    </row>
    <row r="1044" spans="1:10" ht="12.75" customHeight="1" x14ac:dyDescent="0.3">
      <c r="A1044">
        <v>1347550</v>
      </c>
      <c r="B1044" t="s">
        <v>36</v>
      </c>
      <c r="C1044" t="s">
        <v>2417</v>
      </c>
      <c r="D1044" t="s">
        <v>2418</v>
      </c>
      <c r="E1044" s="1" t="s">
        <v>2419</v>
      </c>
      <c r="F1044">
        <f>VLOOKUP(A1044,Classifications!$A:$E,5,FALSE)</f>
        <v>1</v>
      </c>
      <c r="G1044">
        <f>VLOOKUP(A1044,Classifications!$A:$F,6,FALSE)</f>
        <v>3</v>
      </c>
      <c r="H1044">
        <f>VLOOKUP(A1044,Classifications!$A:$G,7,FALSE)</f>
        <v>41</v>
      </c>
      <c r="I1044" t="s">
        <v>24</v>
      </c>
      <c r="J1044" s="2">
        <v>44211.396099537036</v>
      </c>
    </row>
    <row r="1045" spans="1:10" ht="12.75" customHeight="1" x14ac:dyDescent="0.3">
      <c r="A1045">
        <v>1347549</v>
      </c>
      <c r="B1045" t="s">
        <v>222</v>
      </c>
      <c r="C1045" t="s">
        <v>681</v>
      </c>
      <c r="D1045" t="s">
        <v>2420</v>
      </c>
      <c r="E1045" s="1" t="s">
        <v>2421</v>
      </c>
      <c r="F1045">
        <f>VLOOKUP(A1045,Classifications!$A:$E,5,FALSE)</f>
        <v>2</v>
      </c>
      <c r="G1045">
        <f>VLOOKUP(A1045,Classifications!$A:$F,6,FALSE)</f>
        <v>3</v>
      </c>
      <c r="H1045">
        <f>VLOOKUP(A1045,Classifications!$A:$G,7,FALSE)</f>
        <v>41</v>
      </c>
      <c r="I1045" t="s">
        <v>24</v>
      </c>
      <c r="J1045" s="2">
        <v>44211.39502314815</v>
      </c>
    </row>
    <row r="1046" spans="1:10" ht="12.75" customHeight="1" x14ac:dyDescent="0.3">
      <c r="A1046">
        <v>1347548</v>
      </c>
      <c r="B1046" t="s">
        <v>36</v>
      </c>
      <c r="C1046" t="s">
        <v>700</v>
      </c>
      <c r="D1046" t="s">
        <v>2422</v>
      </c>
      <c r="E1046" s="1" t="s">
        <v>2423</v>
      </c>
      <c r="F1046">
        <f>VLOOKUP(A1046,Classifications!$A:$E,5,FALSE)</f>
        <v>1</v>
      </c>
      <c r="G1046">
        <f>VLOOKUP(A1046,Classifications!$A:$F,6,FALSE)</f>
        <v>1</v>
      </c>
      <c r="H1046">
        <f>VLOOKUP(A1046,Classifications!$A:$G,7,FALSE)</f>
        <v>43</v>
      </c>
      <c r="I1046" t="s">
        <v>24</v>
      </c>
      <c r="J1046" s="2">
        <v>44211.394849537035</v>
      </c>
    </row>
    <row r="1047" spans="1:10" ht="12.75" customHeight="1" x14ac:dyDescent="0.3">
      <c r="A1047">
        <v>1347545</v>
      </c>
      <c r="B1047" t="s">
        <v>1956</v>
      </c>
      <c r="C1047" t="s">
        <v>646</v>
      </c>
      <c r="D1047" t="s">
        <v>2424</v>
      </c>
      <c r="E1047" s="1" t="s">
        <v>2425</v>
      </c>
      <c r="F1047">
        <f>VLOOKUP(A1047,Classifications!$A:$E,5,FALSE)</f>
        <v>1</v>
      </c>
      <c r="G1047">
        <f>VLOOKUP(A1047,Classifications!$A:$F,6,FALSE)</f>
        <v>1</v>
      </c>
      <c r="H1047">
        <f>VLOOKUP(A1047,Classifications!$A:$G,7,FALSE)</f>
        <v>36</v>
      </c>
      <c r="I1047" t="s">
        <v>11</v>
      </c>
      <c r="J1047" s="2">
        <v>44211.390393518515</v>
      </c>
    </row>
    <row r="1048" spans="1:10" ht="12.75" customHeight="1" x14ac:dyDescent="0.3">
      <c r="A1048">
        <v>1347544</v>
      </c>
      <c r="B1048" t="s">
        <v>36</v>
      </c>
      <c r="C1048" t="s">
        <v>2426</v>
      </c>
      <c r="D1048" t="s">
        <v>2427</v>
      </c>
      <c r="E1048" s="1" t="s">
        <v>2428</v>
      </c>
      <c r="F1048">
        <f>VLOOKUP(A1048,Classifications!$A:$E,5,FALSE)</f>
        <v>1</v>
      </c>
      <c r="G1048">
        <f>VLOOKUP(A1048,Classifications!$A:$F,6,FALSE)</f>
        <v>1</v>
      </c>
      <c r="H1048">
        <f>VLOOKUP(A1048,Classifications!$A:$G,7,FALSE)</f>
        <v>41</v>
      </c>
      <c r="I1048" t="s">
        <v>24</v>
      </c>
      <c r="J1048" s="2">
        <v>44211.388032407405</v>
      </c>
    </row>
    <row r="1049" spans="1:10" ht="12.75" customHeight="1" x14ac:dyDescent="0.3">
      <c r="A1049">
        <v>1347534</v>
      </c>
      <c r="B1049" t="s">
        <v>157</v>
      </c>
      <c r="C1049" t="s">
        <v>627</v>
      </c>
      <c r="D1049" t="s">
        <v>2429</v>
      </c>
      <c r="E1049" s="1" t="s">
        <v>2430</v>
      </c>
      <c r="F1049">
        <f>VLOOKUP(A1049,Classifications!$A:$E,5,FALSE)</f>
        <v>1</v>
      </c>
      <c r="G1049">
        <f>VLOOKUP(A1049,Classifications!$A:$F,6,FALSE)</f>
        <v>1</v>
      </c>
      <c r="H1049">
        <f>VLOOKUP(A1049,Classifications!$A:$G,7,FALSE)</f>
        <v>36</v>
      </c>
      <c r="I1049" t="s">
        <v>11</v>
      </c>
      <c r="J1049" s="2">
        <v>44211.373553240737</v>
      </c>
    </row>
    <row r="1050" spans="1:10" ht="12.75" customHeight="1" x14ac:dyDescent="0.3">
      <c r="A1050">
        <v>1347530</v>
      </c>
      <c r="B1050" t="s">
        <v>95</v>
      </c>
      <c r="C1050" t="s">
        <v>2431</v>
      </c>
      <c r="D1050" t="s">
        <v>2432</v>
      </c>
      <c r="E1050" s="1" t="s">
        <v>2433</v>
      </c>
      <c r="F1050">
        <f>VLOOKUP(A1050,Classifications!$A:$E,5,FALSE)</f>
        <v>1</v>
      </c>
      <c r="G1050">
        <f>VLOOKUP(A1050,Classifications!$A:$F,6,FALSE)</f>
        <v>2</v>
      </c>
      <c r="H1050">
        <f>VLOOKUP(A1050,Classifications!$A:$G,7,FALSE)</f>
        <v>41</v>
      </c>
      <c r="I1050" t="s">
        <v>11</v>
      </c>
      <c r="J1050" s="2">
        <v>44211.364710648151</v>
      </c>
    </row>
    <row r="1051" spans="1:10" ht="12.75" customHeight="1" x14ac:dyDescent="0.3">
      <c r="A1051">
        <v>1347525</v>
      </c>
      <c r="B1051" t="s">
        <v>2033</v>
      </c>
      <c r="C1051" t="s">
        <v>2434</v>
      </c>
      <c r="D1051" t="s">
        <v>2435</v>
      </c>
      <c r="E1051" s="1" t="s">
        <v>2436</v>
      </c>
      <c r="F1051">
        <f>VLOOKUP(A1051,Classifications!$A:$E,5,FALSE)</f>
        <v>1</v>
      </c>
      <c r="G1051">
        <f>VLOOKUP(A1051,Classifications!$A:$F,6,FALSE)</f>
        <v>1</v>
      </c>
      <c r="H1051">
        <f>VLOOKUP(A1051,Classifications!$A:$G,7,FALSE)</f>
        <v>43</v>
      </c>
      <c r="I1051" t="s">
        <v>11</v>
      </c>
      <c r="J1051" s="2">
        <v>44211.353171296294</v>
      </c>
    </row>
    <row r="1052" spans="1:10" ht="12.75" customHeight="1" x14ac:dyDescent="0.3">
      <c r="A1052">
        <v>1347506</v>
      </c>
      <c r="B1052" t="s">
        <v>32</v>
      </c>
      <c r="C1052" t="s">
        <v>2437</v>
      </c>
      <c r="D1052" t="s">
        <v>2438</v>
      </c>
      <c r="E1052" s="1" t="s">
        <v>2439</v>
      </c>
      <c r="F1052">
        <f>VLOOKUP(A1052,Classifications!$A:$E,5,FALSE)</f>
        <v>1</v>
      </c>
      <c r="G1052">
        <f>VLOOKUP(A1052,Classifications!$A:$F,6,FALSE)</f>
        <v>3</v>
      </c>
      <c r="H1052">
        <f>VLOOKUP(A1052,Classifications!$A:$G,7,FALSE)</f>
        <v>41</v>
      </c>
      <c r="I1052" t="s">
        <v>11</v>
      </c>
      <c r="J1052" s="2">
        <v>44211.324074074073</v>
      </c>
    </row>
    <row r="1053" spans="1:10" ht="12.75" customHeight="1" x14ac:dyDescent="0.3">
      <c r="A1053">
        <v>1347497</v>
      </c>
      <c r="B1053" t="s">
        <v>91</v>
      </c>
      <c r="C1053" t="s">
        <v>305</v>
      </c>
      <c r="D1053" t="s">
        <v>2440</v>
      </c>
      <c r="E1053" s="1" t="s">
        <v>2441</v>
      </c>
      <c r="F1053">
        <f>VLOOKUP(A1053,Classifications!$A:$E,5,FALSE)</f>
        <v>3</v>
      </c>
      <c r="G1053">
        <f>VLOOKUP(A1053,Classifications!$A:$F,6,FALSE)</f>
        <v>2</v>
      </c>
      <c r="H1053">
        <f>VLOOKUP(A1053,Classifications!$A:$G,7,FALSE)</f>
        <v>41</v>
      </c>
      <c r="I1053" t="s">
        <v>11</v>
      </c>
      <c r="J1053" s="2">
        <v>44211.307974537034</v>
      </c>
    </row>
    <row r="1054" spans="1:10" ht="12.75" customHeight="1" x14ac:dyDescent="0.3">
      <c r="A1054">
        <v>1347417</v>
      </c>
      <c r="B1054" t="s">
        <v>2442</v>
      </c>
      <c r="C1054" t="s">
        <v>2443</v>
      </c>
      <c r="D1054" t="s">
        <v>1325</v>
      </c>
      <c r="E1054" t="s">
        <v>1324</v>
      </c>
      <c r="F1054">
        <f>VLOOKUP(A1054,Classifications!$A:$E,5,FALSE)</f>
        <v>1</v>
      </c>
      <c r="G1054">
        <f>VLOOKUP(A1054,Classifications!$A:$F,6,FALSE)</f>
        <v>1</v>
      </c>
      <c r="H1054">
        <f>VLOOKUP(A1054,Classifications!$A:$G,7,FALSE)</f>
        <v>36</v>
      </c>
      <c r="I1054" t="s">
        <v>1158</v>
      </c>
      <c r="J1054" s="2">
        <v>44211.000104166669</v>
      </c>
    </row>
    <row r="1055" spans="1:10" ht="12.75" customHeight="1" x14ac:dyDescent="0.3">
      <c r="A1055">
        <v>1347416</v>
      </c>
      <c r="B1055" t="s">
        <v>2444</v>
      </c>
      <c r="C1055" t="s">
        <v>2445</v>
      </c>
      <c r="D1055" t="s">
        <v>1156</v>
      </c>
      <c r="E1055" s="1" t="s">
        <v>1157</v>
      </c>
      <c r="F1055">
        <f>VLOOKUP(A1055,Classifications!$A:$E,5,FALSE)</f>
        <v>1</v>
      </c>
      <c r="G1055">
        <f>VLOOKUP(A1055,Classifications!$A:$F,6,FALSE)</f>
        <v>1</v>
      </c>
      <c r="H1055">
        <f>VLOOKUP(A1055,Classifications!$A:$G,7,FALSE)</f>
        <v>36</v>
      </c>
      <c r="I1055" t="s">
        <v>1158</v>
      </c>
      <c r="J1055" s="2">
        <v>44211.000092592592</v>
      </c>
    </row>
    <row r="1056" spans="1:10" ht="12.75" customHeight="1" x14ac:dyDescent="0.3">
      <c r="A1056">
        <v>1347414</v>
      </c>
      <c r="B1056" t="s">
        <v>20</v>
      </c>
      <c r="C1056" t="s">
        <v>136</v>
      </c>
      <c r="D1056" t="s">
        <v>1156</v>
      </c>
      <c r="E1056" s="1" t="s">
        <v>1157</v>
      </c>
      <c r="F1056">
        <f>VLOOKUP(A1056,Classifications!$A:$E,5,FALSE)</f>
        <v>1</v>
      </c>
      <c r="G1056">
        <f>VLOOKUP(A1056,Classifications!$A:$F,6,FALSE)</f>
        <v>1</v>
      </c>
      <c r="H1056">
        <f>VLOOKUP(A1056,Classifications!$A:$G,7,FALSE)</f>
        <v>36</v>
      </c>
      <c r="I1056" t="s">
        <v>1158</v>
      </c>
      <c r="J1056" s="2">
        <v>44211.000069444446</v>
      </c>
    </row>
    <row r="1057" spans="1:10" ht="12.75" customHeight="1" x14ac:dyDescent="0.3">
      <c r="A1057">
        <v>1347213</v>
      </c>
      <c r="B1057" t="s">
        <v>435</v>
      </c>
      <c r="C1057" t="s">
        <v>436</v>
      </c>
      <c r="D1057" t="s">
        <v>2446</v>
      </c>
      <c r="E1057" s="1" t="s">
        <v>2447</v>
      </c>
      <c r="F1057">
        <f>VLOOKUP(A1057,Classifications!$A:$E,5,FALSE)</f>
        <v>3</v>
      </c>
      <c r="G1057">
        <f>VLOOKUP(A1057,Classifications!$A:$F,6,FALSE)</f>
        <v>3</v>
      </c>
      <c r="H1057">
        <f>VLOOKUP(A1057,Classifications!$A:$G,7,FALSE)</f>
        <v>41</v>
      </c>
      <c r="I1057" t="s">
        <v>11</v>
      </c>
      <c r="J1057" s="2">
        <v>44210.76054398148</v>
      </c>
    </row>
    <row r="1058" spans="1:10" ht="12.75" customHeight="1" x14ac:dyDescent="0.3">
      <c r="A1058">
        <v>1347211</v>
      </c>
      <c r="B1058" t="s">
        <v>435</v>
      </c>
      <c r="C1058" t="s">
        <v>436</v>
      </c>
      <c r="D1058" t="s">
        <v>2448</v>
      </c>
      <c r="E1058" s="1" t="s">
        <v>2449</v>
      </c>
      <c r="F1058">
        <f>VLOOKUP(A1058,Classifications!$A:$E,5,FALSE)</f>
        <v>3</v>
      </c>
      <c r="G1058">
        <f>VLOOKUP(A1058,Classifications!$A:$F,6,FALSE)</f>
        <v>3</v>
      </c>
      <c r="H1058">
        <f>VLOOKUP(A1058,Classifications!$A:$G,7,FALSE)</f>
        <v>41</v>
      </c>
      <c r="I1058" t="s">
        <v>11</v>
      </c>
      <c r="J1058" s="2">
        <v>44210.758425925924</v>
      </c>
    </row>
    <row r="1059" spans="1:10" ht="12.75" customHeight="1" x14ac:dyDescent="0.3">
      <c r="A1059">
        <v>1347177</v>
      </c>
      <c r="B1059" t="s">
        <v>177</v>
      </c>
      <c r="C1059" t="s">
        <v>178</v>
      </c>
      <c r="D1059" t="s">
        <v>2450</v>
      </c>
      <c r="E1059" s="1" t="s">
        <v>2451</v>
      </c>
      <c r="F1059">
        <f>VLOOKUP(A1059,Classifications!$A:$E,5,FALSE)</f>
        <v>1</v>
      </c>
      <c r="G1059">
        <f>VLOOKUP(A1059,Classifications!$A:$F,6,FALSE)</f>
        <v>1</v>
      </c>
      <c r="H1059">
        <f>VLOOKUP(A1059,Classifications!$A:$G,7,FALSE)</f>
        <v>36</v>
      </c>
      <c r="I1059" t="s">
        <v>11</v>
      </c>
      <c r="J1059" s="2">
        <v>44210.719166666669</v>
      </c>
    </row>
    <row r="1060" spans="1:10" ht="12.75" customHeight="1" x14ac:dyDescent="0.3">
      <c r="A1060">
        <v>1347158</v>
      </c>
      <c r="B1060" t="s">
        <v>20</v>
      </c>
      <c r="C1060" t="s">
        <v>136</v>
      </c>
      <c r="D1060" t="s">
        <v>2452</v>
      </c>
      <c r="E1060" s="1" t="s">
        <v>2453</v>
      </c>
      <c r="F1060">
        <f>VLOOKUP(A1060,Classifications!$A:$E,5,FALSE)</f>
        <v>1</v>
      </c>
      <c r="G1060">
        <f>VLOOKUP(A1060,Classifications!$A:$F,6,FALSE)</f>
        <v>1</v>
      </c>
      <c r="H1060">
        <f>VLOOKUP(A1060,Classifications!$A:$G,7,FALSE)</f>
        <v>36</v>
      </c>
      <c r="I1060" t="s">
        <v>24</v>
      </c>
      <c r="J1060" s="2">
        <v>44210.680393518516</v>
      </c>
    </row>
    <row r="1061" spans="1:10" ht="12.75" customHeight="1" x14ac:dyDescent="0.3">
      <c r="A1061">
        <v>1347147</v>
      </c>
      <c r="B1061" t="s">
        <v>36</v>
      </c>
      <c r="C1061" t="s">
        <v>1150</v>
      </c>
      <c r="D1061" t="s">
        <v>2454</v>
      </c>
      <c r="E1061" s="1" t="s">
        <v>2455</v>
      </c>
      <c r="F1061">
        <f>VLOOKUP(A1061,Classifications!$A:$E,5,FALSE)</f>
        <v>1</v>
      </c>
      <c r="G1061">
        <f>VLOOKUP(A1061,Classifications!$A:$F,6,FALSE)</f>
        <v>1</v>
      </c>
      <c r="H1061">
        <f>VLOOKUP(A1061,Classifications!$A:$G,7,FALSE)</f>
        <v>36</v>
      </c>
      <c r="I1061" t="s">
        <v>11</v>
      </c>
      <c r="J1061" s="2">
        <v>44210.655150462961</v>
      </c>
    </row>
    <row r="1062" spans="1:10" ht="12.75" customHeight="1" x14ac:dyDescent="0.3">
      <c r="A1062">
        <v>1347142</v>
      </c>
      <c r="B1062" t="s">
        <v>20</v>
      </c>
      <c r="C1062" t="s">
        <v>2177</v>
      </c>
      <c r="D1062" t="s">
        <v>2456</v>
      </c>
      <c r="E1062" s="1" t="s">
        <v>2457</v>
      </c>
      <c r="F1062">
        <f>VLOOKUP(A1062,Classifications!$A:$E,5,FALSE)</f>
        <v>1</v>
      </c>
      <c r="G1062">
        <f>VLOOKUP(A1062,Classifications!$A:$F,6,FALSE)</f>
        <v>2</v>
      </c>
      <c r="H1062">
        <f>VLOOKUP(A1062,Classifications!$A:$G,7,FALSE)</f>
        <v>43</v>
      </c>
      <c r="I1062" t="s">
        <v>11</v>
      </c>
      <c r="J1062" s="2">
        <v>44210.644074074073</v>
      </c>
    </row>
    <row r="1063" spans="1:10" ht="12.75" customHeight="1" x14ac:dyDescent="0.3">
      <c r="A1063">
        <v>1347141</v>
      </c>
      <c r="B1063" t="s">
        <v>157</v>
      </c>
      <c r="C1063" t="s">
        <v>414</v>
      </c>
      <c r="D1063" t="s">
        <v>2458</v>
      </c>
      <c r="E1063" s="1" t="s">
        <v>2459</v>
      </c>
      <c r="F1063">
        <f>VLOOKUP(A1063,Classifications!$A:$E,5,FALSE)</f>
        <v>1</v>
      </c>
      <c r="G1063">
        <f>VLOOKUP(A1063,Classifications!$A:$F,6,FALSE)</f>
        <v>3</v>
      </c>
      <c r="H1063">
        <f>VLOOKUP(A1063,Classifications!$A:$G,7,FALSE)</f>
        <v>43</v>
      </c>
      <c r="I1063" t="s">
        <v>11</v>
      </c>
      <c r="J1063" s="2">
        <v>44210.638425925928</v>
      </c>
    </row>
    <row r="1064" spans="1:10" ht="12.75" customHeight="1" x14ac:dyDescent="0.3">
      <c r="A1064">
        <v>1347138</v>
      </c>
      <c r="B1064" t="s">
        <v>746</v>
      </c>
      <c r="C1064" t="s">
        <v>1203</v>
      </c>
      <c r="D1064" t="s">
        <v>2460</v>
      </c>
      <c r="E1064" s="1" t="s">
        <v>2461</v>
      </c>
      <c r="F1064">
        <f>VLOOKUP(A1064,Classifications!$A:$E,5,FALSE)</f>
        <v>1</v>
      </c>
      <c r="G1064">
        <f>VLOOKUP(A1064,Classifications!$A:$F,6,FALSE)</f>
        <v>1</v>
      </c>
      <c r="H1064">
        <f>VLOOKUP(A1064,Classifications!$A:$G,7,FALSE)</f>
        <v>43</v>
      </c>
      <c r="I1064" t="s">
        <v>11</v>
      </c>
      <c r="J1064" s="2">
        <v>44210.63453703704</v>
      </c>
    </row>
    <row r="1065" spans="1:10" ht="12.75" customHeight="1" x14ac:dyDescent="0.3">
      <c r="A1065">
        <v>1347127</v>
      </c>
      <c r="B1065" t="s">
        <v>191</v>
      </c>
      <c r="C1065" t="s">
        <v>192</v>
      </c>
      <c r="D1065" t="s">
        <v>2462</v>
      </c>
      <c r="E1065" s="1" t="s">
        <v>2463</v>
      </c>
      <c r="F1065">
        <f>VLOOKUP(A1065,Classifications!$A:$E,5,FALSE)</f>
        <v>1</v>
      </c>
      <c r="G1065">
        <f>VLOOKUP(A1065,Classifications!$A:$F,6,FALSE)</f>
        <v>2</v>
      </c>
      <c r="H1065">
        <f>VLOOKUP(A1065,Classifications!$A:$G,7,FALSE)</f>
        <v>43</v>
      </c>
      <c r="I1065" t="s">
        <v>11</v>
      </c>
      <c r="J1065" s="2">
        <v>44210.621701388889</v>
      </c>
    </row>
    <row r="1066" spans="1:10" ht="12.75" customHeight="1" x14ac:dyDescent="0.3">
      <c r="A1066">
        <v>1347123</v>
      </c>
      <c r="B1066" t="s">
        <v>2130</v>
      </c>
      <c r="C1066" t="s">
        <v>2131</v>
      </c>
      <c r="D1066" t="s">
        <v>2464</v>
      </c>
      <c r="E1066" s="1" t="s">
        <v>2465</v>
      </c>
      <c r="F1066">
        <f>VLOOKUP(A1066,Classifications!$A:$E,5,FALSE)</f>
        <v>1</v>
      </c>
      <c r="G1066">
        <f>VLOOKUP(A1066,Classifications!$A:$F,6,FALSE)</f>
        <v>1</v>
      </c>
      <c r="H1066">
        <f>VLOOKUP(A1066,Classifications!$A:$G,7,FALSE)</f>
        <v>36</v>
      </c>
      <c r="I1066" t="s">
        <v>24</v>
      </c>
      <c r="J1066" s="2">
        <v>44210.614594907405</v>
      </c>
    </row>
    <row r="1067" spans="1:10" ht="12.75" customHeight="1" x14ac:dyDescent="0.3">
      <c r="A1067">
        <v>1347113</v>
      </c>
      <c r="B1067" t="s">
        <v>53</v>
      </c>
      <c r="C1067" t="s">
        <v>54</v>
      </c>
      <c r="D1067" t="s">
        <v>2466</v>
      </c>
      <c r="E1067" s="1" t="s">
        <v>2467</v>
      </c>
      <c r="F1067">
        <f>VLOOKUP(A1067,Classifications!$A:$E,5,FALSE)</f>
        <v>1</v>
      </c>
      <c r="G1067">
        <f>VLOOKUP(A1067,Classifications!$A:$F,6,FALSE)</f>
        <v>1</v>
      </c>
      <c r="H1067">
        <f>VLOOKUP(A1067,Classifications!$A:$G,7,FALSE)</f>
        <v>43</v>
      </c>
      <c r="I1067" t="s">
        <v>11</v>
      </c>
      <c r="J1067" s="2">
        <v>44210.595150462963</v>
      </c>
    </row>
    <row r="1068" spans="1:10" ht="12.75" customHeight="1" x14ac:dyDescent="0.3">
      <c r="A1068">
        <v>1347111</v>
      </c>
      <c r="B1068" t="s">
        <v>53</v>
      </c>
      <c r="C1068" t="s">
        <v>54</v>
      </c>
      <c r="D1068" t="s">
        <v>2468</v>
      </c>
      <c r="E1068" s="1" t="s">
        <v>2469</v>
      </c>
      <c r="F1068">
        <f>VLOOKUP(A1068,Classifications!$A:$E,5,FALSE)</f>
        <v>1</v>
      </c>
      <c r="G1068">
        <f>VLOOKUP(A1068,Classifications!$A:$F,6,FALSE)</f>
        <v>2</v>
      </c>
      <c r="H1068">
        <f>VLOOKUP(A1068,Classifications!$A:$G,7,FALSE)</f>
        <v>41</v>
      </c>
      <c r="I1068" t="s">
        <v>11</v>
      </c>
      <c r="J1068" s="2">
        <v>44210.590196759258</v>
      </c>
    </row>
    <row r="1069" spans="1:10" ht="12.75" customHeight="1" x14ac:dyDescent="0.3">
      <c r="A1069">
        <v>1347107</v>
      </c>
      <c r="B1069" t="s">
        <v>214</v>
      </c>
      <c r="C1069" t="s">
        <v>215</v>
      </c>
      <c r="D1069" t="s">
        <v>2470</v>
      </c>
      <c r="E1069" s="1" t="s">
        <v>2471</v>
      </c>
      <c r="F1069">
        <f>VLOOKUP(A1069,Classifications!$A:$E,5,FALSE)</f>
        <v>1</v>
      </c>
      <c r="G1069">
        <f>VLOOKUP(A1069,Classifications!$A:$F,6,FALSE)</f>
        <v>2</v>
      </c>
      <c r="H1069">
        <f>VLOOKUP(A1069,Classifications!$A:$G,7,FALSE)</f>
        <v>41</v>
      </c>
      <c r="I1069" t="s">
        <v>11</v>
      </c>
      <c r="J1069" s="2">
        <v>44210.578275462962</v>
      </c>
    </row>
    <row r="1070" spans="1:10" ht="12.75" customHeight="1" x14ac:dyDescent="0.3">
      <c r="A1070">
        <v>1347106</v>
      </c>
      <c r="B1070" t="s">
        <v>70</v>
      </c>
      <c r="C1070" t="s">
        <v>369</v>
      </c>
      <c r="D1070" t="s">
        <v>2472</v>
      </c>
      <c r="E1070" s="1" t="s">
        <v>2473</v>
      </c>
      <c r="F1070">
        <f>VLOOKUP(A1070,Classifications!$A:$E,5,FALSE)</f>
        <v>3</v>
      </c>
      <c r="G1070">
        <f>VLOOKUP(A1070,Classifications!$A:$F,6,FALSE)</f>
        <v>3</v>
      </c>
      <c r="H1070">
        <f>VLOOKUP(A1070,Classifications!$A:$G,7,FALSE)</f>
        <v>41</v>
      </c>
      <c r="I1070" t="s">
        <v>11</v>
      </c>
      <c r="J1070" s="2">
        <v>44210.574837962966</v>
      </c>
    </row>
    <row r="1071" spans="1:10" ht="12.75" customHeight="1" x14ac:dyDescent="0.3">
      <c r="A1071">
        <v>1347105</v>
      </c>
      <c r="B1071" t="s">
        <v>49</v>
      </c>
      <c r="C1071" t="s">
        <v>1469</v>
      </c>
      <c r="D1071" t="s">
        <v>2474</v>
      </c>
      <c r="E1071" s="1" t="s">
        <v>2475</v>
      </c>
      <c r="F1071">
        <f>VLOOKUP(A1071,Classifications!$A:$E,5,FALSE)</f>
        <v>1</v>
      </c>
      <c r="G1071">
        <f>VLOOKUP(A1071,Classifications!$A:$F,6,FALSE)</f>
        <v>1</v>
      </c>
      <c r="H1071">
        <f>VLOOKUP(A1071,Classifications!$A:$G,7,FALSE)</f>
        <v>43</v>
      </c>
      <c r="I1071" t="s">
        <v>11</v>
      </c>
      <c r="J1071" s="2">
        <v>44210.570185185185</v>
      </c>
    </row>
    <row r="1072" spans="1:10" ht="12.75" customHeight="1" x14ac:dyDescent="0.3">
      <c r="A1072">
        <v>1347102</v>
      </c>
      <c r="B1072" t="s">
        <v>431</v>
      </c>
      <c r="C1072" t="s">
        <v>432</v>
      </c>
      <c r="D1072" t="s">
        <v>2476</v>
      </c>
      <c r="E1072" s="1" t="s">
        <v>2477</v>
      </c>
      <c r="F1072">
        <f>VLOOKUP(A1072,Classifications!$A:$E,5,FALSE)</f>
        <v>2</v>
      </c>
      <c r="G1072">
        <f>VLOOKUP(A1072,Classifications!$A:$F,6,FALSE)</f>
        <v>2</v>
      </c>
      <c r="H1072">
        <f>VLOOKUP(A1072,Classifications!$A:$G,7,FALSE)</f>
        <v>41</v>
      </c>
      <c r="I1072" t="s">
        <v>24</v>
      </c>
      <c r="J1072" s="2">
        <v>44210.567777777775</v>
      </c>
    </row>
    <row r="1073" spans="1:10" ht="12.75" customHeight="1" x14ac:dyDescent="0.3">
      <c r="A1073">
        <v>1347099</v>
      </c>
      <c r="B1073" t="s">
        <v>20</v>
      </c>
      <c r="C1073" t="s">
        <v>1596</v>
      </c>
      <c r="D1073" t="s">
        <v>2478</v>
      </c>
      <c r="E1073" s="1" t="s">
        <v>2479</v>
      </c>
      <c r="F1073">
        <f>VLOOKUP(A1073,Classifications!$A:$E,5,FALSE)</f>
        <v>1</v>
      </c>
      <c r="G1073">
        <f>VLOOKUP(A1073,Classifications!$A:$F,6,FALSE)</f>
        <v>3</v>
      </c>
      <c r="H1073">
        <f>VLOOKUP(A1073,Classifications!$A:$G,7,FALSE)</f>
        <v>41</v>
      </c>
      <c r="I1073" t="s">
        <v>24</v>
      </c>
      <c r="J1073" s="2">
        <v>44210.558680555558</v>
      </c>
    </row>
    <row r="1074" spans="1:10" ht="12.75" customHeight="1" x14ac:dyDescent="0.3">
      <c r="A1074">
        <v>1347096</v>
      </c>
      <c r="B1074" t="s">
        <v>157</v>
      </c>
      <c r="C1074" t="s">
        <v>414</v>
      </c>
      <c r="D1074" t="s">
        <v>2480</v>
      </c>
      <c r="E1074" s="1" t="s">
        <v>2481</v>
      </c>
      <c r="F1074">
        <f>VLOOKUP(A1074,Classifications!$A:$E,5,FALSE)</f>
        <v>1</v>
      </c>
      <c r="G1074">
        <f>VLOOKUP(A1074,Classifications!$A:$F,6,FALSE)</f>
        <v>1</v>
      </c>
      <c r="H1074">
        <f>VLOOKUP(A1074,Classifications!$A:$G,7,FALSE)</f>
        <v>43</v>
      </c>
      <c r="I1074" t="s">
        <v>11</v>
      </c>
      <c r="J1074" s="2">
        <v>44210.55259259259</v>
      </c>
    </row>
    <row r="1075" spans="1:10" ht="12.75" customHeight="1" x14ac:dyDescent="0.3">
      <c r="A1075">
        <v>1347076</v>
      </c>
      <c r="B1075" t="s">
        <v>16</v>
      </c>
      <c r="C1075" t="s">
        <v>2343</v>
      </c>
      <c r="D1075" t="s">
        <v>2344</v>
      </c>
      <c r="E1075" s="1" t="s">
        <v>2482</v>
      </c>
      <c r="F1075">
        <f>VLOOKUP(A1075,Classifications!$A:$E,5,FALSE)</f>
        <v>1</v>
      </c>
      <c r="G1075">
        <f>VLOOKUP(A1075,Classifications!$A:$F,6,FALSE)</f>
        <v>1</v>
      </c>
      <c r="H1075">
        <f>VLOOKUP(A1075,Classifications!$A:$G,7,FALSE)</f>
        <v>43</v>
      </c>
      <c r="I1075" t="s">
        <v>11</v>
      </c>
      <c r="J1075" s="2">
        <v>44210.519872685189</v>
      </c>
    </row>
    <row r="1076" spans="1:10" ht="12.75" customHeight="1" x14ac:dyDescent="0.3">
      <c r="A1076">
        <v>1347069</v>
      </c>
      <c r="B1076" t="s">
        <v>36</v>
      </c>
      <c r="C1076" t="s">
        <v>989</v>
      </c>
      <c r="D1076" t="s">
        <v>2483</v>
      </c>
      <c r="E1076" s="1" t="s">
        <v>2484</v>
      </c>
      <c r="F1076">
        <f>VLOOKUP(A1076,Classifications!$A:$E,5,FALSE)</f>
        <v>1</v>
      </c>
      <c r="G1076">
        <f>VLOOKUP(A1076,Classifications!$A:$F,6,FALSE)</f>
        <v>1</v>
      </c>
      <c r="H1076">
        <f>VLOOKUP(A1076,Classifications!$A:$G,7,FALSE)</f>
        <v>36</v>
      </c>
      <c r="I1076" t="s">
        <v>11</v>
      </c>
      <c r="J1076" s="2">
        <v>44210.498738425929</v>
      </c>
    </row>
    <row r="1077" spans="1:10" ht="12.75" customHeight="1" x14ac:dyDescent="0.3">
      <c r="A1077">
        <v>1347061</v>
      </c>
      <c r="B1077" t="s">
        <v>74</v>
      </c>
      <c r="C1077" t="s">
        <v>1374</v>
      </c>
      <c r="D1077" t="s">
        <v>2485</v>
      </c>
      <c r="E1077" s="1" t="s">
        <v>2486</v>
      </c>
      <c r="F1077">
        <f>VLOOKUP(A1077,Classifications!$A:$E,5,FALSE)</f>
        <v>1</v>
      </c>
      <c r="G1077">
        <f>VLOOKUP(A1077,Classifications!$A:$F,6,FALSE)</f>
        <v>1</v>
      </c>
      <c r="H1077">
        <f>VLOOKUP(A1077,Classifications!$A:$G,7,FALSE)</f>
        <v>36</v>
      </c>
      <c r="I1077" t="s">
        <v>24</v>
      </c>
      <c r="J1077" s="2">
        <v>44210.492881944447</v>
      </c>
    </row>
    <row r="1078" spans="1:10" ht="12.75" customHeight="1" x14ac:dyDescent="0.3">
      <c r="A1078">
        <v>1347055</v>
      </c>
      <c r="B1078" t="s">
        <v>45</v>
      </c>
      <c r="C1078" t="s">
        <v>1743</v>
      </c>
      <c r="D1078" t="s">
        <v>2487</v>
      </c>
      <c r="E1078" s="1" t="s">
        <v>2488</v>
      </c>
      <c r="F1078">
        <f>VLOOKUP(A1078,Classifications!$A:$E,5,FALSE)</f>
        <v>1</v>
      </c>
      <c r="G1078">
        <f>VLOOKUP(A1078,Classifications!$A:$F,6,FALSE)</f>
        <v>2</v>
      </c>
      <c r="H1078">
        <f>VLOOKUP(A1078,Classifications!$A:$G,7,FALSE)</f>
        <v>43</v>
      </c>
      <c r="I1078" t="s">
        <v>11</v>
      </c>
      <c r="J1078" s="2">
        <v>44210.48510416667</v>
      </c>
    </row>
    <row r="1079" spans="1:10" ht="12.75" customHeight="1" x14ac:dyDescent="0.3">
      <c r="A1079">
        <v>1347049</v>
      </c>
      <c r="B1079" t="s">
        <v>614</v>
      </c>
      <c r="C1079" t="s">
        <v>2489</v>
      </c>
      <c r="D1079" t="s">
        <v>2490</v>
      </c>
      <c r="E1079" s="1" t="s">
        <v>2491</v>
      </c>
      <c r="F1079">
        <f>VLOOKUP(A1079,Classifications!$A:$E,5,FALSE)</f>
        <v>1</v>
      </c>
      <c r="G1079">
        <f>VLOOKUP(A1079,Classifications!$A:$F,6,FALSE)</f>
        <v>1</v>
      </c>
      <c r="H1079">
        <f>VLOOKUP(A1079,Classifications!$A:$G,7,FALSE)</f>
        <v>43</v>
      </c>
      <c r="I1079" t="s">
        <v>11</v>
      </c>
      <c r="J1079" s="2">
        <v>44210.477916666663</v>
      </c>
    </row>
    <row r="1080" spans="1:10" ht="12.75" customHeight="1" x14ac:dyDescent="0.3">
      <c r="A1080">
        <v>1347043</v>
      </c>
      <c r="B1080" t="s">
        <v>36</v>
      </c>
      <c r="C1080" t="s">
        <v>752</v>
      </c>
      <c r="D1080" t="s">
        <v>2492</v>
      </c>
      <c r="E1080" s="1" t="s">
        <v>2493</v>
      </c>
      <c r="F1080">
        <f>VLOOKUP(A1080,Classifications!$A:$E,5,FALSE)</f>
        <v>1</v>
      </c>
      <c r="G1080">
        <f>VLOOKUP(A1080,Classifications!$A:$F,6,FALSE)</f>
        <v>1</v>
      </c>
      <c r="H1080">
        <f>VLOOKUP(A1080,Classifications!$A:$G,7,FALSE)</f>
        <v>43</v>
      </c>
      <c r="I1080" t="s">
        <v>24</v>
      </c>
      <c r="J1080" s="2">
        <v>44210.461331018516</v>
      </c>
    </row>
    <row r="1081" spans="1:10" ht="12.75" customHeight="1" x14ac:dyDescent="0.3">
      <c r="A1081">
        <v>1347042</v>
      </c>
      <c r="B1081" t="s">
        <v>118</v>
      </c>
      <c r="C1081" t="s">
        <v>200</v>
      </c>
      <c r="D1081" t="s">
        <v>2494</v>
      </c>
      <c r="E1081" s="1" t="s">
        <v>2495</v>
      </c>
      <c r="F1081">
        <f>VLOOKUP(A1081,Classifications!$A:$E,5,FALSE)</f>
        <v>1</v>
      </c>
      <c r="G1081">
        <f>VLOOKUP(A1081,Classifications!$A:$F,6,FALSE)</f>
        <v>1</v>
      </c>
      <c r="H1081">
        <f>VLOOKUP(A1081,Classifications!$A:$G,7,FALSE)</f>
        <v>36</v>
      </c>
      <c r="I1081" t="s">
        <v>24</v>
      </c>
      <c r="J1081" s="2">
        <v>44210.458784722221</v>
      </c>
    </row>
    <row r="1082" spans="1:10" ht="12.75" customHeight="1" x14ac:dyDescent="0.3">
      <c r="A1082">
        <v>1347032</v>
      </c>
      <c r="B1082" t="s">
        <v>16</v>
      </c>
      <c r="C1082" t="s">
        <v>2496</v>
      </c>
      <c r="D1082" t="s">
        <v>2497</v>
      </c>
      <c r="E1082" s="1" t="s">
        <v>2498</v>
      </c>
      <c r="F1082">
        <f>VLOOKUP(A1082,Classifications!$A:$E,5,FALSE)</f>
        <v>1</v>
      </c>
      <c r="G1082">
        <f>VLOOKUP(A1082,Classifications!$A:$F,6,FALSE)</f>
        <v>1</v>
      </c>
      <c r="H1082">
        <f>VLOOKUP(A1082,Classifications!$A:$G,7,FALSE)</f>
        <v>41</v>
      </c>
      <c r="I1082" t="s">
        <v>11</v>
      </c>
      <c r="J1082" s="2">
        <v>44210.438090277778</v>
      </c>
    </row>
    <row r="1083" spans="1:10" ht="12.75" customHeight="1" x14ac:dyDescent="0.3">
      <c r="A1083">
        <v>1347031</v>
      </c>
      <c r="B1083" t="s">
        <v>87</v>
      </c>
      <c r="C1083" t="s">
        <v>1153</v>
      </c>
      <c r="D1083" t="s">
        <v>2499</v>
      </c>
      <c r="E1083" s="1" t="s">
        <v>2500</v>
      </c>
      <c r="F1083">
        <f>VLOOKUP(A1083,Classifications!$A:$E,5,FALSE)</f>
        <v>1</v>
      </c>
      <c r="G1083">
        <f>VLOOKUP(A1083,Classifications!$A:$F,6,FALSE)</f>
        <v>1</v>
      </c>
      <c r="H1083">
        <f>VLOOKUP(A1083,Classifications!$A:$G,7,FALSE)</f>
        <v>41</v>
      </c>
      <c r="I1083" t="s">
        <v>11</v>
      </c>
      <c r="J1083" s="2">
        <v>44210.435601851852</v>
      </c>
    </row>
    <row r="1084" spans="1:10" ht="12.75" customHeight="1" x14ac:dyDescent="0.3">
      <c r="A1084">
        <v>1347020</v>
      </c>
      <c r="B1084" t="s">
        <v>489</v>
      </c>
      <c r="C1084" t="s">
        <v>2501</v>
      </c>
      <c r="D1084" t="s">
        <v>2502</v>
      </c>
      <c r="E1084" s="1" t="s">
        <v>2503</v>
      </c>
      <c r="F1084">
        <f>VLOOKUP(A1084,Classifications!$A:$E,5,FALSE)</f>
        <v>1</v>
      </c>
      <c r="G1084">
        <f>VLOOKUP(A1084,Classifications!$A:$F,6,FALSE)</f>
        <v>1</v>
      </c>
      <c r="H1084">
        <f>VLOOKUP(A1084,Classifications!$A:$G,7,FALSE)</f>
        <v>36</v>
      </c>
      <c r="I1084" t="s">
        <v>24</v>
      </c>
      <c r="J1084" s="2">
        <v>44210.419062499997</v>
      </c>
    </row>
    <row r="1085" spans="1:10" ht="12.75" customHeight="1" x14ac:dyDescent="0.3">
      <c r="A1085">
        <v>1346993</v>
      </c>
      <c r="B1085" t="s">
        <v>350</v>
      </c>
      <c r="C1085" t="s">
        <v>351</v>
      </c>
      <c r="D1085" t="s">
        <v>2504</v>
      </c>
      <c r="E1085" s="1" t="s">
        <v>2505</v>
      </c>
      <c r="F1085">
        <f>VLOOKUP(A1085,Classifications!$A:$E,5,FALSE)</f>
        <v>1</v>
      </c>
      <c r="G1085">
        <f>VLOOKUP(A1085,Classifications!$A:$F,6,FALSE)</f>
        <v>1</v>
      </c>
      <c r="H1085">
        <f>VLOOKUP(A1085,Classifications!$A:$G,7,FALSE)</f>
        <v>43</v>
      </c>
      <c r="I1085" t="s">
        <v>24</v>
      </c>
      <c r="J1085" s="2">
        <v>44210.416365740741</v>
      </c>
    </row>
    <row r="1086" spans="1:10" ht="12.75" customHeight="1" x14ac:dyDescent="0.3">
      <c r="A1086">
        <v>1346989</v>
      </c>
      <c r="B1086" t="s">
        <v>53</v>
      </c>
      <c r="C1086" t="s">
        <v>54</v>
      </c>
      <c r="D1086" t="s">
        <v>2506</v>
      </c>
      <c r="E1086" s="1" t="s">
        <v>2507</v>
      </c>
      <c r="F1086">
        <f>VLOOKUP(A1086,Classifications!$A:$E,5,FALSE)</f>
        <v>1</v>
      </c>
      <c r="G1086">
        <f>VLOOKUP(A1086,Classifications!$A:$F,6,FALSE)</f>
        <v>1</v>
      </c>
      <c r="H1086">
        <f>VLOOKUP(A1086,Classifications!$A:$G,7,FALSE)</f>
        <v>36</v>
      </c>
      <c r="I1086" t="s">
        <v>11</v>
      </c>
      <c r="J1086" s="2">
        <v>44210.40662037037</v>
      </c>
    </row>
    <row r="1087" spans="1:10" ht="12.75" customHeight="1" x14ac:dyDescent="0.3">
      <c r="A1087">
        <v>1346985</v>
      </c>
      <c r="B1087" t="s">
        <v>95</v>
      </c>
      <c r="C1087" t="s">
        <v>601</v>
      </c>
      <c r="D1087" t="s">
        <v>2508</v>
      </c>
      <c r="E1087" s="1" t="s">
        <v>2509</v>
      </c>
      <c r="F1087">
        <f>VLOOKUP(A1087,Classifications!$A:$E,5,FALSE)</f>
        <v>3</v>
      </c>
      <c r="G1087">
        <f>VLOOKUP(A1087,Classifications!$A:$F,6,FALSE)</f>
        <v>1</v>
      </c>
      <c r="H1087">
        <f>VLOOKUP(A1087,Classifications!$A:$G,7,FALSE)</f>
        <v>43</v>
      </c>
      <c r="I1087" t="s">
        <v>11</v>
      </c>
      <c r="J1087" s="2">
        <v>44210.40289351852</v>
      </c>
    </row>
    <row r="1088" spans="1:10" ht="12.75" customHeight="1" x14ac:dyDescent="0.3">
      <c r="A1088">
        <v>1346980</v>
      </c>
      <c r="B1088" t="s">
        <v>191</v>
      </c>
      <c r="C1088" t="s">
        <v>2510</v>
      </c>
      <c r="D1088" t="s">
        <v>2511</v>
      </c>
      <c r="E1088" s="1" t="s">
        <v>2512</v>
      </c>
      <c r="F1088">
        <f>VLOOKUP(A1088,Classifications!$A:$E,5,FALSE)</f>
        <v>1</v>
      </c>
      <c r="G1088">
        <f>VLOOKUP(A1088,Classifications!$A:$F,6,FALSE)</f>
        <v>1</v>
      </c>
      <c r="H1088">
        <f>VLOOKUP(A1088,Classifications!$A:$G,7,FALSE)</f>
        <v>41</v>
      </c>
      <c r="I1088" t="s">
        <v>11</v>
      </c>
      <c r="J1088" s="2">
        <v>44210.400497685187</v>
      </c>
    </row>
    <row r="1089" spans="1:10" ht="12.75" customHeight="1" x14ac:dyDescent="0.3">
      <c r="A1089">
        <v>1346979</v>
      </c>
      <c r="B1089" t="s">
        <v>45</v>
      </c>
      <c r="C1089" t="s">
        <v>2513</v>
      </c>
      <c r="D1089" t="s">
        <v>2514</v>
      </c>
      <c r="E1089" t="s">
        <v>2515</v>
      </c>
      <c r="F1089">
        <f>VLOOKUP(A1089,Classifications!$A:$E,5,FALSE)</f>
        <v>1</v>
      </c>
      <c r="G1089">
        <f>VLOOKUP(A1089,Classifications!$A:$F,6,FALSE)</f>
        <v>3</v>
      </c>
      <c r="H1089">
        <f>VLOOKUP(A1089,Classifications!$A:$G,7,FALSE)</f>
        <v>41</v>
      </c>
      <c r="I1089" t="s">
        <v>11</v>
      </c>
      <c r="J1089" s="2">
        <v>44210.398587962962</v>
      </c>
    </row>
    <row r="1090" spans="1:10" ht="12.75" customHeight="1" x14ac:dyDescent="0.3">
      <c r="A1090">
        <v>1346976</v>
      </c>
      <c r="B1090" t="s">
        <v>1052</v>
      </c>
      <c r="C1090" t="s">
        <v>1053</v>
      </c>
      <c r="D1090" t="s">
        <v>2516</v>
      </c>
      <c r="E1090" s="1" t="s">
        <v>2517</v>
      </c>
      <c r="F1090">
        <f>VLOOKUP(A1090,Classifications!$A:$E,5,FALSE)</f>
        <v>1</v>
      </c>
      <c r="G1090">
        <f>VLOOKUP(A1090,Classifications!$A:$F,6,FALSE)</f>
        <v>1</v>
      </c>
      <c r="H1090">
        <f>VLOOKUP(A1090,Classifications!$A:$G,7,FALSE)</f>
        <v>43</v>
      </c>
      <c r="I1090" t="s">
        <v>11</v>
      </c>
      <c r="J1090" s="2">
        <v>44210.398217592592</v>
      </c>
    </row>
    <row r="1091" spans="1:10" ht="12.75" customHeight="1" x14ac:dyDescent="0.3">
      <c r="A1091">
        <v>1346972</v>
      </c>
      <c r="B1091" t="s">
        <v>53</v>
      </c>
      <c r="C1091" t="s">
        <v>54</v>
      </c>
      <c r="D1091" t="s">
        <v>2518</v>
      </c>
      <c r="E1091" s="1" t="s">
        <v>2519</v>
      </c>
      <c r="F1091">
        <f>VLOOKUP(A1091,Classifications!$A:$E,5,FALSE)</f>
        <v>1</v>
      </c>
      <c r="G1091">
        <f>VLOOKUP(A1091,Classifications!$A:$F,6,FALSE)</f>
        <v>1</v>
      </c>
      <c r="H1091">
        <f>VLOOKUP(A1091,Classifications!$A:$G,7,FALSE)</f>
        <v>41</v>
      </c>
      <c r="I1091" t="s">
        <v>11</v>
      </c>
      <c r="J1091" s="2">
        <v>44210.390081018515</v>
      </c>
    </row>
    <row r="1092" spans="1:10" ht="12.75" customHeight="1" x14ac:dyDescent="0.3">
      <c r="A1092">
        <v>1346967</v>
      </c>
      <c r="B1092" t="s">
        <v>20</v>
      </c>
      <c r="C1092" t="s">
        <v>136</v>
      </c>
      <c r="D1092" t="s">
        <v>2520</v>
      </c>
      <c r="E1092" s="1" t="s">
        <v>2521</v>
      </c>
      <c r="F1092">
        <f>VLOOKUP(A1092,Classifications!$A:$E,5,FALSE)</f>
        <v>1</v>
      </c>
      <c r="G1092">
        <f>VLOOKUP(A1092,Classifications!$A:$F,6,FALSE)</f>
        <v>1</v>
      </c>
      <c r="H1092">
        <f>VLOOKUP(A1092,Classifications!$A:$G,7,FALSE)</f>
        <v>36</v>
      </c>
      <c r="I1092" t="s">
        <v>11</v>
      </c>
      <c r="J1092" s="2">
        <v>44210.382638888892</v>
      </c>
    </row>
    <row r="1093" spans="1:10" ht="12.75" customHeight="1" x14ac:dyDescent="0.3">
      <c r="A1093">
        <v>1346966</v>
      </c>
      <c r="B1093" t="s">
        <v>32</v>
      </c>
      <c r="C1093" t="s">
        <v>2522</v>
      </c>
      <c r="D1093" t="s">
        <v>2523</v>
      </c>
      <c r="E1093" s="1" t="s">
        <v>2524</v>
      </c>
      <c r="F1093">
        <f>VLOOKUP(A1093,Classifications!$A:$E,5,FALSE)</f>
        <v>2</v>
      </c>
      <c r="G1093">
        <f>VLOOKUP(A1093,Classifications!$A:$F,6,FALSE)</f>
        <v>2</v>
      </c>
      <c r="H1093">
        <f>VLOOKUP(A1093,Classifications!$A:$G,7,FALSE)</f>
        <v>41</v>
      </c>
      <c r="I1093" t="s">
        <v>11</v>
      </c>
      <c r="J1093" s="2">
        <v>44210.382060185184</v>
      </c>
    </row>
    <row r="1094" spans="1:10" ht="12.75" customHeight="1" x14ac:dyDescent="0.3">
      <c r="A1094">
        <v>1346955</v>
      </c>
      <c r="B1094" t="s">
        <v>32</v>
      </c>
      <c r="C1094" t="s">
        <v>2522</v>
      </c>
      <c r="D1094" t="s">
        <v>2525</v>
      </c>
      <c r="E1094" s="1" t="s">
        <v>2526</v>
      </c>
      <c r="F1094">
        <f>VLOOKUP(A1094,Classifications!$A:$E,5,FALSE)</f>
        <v>1</v>
      </c>
      <c r="G1094">
        <f>VLOOKUP(A1094,Classifications!$A:$F,6,FALSE)</f>
        <v>2</v>
      </c>
      <c r="H1094">
        <f>VLOOKUP(A1094,Classifications!$A:$G,7,FALSE)</f>
        <v>41</v>
      </c>
      <c r="I1094" t="s">
        <v>11</v>
      </c>
      <c r="J1094" s="2">
        <v>44210.344375000001</v>
      </c>
    </row>
    <row r="1095" spans="1:10" ht="12.75" customHeight="1" x14ac:dyDescent="0.3">
      <c r="A1095">
        <v>1346947</v>
      </c>
      <c r="B1095" t="s">
        <v>49</v>
      </c>
      <c r="C1095" t="s">
        <v>2527</v>
      </c>
      <c r="D1095" t="s">
        <v>2528</v>
      </c>
      <c r="E1095" s="1" t="s">
        <v>2529</v>
      </c>
      <c r="F1095">
        <f>VLOOKUP(A1095,Classifications!$A:$E,5,FALSE)</f>
        <v>1</v>
      </c>
      <c r="G1095">
        <f>VLOOKUP(A1095,Classifications!$A:$F,6,FALSE)</f>
        <v>1</v>
      </c>
      <c r="H1095">
        <f>VLOOKUP(A1095,Classifications!$A:$G,7,FALSE)</f>
        <v>43</v>
      </c>
      <c r="I1095" t="s">
        <v>11</v>
      </c>
      <c r="J1095" s="2">
        <v>44210.336585648147</v>
      </c>
    </row>
    <row r="1096" spans="1:10" ht="12.75" customHeight="1" x14ac:dyDescent="0.3">
      <c r="A1096">
        <v>1346936</v>
      </c>
      <c r="B1096" t="s">
        <v>401</v>
      </c>
      <c r="C1096" t="s">
        <v>1402</v>
      </c>
      <c r="D1096" t="s">
        <v>2530</v>
      </c>
      <c r="E1096" s="1" t="s">
        <v>2531</v>
      </c>
      <c r="F1096">
        <f>VLOOKUP(A1096,Classifications!$A:$E,5,FALSE)</f>
        <v>1</v>
      </c>
      <c r="G1096">
        <f>VLOOKUP(A1096,Classifications!$A:$F,6,FALSE)</f>
        <v>1</v>
      </c>
      <c r="H1096">
        <f>VLOOKUP(A1096,Classifications!$A:$G,7,FALSE)</f>
        <v>43</v>
      </c>
      <c r="I1096" t="s">
        <v>11</v>
      </c>
      <c r="J1096" s="2">
        <v>44210.329837962963</v>
      </c>
    </row>
    <row r="1097" spans="1:10" ht="12.75" customHeight="1" x14ac:dyDescent="0.3">
      <c r="A1097">
        <v>1346929</v>
      </c>
      <c r="B1097" t="s">
        <v>74</v>
      </c>
      <c r="C1097" t="s">
        <v>1656</v>
      </c>
      <c r="D1097" t="s">
        <v>2532</v>
      </c>
      <c r="E1097" s="1" t="s">
        <v>2533</v>
      </c>
      <c r="F1097">
        <f>VLOOKUP(A1097,Classifications!$A:$E,5,FALSE)</f>
        <v>1</v>
      </c>
      <c r="G1097">
        <f>VLOOKUP(A1097,Classifications!$A:$F,6,FALSE)</f>
        <v>1</v>
      </c>
      <c r="H1097">
        <f>VLOOKUP(A1097,Classifications!$A:$G,7,FALSE)</f>
        <v>43</v>
      </c>
      <c r="I1097" t="s">
        <v>11</v>
      </c>
      <c r="J1097" s="2">
        <v>44210.31722222222</v>
      </c>
    </row>
    <row r="1098" spans="1:10" ht="12.75" customHeight="1" x14ac:dyDescent="0.3">
      <c r="A1098">
        <v>1346925</v>
      </c>
      <c r="B1098" t="s">
        <v>606</v>
      </c>
      <c r="C1098" t="s">
        <v>2534</v>
      </c>
      <c r="D1098" t="s">
        <v>2535</v>
      </c>
      <c r="E1098" s="1" t="s">
        <v>2536</v>
      </c>
      <c r="F1098">
        <f>VLOOKUP(A1098,Classifications!$A:$E,5,FALSE)</f>
        <v>2</v>
      </c>
      <c r="G1098">
        <f>VLOOKUP(A1098,Classifications!$A:$F,6,FALSE)</f>
        <v>2</v>
      </c>
      <c r="H1098">
        <f>VLOOKUP(A1098,Classifications!$A:$G,7,FALSE)</f>
        <v>41</v>
      </c>
      <c r="I1098" t="s">
        <v>11</v>
      </c>
      <c r="J1098" s="2">
        <v>44210.302951388891</v>
      </c>
    </row>
    <row r="1099" spans="1:10" ht="12.75" customHeight="1" x14ac:dyDescent="0.3">
      <c r="A1099">
        <v>1346811</v>
      </c>
      <c r="B1099" t="s">
        <v>2537</v>
      </c>
      <c r="C1099" t="s">
        <v>2538</v>
      </c>
      <c r="D1099" t="s">
        <v>1325</v>
      </c>
      <c r="E1099" s="1" t="s">
        <v>1326</v>
      </c>
      <c r="F1099">
        <f>VLOOKUP(A1099,Classifications!$A:$E,5,FALSE)</f>
        <v>1</v>
      </c>
      <c r="G1099">
        <f>VLOOKUP(A1099,Classifications!$A:$F,6,FALSE)</f>
        <v>1</v>
      </c>
      <c r="H1099">
        <f>VLOOKUP(A1099,Classifications!$A:$G,7,FALSE)</f>
        <v>36</v>
      </c>
      <c r="I1099" t="s">
        <v>1158</v>
      </c>
      <c r="J1099" s="2">
        <v>44210.0000462963</v>
      </c>
    </row>
    <row r="1100" spans="1:10" ht="12.75" customHeight="1" x14ac:dyDescent="0.3">
      <c r="A1100">
        <v>1346810</v>
      </c>
      <c r="B1100" t="s">
        <v>184</v>
      </c>
      <c r="C1100" t="s">
        <v>1428</v>
      </c>
      <c r="D1100" t="s">
        <v>1325</v>
      </c>
      <c r="E1100" s="1" t="s">
        <v>1326</v>
      </c>
      <c r="F1100">
        <f>VLOOKUP(A1100,Classifications!$A:$E,5,FALSE)</f>
        <v>1</v>
      </c>
      <c r="G1100">
        <f>VLOOKUP(A1100,Classifications!$A:$F,6,FALSE)</f>
        <v>1</v>
      </c>
      <c r="H1100">
        <f>VLOOKUP(A1100,Classifications!$A:$G,7,FALSE)</f>
        <v>36</v>
      </c>
      <c r="I1100" t="s">
        <v>1158</v>
      </c>
      <c r="J1100" s="2">
        <v>44210.000034722223</v>
      </c>
    </row>
    <row r="1101" spans="1:10" ht="12.75" customHeight="1" x14ac:dyDescent="0.3">
      <c r="A1101">
        <v>1346809</v>
      </c>
      <c r="B1101" t="s">
        <v>1236</v>
      </c>
      <c r="C1101" t="s">
        <v>1237</v>
      </c>
      <c r="D1101" t="s">
        <v>1429</v>
      </c>
      <c r="E1101" s="1" t="s">
        <v>1160</v>
      </c>
      <c r="F1101">
        <f>VLOOKUP(A1101,Classifications!$A:$E,5,FALSE)</f>
        <v>1</v>
      </c>
      <c r="G1101">
        <f>VLOOKUP(A1101,Classifications!$A:$F,6,FALSE)</f>
        <v>1</v>
      </c>
      <c r="H1101">
        <f>VLOOKUP(A1101,Classifications!$A:$G,7,FALSE)</f>
        <v>36</v>
      </c>
      <c r="I1101" t="s">
        <v>1158</v>
      </c>
      <c r="J1101" s="2">
        <v>44210.000023148146</v>
      </c>
    </row>
    <row r="1102" spans="1:10" ht="12.75" customHeight="1" x14ac:dyDescent="0.3">
      <c r="A1102">
        <v>1346698</v>
      </c>
      <c r="B1102" t="s">
        <v>74</v>
      </c>
      <c r="C1102" t="s">
        <v>75</v>
      </c>
      <c r="D1102" t="s">
        <v>2539</v>
      </c>
      <c r="E1102" s="1" t="s">
        <v>2540</v>
      </c>
      <c r="F1102">
        <f>VLOOKUP(A1102,Classifications!$A:$E,5,FALSE)</f>
        <v>3</v>
      </c>
      <c r="G1102">
        <f>VLOOKUP(A1102,Classifications!$A:$F,6,FALSE)</f>
        <v>1</v>
      </c>
      <c r="H1102">
        <f>VLOOKUP(A1102,Classifications!$A:$G,7,FALSE)</f>
        <v>43</v>
      </c>
      <c r="I1102" t="s">
        <v>11</v>
      </c>
      <c r="J1102" s="2">
        <v>44209.878125000003</v>
      </c>
    </row>
    <row r="1103" spans="1:10" ht="12.75" customHeight="1" x14ac:dyDescent="0.3">
      <c r="A1103">
        <v>1346679</v>
      </c>
      <c r="B1103" t="s">
        <v>36</v>
      </c>
      <c r="C1103" t="s">
        <v>700</v>
      </c>
      <c r="D1103" t="s">
        <v>2541</v>
      </c>
      <c r="E1103" s="1" t="s">
        <v>2542</v>
      </c>
      <c r="F1103">
        <f>VLOOKUP(A1103,Classifications!$A:$E,5,FALSE)</f>
        <v>3</v>
      </c>
      <c r="G1103">
        <f>VLOOKUP(A1103,Classifications!$A:$F,6,FALSE)</f>
        <v>2</v>
      </c>
      <c r="H1103">
        <f>VLOOKUP(A1103,Classifications!$A:$G,7,FALSE)</f>
        <v>43</v>
      </c>
      <c r="I1103" t="s">
        <v>24</v>
      </c>
      <c r="J1103" s="2">
        <v>44209.84851851852</v>
      </c>
    </row>
    <row r="1104" spans="1:10" ht="12.75" customHeight="1" x14ac:dyDescent="0.3">
      <c r="A1104">
        <v>1346659</v>
      </c>
      <c r="B1104" t="s">
        <v>7</v>
      </c>
      <c r="C1104" t="s">
        <v>107</v>
      </c>
      <c r="D1104" t="s">
        <v>2543</v>
      </c>
      <c r="E1104" s="1" t="s">
        <v>2544</v>
      </c>
      <c r="F1104">
        <f>VLOOKUP(A1104,Classifications!$A:$E,5,FALSE)</f>
        <v>1</v>
      </c>
      <c r="G1104">
        <f>VLOOKUP(A1104,Classifications!$A:$F,6,FALSE)</f>
        <v>1</v>
      </c>
      <c r="H1104">
        <f>VLOOKUP(A1104,Classifications!$A:$G,7,FALSE)</f>
        <v>43</v>
      </c>
      <c r="I1104" t="s">
        <v>11</v>
      </c>
      <c r="J1104" s="2">
        <v>44209.824560185189</v>
      </c>
    </row>
    <row r="1105" spans="1:10" ht="12.75" customHeight="1" x14ac:dyDescent="0.3">
      <c r="A1105">
        <v>1346576</v>
      </c>
      <c r="B1105" t="s">
        <v>36</v>
      </c>
      <c r="C1105" t="s">
        <v>752</v>
      </c>
      <c r="D1105" t="s">
        <v>2545</v>
      </c>
      <c r="E1105" s="1" t="s">
        <v>2546</v>
      </c>
      <c r="F1105">
        <f>VLOOKUP(A1105,Classifications!$A:$E,5,FALSE)</f>
        <v>1</v>
      </c>
      <c r="G1105">
        <f>VLOOKUP(A1105,Classifications!$A:$F,6,FALSE)</f>
        <v>1</v>
      </c>
      <c r="H1105">
        <f>VLOOKUP(A1105,Classifications!$A:$G,7,FALSE)</f>
        <v>41</v>
      </c>
      <c r="I1105" t="s">
        <v>24</v>
      </c>
      <c r="J1105" s="2">
        <v>44209.731527777774</v>
      </c>
    </row>
    <row r="1106" spans="1:10" ht="12.75" customHeight="1" x14ac:dyDescent="0.3">
      <c r="A1106">
        <v>1346573</v>
      </c>
      <c r="B1106" t="s">
        <v>177</v>
      </c>
      <c r="C1106" t="s">
        <v>178</v>
      </c>
      <c r="D1106" t="s">
        <v>2547</v>
      </c>
      <c r="E1106" s="1" t="s">
        <v>2548</v>
      </c>
      <c r="F1106">
        <f>VLOOKUP(A1106,Classifications!$A:$E,5,FALSE)</f>
        <v>1</v>
      </c>
      <c r="G1106">
        <f>VLOOKUP(A1106,Classifications!$A:$F,6,FALSE)</f>
        <v>1</v>
      </c>
      <c r="H1106">
        <f>VLOOKUP(A1106,Classifications!$A:$G,7,FALSE)</f>
        <v>36</v>
      </c>
      <c r="I1106" t="s">
        <v>24</v>
      </c>
      <c r="J1106" s="2">
        <v>44209.728194444448</v>
      </c>
    </row>
    <row r="1107" spans="1:10" ht="12.75" customHeight="1" x14ac:dyDescent="0.3">
      <c r="A1107">
        <v>1346561</v>
      </c>
      <c r="B1107" t="s">
        <v>20</v>
      </c>
      <c r="C1107" t="s">
        <v>136</v>
      </c>
      <c r="D1107" t="s">
        <v>2549</v>
      </c>
      <c r="E1107" s="1" t="s">
        <v>2550</v>
      </c>
      <c r="F1107">
        <f>VLOOKUP(A1107,Classifications!$A:$E,5,FALSE)</f>
        <v>1</v>
      </c>
      <c r="G1107">
        <f>VLOOKUP(A1107,Classifications!$A:$F,6,FALSE)</f>
        <v>1</v>
      </c>
      <c r="H1107">
        <f>VLOOKUP(A1107,Classifications!$A:$G,7,FALSE)</f>
        <v>36</v>
      </c>
      <c r="I1107" t="s">
        <v>11</v>
      </c>
      <c r="J1107" s="2">
        <v>44209.710543981484</v>
      </c>
    </row>
    <row r="1108" spans="1:10" ht="12.75" customHeight="1" x14ac:dyDescent="0.3">
      <c r="A1108">
        <v>1346550</v>
      </c>
      <c r="B1108" t="s">
        <v>7</v>
      </c>
      <c r="C1108" t="s">
        <v>158</v>
      </c>
      <c r="D1108" t="s">
        <v>737</v>
      </c>
      <c r="E1108" s="1" t="s">
        <v>2551</v>
      </c>
      <c r="F1108">
        <f>VLOOKUP(A1108,Classifications!$A:$E,5,FALSE)</f>
        <v>1</v>
      </c>
      <c r="G1108">
        <f>VLOOKUP(A1108,Classifications!$A:$F,6,FALSE)</f>
        <v>1</v>
      </c>
      <c r="H1108">
        <f>VLOOKUP(A1108,Classifications!$A:$G,7,FALSE)</f>
        <v>41</v>
      </c>
      <c r="I1108" t="s">
        <v>11</v>
      </c>
      <c r="J1108" s="2">
        <v>44209.69189814815</v>
      </c>
    </row>
    <row r="1109" spans="1:10" ht="12.75" customHeight="1" x14ac:dyDescent="0.3">
      <c r="A1109">
        <v>1346539</v>
      </c>
      <c r="B1109" t="s">
        <v>503</v>
      </c>
      <c r="D1109" t="s">
        <v>2552</v>
      </c>
      <c r="E1109" s="1" t="s">
        <v>2553</v>
      </c>
      <c r="F1109">
        <f>VLOOKUP(A1109,Classifications!$A:$E,5,FALSE)</f>
        <v>1</v>
      </c>
      <c r="G1109">
        <f>VLOOKUP(A1109,Classifications!$A:$F,6,FALSE)</f>
        <v>1</v>
      </c>
      <c r="H1109">
        <f>VLOOKUP(A1109,Classifications!$A:$G,7,FALSE)</f>
        <v>36</v>
      </c>
      <c r="I1109" t="s">
        <v>11</v>
      </c>
      <c r="J1109" s="2">
        <v>44209.664722222224</v>
      </c>
    </row>
    <row r="1110" spans="1:10" ht="12.75" customHeight="1" x14ac:dyDescent="0.3">
      <c r="A1110">
        <v>1346525</v>
      </c>
      <c r="B1110" t="s">
        <v>132</v>
      </c>
      <c r="C1110" t="s">
        <v>1072</v>
      </c>
      <c r="D1110" t="s">
        <v>2554</v>
      </c>
      <c r="E1110" s="1" t="s">
        <v>2555</v>
      </c>
      <c r="F1110">
        <f>VLOOKUP(A1110,Classifications!$A:$E,5,FALSE)</f>
        <v>2</v>
      </c>
      <c r="G1110">
        <f>VLOOKUP(A1110,Classifications!$A:$F,6,FALSE)</f>
        <v>2</v>
      </c>
      <c r="H1110">
        <f>VLOOKUP(A1110,Classifications!$A:$G,7,FALSE)</f>
        <v>41</v>
      </c>
      <c r="I1110" t="s">
        <v>11</v>
      </c>
      <c r="J1110" s="2">
        <v>44209.627962962964</v>
      </c>
    </row>
    <row r="1111" spans="1:10" ht="12.75" customHeight="1" x14ac:dyDescent="0.3">
      <c r="A1111">
        <v>1346518</v>
      </c>
      <c r="B1111" t="s">
        <v>53</v>
      </c>
      <c r="C1111" t="s">
        <v>54</v>
      </c>
      <c r="D1111" t="s">
        <v>2556</v>
      </c>
      <c r="E1111" s="1" t="s">
        <v>2557</v>
      </c>
      <c r="F1111">
        <f>VLOOKUP(A1111,Classifications!$A:$E,5,FALSE)</f>
        <v>1</v>
      </c>
      <c r="G1111">
        <f>VLOOKUP(A1111,Classifications!$A:$F,6,FALSE)</f>
        <v>1</v>
      </c>
      <c r="H1111">
        <f>VLOOKUP(A1111,Classifications!$A:$G,7,FALSE)</f>
        <v>43</v>
      </c>
      <c r="I1111" t="s">
        <v>11</v>
      </c>
      <c r="J1111" s="2">
        <v>44209.619456018518</v>
      </c>
    </row>
    <row r="1112" spans="1:10" ht="12.75" customHeight="1" x14ac:dyDescent="0.3">
      <c r="A1112">
        <v>1346512</v>
      </c>
      <c r="B1112" t="s">
        <v>813</v>
      </c>
      <c r="C1112" t="s">
        <v>814</v>
      </c>
      <c r="D1112" t="s">
        <v>2558</v>
      </c>
      <c r="E1112" s="1" t="s">
        <v>2559</v>
      </c>
      <c r="F1112">
        <f>VLOOKUP(A1112,Classifications!$A:$E,5,FALSE)</f>
        <v>2</v>
      </c>
      <c r="G1112">
        <f>VLOOKUP(A1112,Classifications!$A:$F,6,FALSE)</f>
        <v>2</v>
      </c>
      <c r="H1112">
        <f>VLOOKUP(A1112,Classifications!$A:$G,7,FALSE)</f>
        <v>41</v>
      </c>
      <c r="I1112" t="s">
        <v>24</v>
      </c>
      <c r="J1112" s="2">
        <v>44209.598113425927</v>
      </c>
    </row>
    <row r="1113" spans="1:10" ht="12.75" customHeight="1" x14ac:dyDescent="0.3">
      <c r="A1113">
        <v>1346511</v>
      </c>
      <c r="B1113" t="s">
        <v>503</v>
      </c>
      <c r="D1113" t="s">
        <v>2560</v>
      </c>
      <c r="E1113" s="1" t="s">
        <v>2561</v>
      </c>
      <c r="F1113">
        <f>VLOOKUP(A1113,Classifications!$A:$E,5,FALSE)</f>
        <v>1</v>
      </c>
      <c r="G1113">
        <f>VLOOKUP(A1113,Classifications!$A:$F,6,FALSE)</f>
        <v>1</v>
      </c>
      <c r="H1113">
        <f>VLOOKUP(A1113,Classifications!$A:$G,7,FALSE)</f>
        <v>36</v>
      </c>
      <c r="I1113" t="s">
        <v>11</v>
      </c>
      <c r="J1113" s="2">
        <v>44209.598078703704</v>
      </c>
    </row>
    <row r="1114" spans="1:10" ht="12.75" customHeight="1" x14ac:dyDescent="0.3">
      <c r="A1114">
        <v>1346497</v>
      </c>
      <c r="B1114" t="s">
        <v>36</v>
      </c>
      <c r="C1114" t="s">
        <v>2562</v>
      </c>
      <c r="D1114" t="s">
        <v>2563</v>
      </c>
      <c r="E1114" s="1" t="s">
        <v>2564</v>
      </c>
      <c r="F1114">
        <f>VLOOKUP(A1114,Classifications!$A:$E,5,FALSE)</f>
        <v>3</v>
      </c>
      <c r="G1114">
        <f>VLOOKUP(A1114,Classifications!$A:$F,6,FALSE)</f>
        <v>2</v>
      </c>
      <c r="H1114">
        <f>VLOOKUP(A1114,Classifications!$A:$G,7,FALSE)</f>
        <v>41</v>
      </c>
      <c r="I1114" t="s">
        <v>24</v>
      </c>
      <c r="J1114" s="2">
        <v>44209.576597222222</v>
      </c>
    </row>
    <row r="1115" spans="1:10" ht="12.75" customHeight="1" x14ac:dyDescent="0.3">
      <c r="A1115">
        <v>1346489</v>
      </c>
      <c r="B1115" t="s">
        <v>16</v>
      </c>
      <c r="C1115" t="s">
        <v>649</v>
      </c>
      <c r="D1115" t="s">
        <v>2565</v>
      </c>
      <c r="E1115" s="1" t="s">
        <v>2566</v>
      </c>
      <c r="F1115">
        <f>VLOOKUP(A1115,Classifications!$A:$E,5,FALSE)</f>
        <v>1</v>
      </c>
      <c r="G1115">
        <f>VLOOKUP(A1115,Classifications!$A:$F,6,FALSE)</f>
        <v>1</v>
      </c>
      <c r="H1115">
        <f>VLOOKUP(A1115,Classifications!$A:$G,7,FALSE)</f>
        <v>43</v>
      </c>
      <c r="I1115" t="s">
        <v>11</v>
      </c>
      <c r="J1115" s="2">
        <v>44209.561921296299</v>
      </c>
    </row>
    <row r="1116" spans="1:10" ht="12.75" customHeight="1" x14ac:dyDescent="0.3">
      <c r="A1116">
        <v>1346487</v>
      </c>
      <c r="B1116" t="s">
        <v>20</v>
      </c>
      <c r="C1116" t="s">
        <v>136</v>
      </c>
      <c r="D1116" t="s">
        <v>2567</v>
      </c>
      <c r="E1116" s="1" t="s">
        <v>2568</v>
      </c>
      <c r="F1116">
        <f>VLOOKUP(A1116,Classifications!$A:$E,5,FALSE)</f>
        <v>1</v>
      </c>
      <c r="G1116">
        <f>VLOOKUP(A1116,Classifications!$A:$F,6,FALSE)</f>
        <v>1</v>
      </c>
      <c r="H1116">
        <f>VLOOKUP(A1116,Classifications!$A:$G,7,FALSE)</f>
        <v>43</v>
      </c>
      <c r="I1116" t="s">
        <v>11</v>
      </c>
      <c r="J1116" s="2">
        <v>44209.554594907408</v>
      </c>
    </row>
    <row r="1117" spans="1:10" ht="12.75" customHeight="1" x14ac:dyDescent="0.3">
      <c r="A1117">
        <v>1346482</v>
      </c>
      <c r="B1117" t="s">
        <v>20</v>
      </c>
      <c r="C1117" t="s">
        <v>136</v>
      </c>
      <c r="D1117" t="s">
        <v>2569</v>
      </c>
      <c r="E1117" s="1" t="s">
        <v>2570</v>
      </c>
      <c r="F1117">
        <f>VLOOKUP(A1117,Classifications!$A:$E,5,FALSE)</f>
        <v>3</v>
      </c>
      <c r="G1117">
        <f>VLOOKUP(A1117,Classifications!$A:$F,6,FALSE)</f>
        <v>2</v>
      </c>
      <c r="H1117">
        <f>VLOOKUP(A1117,Classifications!$A:$G,7,FALSE)</f>
        <v>43</v>
      </c>
      <c r="I1117" t="s">
        <v>11</v>
      </c>
      <c r="J1117" s="2">
        <v>44209.547615740739</v>
      </c>
    </row>
    <row r="1118" spans="1:10" ht="12.75" customHeight="1" x14ac:dyDescent="0.3">
      <c r="A1118">
        <v>1346481</v>
      </c>
      <c r="B1118" t="s">
        <v>20</v>
      </c>
      <c r="C1118" t="s">
        <v>84</v>
      </c>
      <c r="D1118" t="s">
        <v>2571</v>
      </c>
      <c r="E1118" s="1" t="s">
        <v>2572</v>
      </c>
      <c r="F1118">
        <f>VLOOKUP(A1118,Classifications!$A:$E,5,FALSE)</f>
        <v>1</v>
      </c>
      <c r="G1118">
        <f>VLOOKUP(A1118,Classifications!$A:$F,6,FALSE)</f>
        <v>1</v>
      </c>
      <c r="H1118">
        <f>VLOOKUP(A1118,Classifications!$A:$G,7,FALSE)</f>
        <v>41</v>
      </c>
      <c r="I1118" t="s">
        <v>11</v>
      </c>
      <c r="J1118" s="2">
        <v>44209.544178240743</v>
      </c>
    </row>
    <row r="1119" spans="1:10" ht="12.75" customHeight="1" x14ac:dyDescent="0.3">
      <c r="A1119">
        <v>1346479</v>
      </c>
      <c r="B1119" t="s">
        <v>16</v>
      </c>
      <c r="C1119" t="s">
        <v>649</v>
      </c>
      <c r="D1119" t="s">
        <v>2573</v>
      </c>
      <c r="E1119" s="1" t="s">
        <v>2574</v>
      </c>
      <c r="F1119">
        <f>VLOOKUP(A1119,Classifications!$A:$E,5,FALSE)</f>
        <v>1</v>
      </c>
      <c r="G1119">
        <f>VLOOKUP(A1119,Classifications!$A:$F,6,FALSE)</f>
        <v>1</v>
      </c>
      <c r="H1119">
        <f>VLOOKUP(A1119,Classifications!$A:$G,7,FALSE)</f>
        <v>43</v>
      </c>
      <c r="I1119" t="s">
        <v>11</v>
      </c>
      <c r="J1119" s="2">
        <v>44209.536076388889</v>
      </c>
    </row>
    <row r="1120" spans="1:10" ht="12.75" customHeight="1" x14ac:dyDescent="0.3">
      <c r="A1120">
        <v>1346475</v>
      </c>
      <c r="B1120" t="s">
        <v>70</v>
      </c>
      <c r="C1120" t="s">
        <v>660</v>
      </c>
      <c r="D1120" t="s">
        <v>2575</v>
      </c>
      <c r="E1120" s="1" t="s">
        <v>2576</v>
      </c>
      <c r="F1120">
        <f>VLOOKUP(A1120,Classifications!$A:$E,5,FALSE)</f>
        <v>3</v>
      </c>
      <c r="G1120">
        <f>VLOOKUP(A1120,Classifications!$A:$F,6,FALSE)</f>
        <v>1</v>
      </c>
      <c r="H1120">
        <f>VLOOKUP(A1120,Classifications!$A:$G,7,FALSE)</f>
        <v>43</v>
      </c>
      <c r="I1120" t="s">
        <v>11</v>
      </c>
      <c r="J1120" s="2">
        <v>44209.527881944443</v>
      </c>
    </row>
    <row r="1121" spans="1:10" ht="12.75" customHeight="1" x14ac:dyDescent="0.3">
      <c r="A1121">
        <v>1346473</v>
      </c>
      <c r="B1121" t="s">
        <v>16</v>
      </c>
      <c r="C1121" t="s">
        <v>649</v>
      </c>
      <c r="D1121" t="s">
        <v>2577</v>
      </c>
      <c r="E1121" s="1" t="s">
        <v>2578</v>
      </c>
      <c r="F1121">
        <f>VLOOKUP(A1121,Classifications!$A:$E,5,FALSE)</f>
        <v>1</v>
      </c>
      <c r="G1121">
        <f>VLOOKUP(A1121,Classifications!$A:$F,6,FALSE)</f>
        <v>1</v>
      </c>
      <c r="H1121">
        <f>VLOOKUP(A1121,Classifications!$A:$G,7,FALSE)</f>
        <v>43</v>
      </c>
      <c r="I1121" t="s">
        <v>11</v>
      </c>
      <c r="J1121" s="2">
        <v>44209.523460648146</v>
      </c>
    </row>
    <row r="1122" spans="1:10" ht="12.75" customHeight="1" x14ac:dyDescent="0.3">
      <c r="A1122">
        <v>1346460</v>
      </c>
      <c r="B1122" t="s">
        <v>545</v>
      </c>
      <c r="C1122" t="s">
        <v>2579</v>
      </c>
      <c r="D1122" t="s">
        <v>2580</v>
      </c>
      <c r="E1122" s="1" t="s">
        <v>2581</v>
      </c>
      <c r="F1122">
        <f>VLOOKUP(A1122,Classifications!$A:$E,5,FALSE)</f>
        <v>2</v>
      </c>
      <c r="G1122">
        <f>VLOOKUP(A1122,Classifications!$A:$F,6,FALSE)</f>
        <v>2</v>
      </c>
      <c r="H1122">
        <f>VLOOKUP(A1122,Classifications!$A:$G,7,FALSE)</f>
        <v>41</v>
      </c>
      <c r="I1122" t="s">
        <v>24</v>
      </c>
      <c r="J1122" s="2">
        <v>44209.488344907404</v>
      </c>
    </row>
    <row r="1123" spans="1:10" ht="12.75" customHeight="1" x14ac:dyDescent="0.3">
      <c r="A1123">
        <v>1346457</v>
      </c>
      <c r="B1123" t="s">
        <v>53</v>
      </c>
      <c r="C1123" t="s">
        <v>2582</v>
      </c>
      <c r="D1123" t="s">
        <v>2583</v>
      </c>
      <c r="E1123" s="1" t="s">
        <v>2584</v>
      </c>
      <c r="F1123">
        <f>VLOOKUP(A1123,Classifications!$A:$E,5,FALSE)</f>
        <v>1</v>
      </c>
      <c r="G1123">
        <f>VLOOKUP(A1123,Classifications!$A:$F,6,FALSE)</f>
        <v>1</v>
      </c>
      <c r="H1123">
        <f>VLOOKUP(A1123,Classifications!$A:$G,7,FALSE)</f>
        <v>41</v>
      </c>
      <c r="I1123" t="s">
        <v>11</v>
      </c>
      <c r="J1123" s="2">
        <v>44209.484722222223</v>
      </c>
    </row>
    <row r="1124" spans="1:10" ht="12.75" customHeight="1" x14ac:dyDescent="0.3">
      <c r="A1124">
        <v>1346453</v>
      </c>
      <c r="B1124" t="s">
        <v>230</v>
      </c>
      <c r="C1124" t="s">
        <v>480</v>
      </c>
      <c r="D1124" t="s">
        <v>2585</v>
      </c>
      <c r="E1124" s="1" t="s">
        <v>2586</v>
      </c>
      <c r="F1124">
        <f>VLOOKUP(A1124,Classifications!$A:$E,5,FALSE)</f>
        <v>1</v>
      </c>
      <c r="G1124">
        <f>VLOOKUP(A1124,Classifications!$A:$F,6,FALSE)</f>
        <v>1</v>
      </c>
      <c r="H1124">
        <f>VLOOKUP(A1124,Classifications!$A:$G,7,FALSE)</f>
        <v>36</v>
      </c>
      <c r="I1124" t="s">
        <v>24</v>
      </c>
      <c r="J1124" s="2">
        <v>44209.46770833333</v>
      </c>
    </row>
    <row r="1125" spans="1:10" ht="12.75" customHeight="1" x14ac:dyDescent="0.3">
      <c r="A1125">
        <v>1346450</v>
      </c>
      <c r="B1125" t="s">
        <v>16</v>
      </c>
      <c r="C1125" t="s">
        <v>649</v>
      </c>
      <c r="D1125" t="s">
        <v>2587</v>
      </c>
      <c r="E1125" s="1" t="s">
        <v>2588</v>
      </c>
      <c r="F1125">
        <f>VLOOKUP(A1125,Classifications!$A:$E,5,FALSE)</f>
        <v>1</v>
      </c>
      <c r="G1125">
        <f>VLOOKUP(A1125,Classifications!$A:$F,6,FALSE)</f>
        <v>1</v>
      </c>
      <c r="H1125">
        <f>VLOOKUP(A1125,Classifications!$A:$G,7,FALSE)</f>
        <v>43</v>
      </c>
      <c r="I1125" t="s">
        <v>11</v>
      </c>
      <c r="J1125" s="2">
        <v>44209.465960648151</v>
      </c>
    </row>
    <row r="1126" spans="1:10" ht="12.75" customHeight="1" x14ac:dyDescent="0.3">
      <c r="A1126">
        <v>1346436</v>
      </c>
      <c r="B1126" t="s">
        <v>401</v>
      </c>
      <c r="C1126" t="s">
        <v>402</v>
      </c>
      <c r="D1126" t="s">
        <v>2589</v>
      </c>
      <c r="E1126" s="1" t="s">
        <v>2590</v>
      </c>
      <c r="F1126">
        <f>VLOOKUP(A1126,Classifications!$A:$E,5,FALSE)</f>
        <v>1</v>
      </c>
      <c r="G1126">
        <f>VLOOKUP(A1126,Classifications!$A:$F,6,FALSE)</f>
        <v>1</v>
      </c>
      <c r="H1126">
        <f>VLOOKUP(A1126,Classifications!$A:$G,7,FALSE)</f>
        <v>36</v>
      </c>
      <c r="I1126" t="s">
        <v>24</v>
      </c>
      <c r="J1126" s="2">
        <v>44209.456585648149</v>
      </c>
    </row>
    <row r="1127" spans="1:10" ht="12.75" customHeight="1" x14ac:dyDescent="0.3">
      <c r="A1127">
        <v>1346424</v>
      </c>
      <c r="B1127" t="s">
        <v>16</v>
      </c>
      <c r="C1127" t="s">
        <v>181</v>
      </c>
      <c r="D1127" t="s">
        <v>2591</v>
      </c>
      <c r="E1127" s="1" t="s">
        <v>2592</v>
      </c>
      <c r="F1127">
        <f>VLOOKUP(A1127,Classifications!$A:$E,5,FALSE)</f>
        <v>1</v>
      </c>
      <c r="G1127">
        <f>VLOOKUP(A1127,Classifications!$A:$F,6,FALSE)</f>
        <v>1</v>
      </c>
      <c r="H1127">
        <f>VLOOKUP(A1127,Classifications!$A:$G,7,FALSE)</f>
        <v>36</v>
      </c>
      <c r="I1127" t="s">
        <v>24</v>
      </c>
      <c r="J1127" s="2">
        <v>44209.438287037039</v>
      </c>
    </row>
    <row r="1128" spans="1:10" ht="12.75" customHeight="1" x14ac:dyDescent="0.3">
      <c r="A1128">
        <v>1346381</v>
      </c>
      <c r="B1128" t="s">
        <v>53</v>
      </c>
      <c r="C1128" t="s">
        <v>54</v>
      </c>
      <c r="D1128" t="s">
        <v>2593</v>
      </c>
      <c r="E1128" s="1" t="s">
        <v>2594</v>
      </c>
      <c r="F1128">
        <f>VLOOKUP(A1128,Classifications!$A:$E,5,FALSE)</f>
        <v>1</v>
      </c>
      <c r="G1128">
        <f>VLOOKUP(A1128,Classifications!$A:$F,6,FALSE)</f>
        <v>3</v>
      </c>
      <c r="H1128">
        <f>VLOOKUP(A1128,Classifications!$A:$G,7,FALSE)</f>
        <v>43</v>
      </c>
      <c r="I1128" t="s">
        <v>11</v>
      </c>
      <c r="J1128" s="2">
        <v>44209.415300925924</v>
      </c>
    </row>
    <row r="1129" spans="1:10" ht="12.75" customHeight="1" x14ac:dyDescent="0.3">
      <c r="A1129">
        <v>1346380</v>
      </c>
      <c r="B1129" t="s">
        <v>934</v>
      </c>
      <c r="C1129" t="s">
        <v>2595</v>
      </c>
      <c r="D1129" t="s">
        <v>2596</v>
      </c>
      <c r="E1129" s="1" t="s">
        <v>2597</v>
      </c>
      <c r="F1129">
        <f>VLOOKUP(A1129,Classifications!$A:$E,5,FALSE)</f>
        <v>2</v>
      </c>
      <c r="G1129">
        <f>VLOOKUP(A1129,Classifications!$A:$F,6,FALSE)</f>
        <v>1</v>
      </c>
      <c r="H1129">
        <f>VLOOKUP(A1129,Classifications!$A:$G,7,FALSE)</f>
        <v>41</v>
      </c>
      <c r="I1129" t="s">
        <v>11</v>
      </c>
      <c r="J1129" s="2">
        <v>44209.415034722224</v>
      </c>
    </row>
    <row r="1130" spans="1:10" ht="12.75" customHeight="1" x14ac:dyDescent="0.3">
      <c r="A1130">
        <v>1346377</v>
      </c>
      <c r="B1130" t="s">
        <v>157</v>
      </c>
      <c r="C1130" t="s">
        <v>627</v>
      </c>
      <c r="D1130" t="s">
        <v>2598</v>
      </c>
      <c r="E1130" s="1" t="s">
        <v>2599</v>
      </c>
      <c r="F1130">
        <f>VLOOKUP(A1130,Classifications!$A:$E,5,FALSE)</f>
        <v>1</v>
      </c>
      <c r="G1130">
        <f>VLOOKUP(A1130,Classifications!$A:$F,6,FALSE)</f>
        <v>2</v>
      </c>
      <c r="H1130">
        <f>VLOOKUP(A1130,Classifications!$A:$G,7,FALSE)</f>
        <v>41</v>
      </c>
      <c r="I1130" t="s">
        <v>24</v>
      </c>
      <c r="J1130" s="2">
        <v>44209.409930555557</v>
      </c>
    </row>
    <row r="1131" spans="1:10" ht="12.75" customHeight="1" x14ac:dyDescent="0.3">
      <c r="A1131">
        <v>1346374</v>
      </c>
      <c r="B1131" t="s">
        <v>2600</v>
      </c>
      <c r="C1131" t="s">
        <v>2601</v>
      </c>
      <c r="D1131" t="s">
        <v>2602</v>
      </c>
      <c r="E1131" s="1" t="s">
        <v>2603</v>
      </c>
      <c r="F1131">
        <f>VLOOKUP(A1131,Classifications!$A:$E,5,FALSE)</f>
        <v>1</v>
      </c>
      <c r="G1131">
        <f>VLOOKUP(A1131,Classifications!$A:$F,6,FALSE)</f>
        <v>1</v>
      </c>
      <c r="H1131">
        <f>VLOOKUP(A1131,Classifications!$A:$G,7,FALSE)</f>
        <v>36</v>
      </c>
      <c r="I1131" t="s">
        <v>11</v>
      </c>
      <c r="J1131" s="2">
        <v>44209.405173611114</v>
      </c>
    </row>
    <row r="1132" spans="1:10" ht="12.75" customHeight="1" x14ac:dyDescent="0.3">
      <c r="A1132">
        <v>1346366</v>
      </c>
      <c r="B1132" t="s">
        <v>32</v>
      </c>
      <c r="C1132" t="s">
        <v>33</v>
      </c>
      <c r="D1132" t="s">
        <v>2604</v>
      </c>
      <c r="E1132" s="1" t="s">
        <v>2605</v>
      </c>
      <c r="F1132">
        <f>VLOOKUP(A1132,Classifications!$A:$E,5,FALSE)</f>
        <v>1</v>
      </c>
      <c r="G1132">
        <f>VLOOKUP(A1132,Classifications!$A:$F,6,FALSE)</f>
        <v>1</v>
      </c>
      <c r="H1132">
        <f>VLOOKUP(A1132,Classifications!$A:$G,7,FALSE)</f>
        <v>43</v>
      </c>
      <c r="I1132" t="s">
        <v>11</v>
      </c>
      <c r="J1132" s="2">
        <v>44209.396087962959</v>
      </c>
    </row>
    <row r="1133" spans="1:10" ht="12.75" customHeight="1" x14ac:dyDescent="0.3">
      <c r="A1133">
        <v>1346359</v>
      </c>
      <c r="B1133" t="s">
        <v>20</v>
      </c>
      <c r="C1133" t="s">
        <v>136</v>
      </c>
      <c r="D1133" t="s">
        <v>2606</v>
      </c>
      <c r="E1133" s="1" t="s">
        <v>2607</v>
      </c>
      <c r="F1133">
        <f>VLOOKUP(A1133,Classifications!$A:$E,5,FALSE)</f>
        <v>1</v>
      </c>
      <c r="G1133">
        <f>VLOOKUP(A1133,Classifications!$A:$F,6,FALSE)</f>
        <v>1</v>
      </c>
      <c r="H1133">
        <f>VLOOKUP(A1133,Classifications!$A:$G,7,FALSE)</f>
        <v>43</v>
      </c>
      <c r="I1133" t="s">
        <v>11</v>
      </c>
      <c r="J1133" s="2">
        <v>44209.363796296297</v>
      </c>
    </row>
    <row r="1134" spans="1:10" ht="12.75" customHeight="1" x14ac:dyDescent="0.3">
      <c r="A1134">
        <v>1346358</v>
      </c>
      <c r="B1134" t="s">
        <v>301</v>
      </c>
      <c r="D1134" t="s">
        <v>2608</v>
      </c>
      <c r="E1134" s="1" t="s">
        <v>2609</v>
      </c>
      <c r="F1134">
        <f>VLOOKUP(A1134,Classifications!$A:$E,5,FALSE)</f>
        <v>1</v>
      </c>
      <c r="G1134">
        <f>VLOOKUP(A1134,Classifications!$A:$F,6,FALSE)</f>
        <v>3</v>
      </c>
      <c r="H1134">
        <f>VLOOKUP(A1134,Classifications!$A:$G,7,FALSE)</f>
        <v>41</v>
      </c>
      <c r="I1134" t="s">
        <v>11</v>
      </c>
      <c r="J1134" s="2">
        <v>44209.363310185188</v>
      </c>
    </row>
    <row r="1135" spans="1:10" ht="12.75" customHeight="1" x14ac:dyDescent="0.3">
      <c r="A1135">
        <v>1346338</v>
      </c>
      <c r="B1135" t="s">
        <v>473</v>
      </c>
      <c r="C1135" t="s">
        <v>1381</v>
      </c>
      <c r="D1135" t="s">
        <v>2610</v>
      </c>
      <c r="E1135" s="1" t="s">
        <v>2611</v>
      </c>
      <c r="F1135">
        <f>VLOOKUP(A1135,Classifications!$A:$E,5,FALSE)</f>
        <v>1</v>
      </c>
      <c r="G1135">
        <f>VLOOKUP(A1135,Classifications!$A:$F,6,FALSE)</f>
        <v>1</v>
      </c>
      <c r="H1135">
        <f>VLOOKUP(A1135,Classifications!$A:$G,7,FALSE)</f>
        <v>41</v>
      </c>
      <c r="I1135" t="s">
        <v>11</v>
      </c>
      <c r="J1135" s="2">
        <v>44209.32571759259</v>
      </c>
    </row>
    <row r="1136" spans="1:10" ht="12.75" customHeight="1" x14ac:dyDescent="0.3">
      <c r="A1136">
        <v>1346244</v>
      </c>
      <c r="B1136" t="s">
        <v>184</v>
      </c>
      <c r="C1136" t="s">
        <v>1069</v>
      </c>
      <c r="D1136" t="s">
        <v>1323</v>
      </c>
      <c r="E1136" t="s">
        <v>1324</v>
      </c>
      <c r="F1136">
        <f>VLOOKUP(A1136,Classifications!$A:$E,5,FALSE)</f>
        <v>1</v>
      </c>
      <c r="G1136">
        <f>VLOOKUP(A1136,Classifications!$A:$F,6,FALSE)</f>
        <v>1</v>
      </c>
      <c r="H1136">
        <f>VLOOKUP(A1136,Classifications!$A:$G,7,FALSE)</f>
        <v>36</v>
      </c>
      <c r="I1136" t="s">
        <v>1158</v>
      </c>
      <c r="J1136" s="2">
        <v>44209.000069444446</v>
      </c>
    </row>
    <row r="1137" spans="1:10" ht="12.75" customHeight="1" x14ac:dyDescent="0.3">
      <c r="A1137">
        <v>1346243</v>
      </c>
      <c r="B1137" t="s">
        <v>184</v>
      </c>
      <c r="C1137" t="s">
        <v>2612</v>
      </c>
      <c r="D1137" t="s">
        <v>2613</v>
      </c>
      <c r="E1137" s="1" t="s">
        <v>2614</v>
      </c>
      <c r="F1137">
        <f>VLOOKUP(A1137,Classifications!$A:$E,5,FALSE)</f>
        <v>1</v>
      </c>
      <c r="G1137">
        <f>VLOOKUP(A1137,Classifications!$A:$F,6,FALSE)</f>
        <v>1</v>
      </c>
      <c r="H1137">
        <f>VLOOKUP(A1137,Classifications!$A:$G,7,FALSE)</f>
        <v>36</v>
      </c>
      <c r="I1137" t="s">
        <v>1158</v>
      </c>
      <c r="J1137" s="2">
        <v>44209.000057870369</v>
      </c>
    </row>
    <row r="1138" spans="1:10" ht="12.75" customHeight="1" x14ac:dyDescent="0.3">
      <c r="A1138">
        <v>1346242</v>
      </c>
      <c r="B1138" t="s">
        <v>606</v>
      </c>
      <c r="C1138" t="s">
        <v>2534</v>
      </c>
      <c r="D1138" t="s">
        <v>1156</v>
      </c>
      <c r="E1138" s="1" t="s">
        <v>1157</v>
      </c>
      <c r="F1138">
        <f>VLOOKUP(A1138,Classifications!$A:$E,5,FALSE)</f>
        <v>1</v>
      </c>
      <c r="G1138">
        <f>VLOOKUP(A1138,Classifications!$A:$F,6,FALSE)</f>
        <v>1</v>
      </c>
      <c r="H1138">
        <f>VLOOKUP(A1138,Classifications!$A:$G,7,FALSE)</f>
        <v>36</v>
      </c>
      <c r="I1138" t="s">
        <v>1158</v>
      </c>
      <c r="J1138" s="2">
        <v>44209.0000462963</v>
      </c>
    </row>
    <row r="1139" spans="1:10" ht="12.75" customHeight="1" x14ac:dyDescent="0.3">
      <c r="A1139">
        <v>1346241</v>
      </c>
      <c r="B1139" t="s">
        <v>1918</v>
      </c>
      <c r="C1139" t="s">
        <v>2615</v>
      </c>
      <c r="D1139" t="s">
        <v>1156</v>
      </c>
      <c r="E1139" s="1" t="s">
        <v>1157</v>
      </c>
      <c r="F1139">
        <f>VLOOKUP(A1139,Classifications!$A:$E,5,FALSE)</f>
        <v>1</v>
      </c>
      <c r="G1139">
        <f>VLOOKUP(A1139,Classifications!$A:$F,6,FALSE)</f>
        <v>1</v>
      </c>
      <c r="H1139">
        <f>VLOOKUP(A1139,Classifications!$A:$G,7,FALSE)</f>
        <v>36</v>
      </c>
      <c r="I1139" t="s">
        <v>1158</v>
      </c>
      <c r="J1139" s="2">
        <v>44209.0000462963</v>
      </c>
    </row>
    <row r="1140" spans="1:10" ht="12.75" customHeight="1" x14ac:dyDescent="0.3">
      <c r="A1140">
        <v>1346240</v>
      </c>
      <c r="B1140" t="s">
        <v>2537</v>
      </c>
      <c r="C1140" t="s">
        <v>2538</v>
      </c>
      <c r="D1140" t="s">
        <v>1156</v>
      </c>
      <c r="E1140" s="1" t="s">
        <v>1157</v>
      </c>
      <c r="F1140">
        <f>VLOOKUP(A1140,Classifications!$A:$E,5,FALSE)</f>
        <v>1</v>
      </c>
      <c r="G1140">
        <f>VLOOKUP(A1140,Classifications!$A:$F,6,FALSE)</f>
        <v>1</v>
      </c>
      <c r="H1140">
        <f>VLOOKUP(A1140,Classifications!$A:$G,7,FALSE)</f>
        <v>36</v>
      </c>
      <c r="I1140" t="s">
        <v>1158</v>
      </c>
      <c r="J1140" s="2">
        <v>44209.000034722223</v>
      </c>
    </row>
    <row r="1141" spans="1:10" ht="12.75" customHeight="1" x14ac:dyDescent="0.3">
      <c r="A1141">
        <v>1346239</v>
      </c>
      <c r="B1141" t="s">
        <v>1639</v>
      </c>
      <c r="C1141" t="s">
        <v>2616</v>
      </c>
      <c r="D1141" t="s">
        <v>1429</v>
      </c>
      <c r="E1141" s="1" t="s">
        <v>1160</v>
      </c>
      <c r="F1141">
        <f>VLOOKUP(A1141,Classifications!$A:$E,5,FALSE)</f>
        <v>1</v>
      </c>
      <c r="G1141">
        <f>VLOOKUP(A1141,Classifications!$A:$F,6,FALSE)</f>
        <v>1</v>
      </c>
      <c r="H1141">
        <f>VLOOKUP(A1141,Classifications!$A:$G,7,FALSE)</f>
        <v>36</v>
      </c>
      <c r="I1141" t="s">
        <v>1158</v>
      </c>
      <c r="J1141" s="2">
        <v>44209.000023148146</v>
      </c>
    </row>
    <row r="1142" spans="1:10" ht="12.75" customHeight="1" x14ac:dyDescent="0.3">
      <c r="A1142">
        <v>1346061</v>
      </c>
      <c r="B1142" t="s">
        <v>545</v>
      </c>
      <c r="C1142" t="s">
        <v>2579</v>
      </c>
      <c r="D1142" t="s">
        <v>2617</v>
      </c>
      <c r="E1142" s="1" t="s">
        <v>2618</v>
      </c>
      <c r="F1142">
        <f>VLOOKUP(A1142,Classifications!$A:$E,5,FALSE)</f>
        <v>1</v>
      </c>
      <c r="G1142">
        <f>VLOOKUP(A1142,Classifications!$A:$F,6,FALSE)</f>
        <v>2</v>
      </c>
      <c r="H1142">
        <f>VLOOKUP(A1142,Classifications!$A:$G,7,FALSE)</f>
        <v>41</v>
      </c>
      <c r="I1142" t="s">
        <v>24</v>
      </c>
      <c r="J1142" s="2">
        <v>44208.796747685185</v>
      </c>
    </row>
    <row r="1143" spans="1:10" ht="12.75" customHeight="1" x14ac:dyDescent="0.3">
      <c r="A1143">
        <v>1345990</v>
      </c>
      <c r="B1143" t="s">
        <v>36</v>
      </c>
      <c r="C1143" t="s">
        <v>2199</v>
      </c>
      <c r="D1143" t="s">
        <v>2619</v>
      </c>
      <c r="E1143" s="1" t="s">
        <v>2620</v>
      </c>
      <c r="F1143">
        <f>VLOOKUP(A1143,Classifications!$A:$E,5,FALSE)</f>
        <v>1</v>
      </c>
      <c r="G1143">
        <f>VLOOKUP(A1143,Classifications!$A:$F,6,FALSE)</f>
        <v>1</v>
      </c>
      <c r="H1143">
        <f>VLOOKUP(A1143,Classifications!$A:$G,7,FALSE)</f>
        <v>36</v>
      </c>
      <c r="I1143" t="s">
        <v>24</v>
      </c>
      <c r="J1143" s="2">
        <v>44208.670127314814</v>
      </c>
    </row>
    <row r="1144" spans="1:10" ht="12.75" customHeight="1" x14ac:dyDescent="0.3">
      <c r="A1144">
        <v>1345987</v>
      </c>
      <c r="B1144" t="s">
        <v>2355</v>
      </c>
      <c r="D1144">
        <v>1345871</v>
      </c>
      <c r="E1144" s="1" t="s">
        <v>2621</v>
      </c>
      <c r="F1144">
        <f>VLOOKUP(A1144,Classifications!$A:$E,5,FALSE)</f>
        <v>1</v>
      </c>
      <c r="G1144">
        <f>VLOOKUP(A1144,Classifications!$A:$F,6,FALSE)</f>
        <v>1</v>
      </c>
      <c r="H1144">
        <f>VLOOKUP(A1144,Classifications!$A:$G,7,FALSE)</f>
        <v>41</v>
      </c>
      <c r="I1144" t="s">
        <v>11</v>
      </c>
      <c r="J1144" s="2">
        <v>44208.66814814815</v>
      </c>
    </row>
    <row r="1145" spans="1:10" ht="12.75" customHeight="1" x14ac:dyDescent="0.3">
      <c r="A1145">
        <v>1345984</v>
      </c>
      <c r="B1145" t="s">
        <v>36</v>
      </c>
      <c r="C1145" t="s">
        <v>2622</v>
      </c>
      <c r="D1145" t="s">
        <v>2623</v>
      </c>
      <c r="E1145" s="1" t="s">
        <v>2624</v>
      </c>
      <c r="F1145">
        <f>VLOOKUP(A1145,Classifications!$A:$E,5,FALSE)</f>
        <v>1</v>
      </c>
      <c r="G1145">
        <f>VLOOKUP(A1145,Classifications!$A:$F,6,FALSE)</f>
        <v>1</v>
      </c>
      <c r="H1145">
        <f>VLOOKUP(A1145,Classifications!$A:$G,7,FALSE)</f>
        <v>43</v>
      </c>
      <c r="I1145" t="s">
        <v>24</v>
      </c>
      <c r="J1145" s="2">
        <v>44208.664143518516</v>
      </c>
    </row>
    <row r="1146" spans="1:10" ht="12.75" customHeight="1" x14ac:dyDescent="0.3">
      <c r="A1146">
        <v>1345983</v>
      </c>
      <c r="B1146" t="s">
        <v>177</v>
      </c>
      <c r="C1146" t="s">
        <v>643</v>
      </c>
      <c r="D1146" t="s">
        <v>2625</v>
      </c>
      <c r="E1146" s="1" t="s">
        <v>2626</v>
      </c>
      <c r="F1146">
        <f>VLOOKUP(A1146,Classifications!$A:$E,5,FALSE)</f>
        <v>1</v>
      </c>
      <c r="G1146">
        <f>VLOOKUP(A1146,Classifications!$A:$F,6,FALSE)</f>
        <v>1</v>
      </c>
      <c r="H1146">
        <f>VLOOKUP(A1146,Classifications!$A:$G,7,FALSE)</f>
        <v>36</v>
      </c>
      <c r="I1146" t="s">
        <v>24</v>
      </c>
      <c r="J1146" s="2">
        <v>44208.663460648146</v>
      </c>
    </row>
    <row r="1147" spans="1:10" ht="12.75" customHeight="1" x14ac:dyDescent="0.3">
      <c r="A1147">
        <v>1345982</v>
      </c>
      <c r="B1147" t="s">
        <v>2627</v>
      </c>
      <c r="C1147" t="s">
        <v>2628</v>
      </c>
      <c r="D1147" t="s">
        <v>2629</v>
      </c>
      <c r="E1147" s="1" t="s">
        <v>2630</v>
      </c>
      <c r="F1147">
        <f>VLOOKUP(A1147,Classifications!$A:$E,5,FALSE)</f>
        <v>1</v>
      </c>
      <c r="G1147">
        <f>VLOOKUP(A1147,Classifications!$A:$F,6,FALSE)</f>
        <v>1</v>
      </c>
      <c r="H1147">
        <f>VLOOKUP(A1147,Classifications!$A:$G,7,FALSE)</f>
        <v>43</v>
      </c>
      <c r="I1147" t="s">
        <v>11</v>
      </c>
      <c r="J1147" s="2">
        <v>44208.662361111114</v>
      </c>
    </row>
    <row r="1148" spans="1:10" ht="12.75" customHeight="1" x14ac:dyDescent="0.3">
      <c r="A1148">
        <v>1345980</v>
      </c>
      <c r="B1148" t="s">
        <v>431</v>
      </c>
      <c r="C1148" t="s">
        <v>432</v>
      </c>
      <c r="D1148" t="s">
        <v>2631</v>
      </c>
      <c r="E1148" s="1" t="s">
        <v>2632</v>
      </c>
      <c r="F1148">
        <f>VLOOKUP(A1148,Classifications!$A:$E,5,FALSE)</f>
        <v>1</v>
      </c>
      <c r="G1148">
        <f>VLOOKUP(A1148,Classifications!$A:$F,6,FALSE)</f>
        <v>1</v>
      </c>
      <c r="H1148">
        <f>VLOOKUP(A1148,Classifications!$A:$G,7,FALSE)</f>
        <v>36</v>
      </c>
      <c r="I1148" t="s">
        <v>11</v>
      </c>
      <c r="J1148" s="2">
        <v>44208.658784722225</v>
      </c>
    </row>
    <row r="1149" spans="1:10" ht="12.75" customHeight="1" x14ac:dyDescent="0.3">
      <c r="A1149">
        <v>1345977</v>
      </c>
      <c r="B1149" t="s">
        <v>503</v>
      </c>
      <c r="D1149" t="s">
        <v>2633</v>
      </c>
      <c r="E1149" s="1" t="s">
        <v>2634</v>
      </c>
      <c r="F1149">
        <f>VLOOKUP(A1149,Classifications!$A:$E,5,FALSE)</f>
        <v>1</v>
      </c>
      <c r="G1149">
        <f>VLOOKUP(A1149,Classifications!$A:$F,6,FALSE)</f>
        <v>1</v>
      </c>
      <c r="H1149">
        <f>VLOOKUP(A1149,Classifications!$A:$G,7,FALSE)</f>
        <v>36</v>
      </c>
      <c r="I1149" t="s">
        <v>11</v>
      </c>
      <c r="J1149" s="2">
        <v>44208.65425925926</v>
      </c>
    </row>
    <row r="1150" spans="1:10" ht="12.75" customHeight="1" x14ac:dyDescent="0.3">
      <c r="A1150">
        <v>1345966</v>
      </c>
      <c r="B1150" t="s">
        <v>2635</v>
      </c>
      <c r="C1150" t="s">
        <v>2636</v>
      </c>
      <c r="D1150" t="s">
        <v>2637</v>
      </c>
      <c r="E1150" s="1" t="s">
        <v>2638</v>
      </c>
      <c r="F1150">
        <f>VLOOKUP(A1150,Classifications!$A:$E,5,FALSE)</f>
        <v>1</v>
      </c>
      <c r="G1150">
        <f>VLOOKUP(A1150,Classifications!$A:$F,6,FALSE)</f>
        <v>1</v>
      </c>
      <c r="H1150">
        <f>VLOOKUP(A1150,Classifications!$A:$G,7,FALSE)</f>
        <v>36</v>
      </c>
      <c r="I1150" t="s">
        <v>11</v>
      </c>
      <c r="J1150" s="2">
        <v>44208.635347222225</v>
      </c>
    </row>
    <row r="1151" spans="1:10" ht="12.75" customHeight="1" x14ac:dyDescent="0.3">
      <c r="A1151">
        <v>1345963</v>
      </c>
      <c r="B1151" t="s">
        <v>20</v>
      </c>
      <c r="C1151" t="s">
        <v>57</v>
      </c>
      <c r="D1151" t="s">
        <v>2639</v>
      </c>
      <c r="E1151" s="1" t="s">
        <v>2640</v>
      </c>
      <c r="F1151">
        <f>VLOOKUP(A1151,Classifications!$A:$E,5,FALSE)</f>
        <v>2</v>
      </c>
      <c r="G1151">
        <f>VLOOKUP(A1151,Classifications!$A:$F,6,FALSE)</f>
        <v>2</v>
      </c>
      <c r="H1151">
        <f>VLOOKUP(A1151,Classifications!$A:$G,7,FALSE)</f>
        <v>43</v>
      </c>
      <c r="I1151" t="s">
        <v>24</v>
      </c>
      <c r="J1151" s="2">
        <v>44208.633287037039</v>
      </c>
    </row>
    <row r="1152" spans="1:10" ht="12.75" customHeight="1" x14ac:dyDescent="0.3">
      <c r="A1152">
        <v>1345946</v>
      </c>
      <c r="B1152" t="s">
        <v>401</v>
      </c>
      <c r="C1152" t="s">
        <v>836</v>
      </c>
      <c r="D1152" t="s">
        <v>2641</v>
      </c>
      <c r="E1152" s="1" t="s">
        <v>2642</v>
      </c>
      <c r="F1152">
        <f>VLOOKUP(A1152,Classifications!$A:$E,5,FALSE)</f>
        <v>1</v>
      </c>
      <c r="G1152">
        <f>VLOOKUP(A1152,Classifications!$A:$F,6,FALSE)</f>
        <v>1</v>
      </c>
      <c r="H1152">
        <f>VLOOKUP(A1152,Classifications!$A:$G,7,FALSE)</f>
        <v>43</v>
      </c>
      <c r="I1152" t="s">
        <v>11</v>
      </c>
      <c r="J1152" s="2">
        <v>44208.620081018518</v>
      </c>
    </row>
    <row r="1153" spans="1:10" ht="12.75" customHeight="1" x14ac:dyDescent="0.3">
      <c r="A1153">
        <v>1345940</v>
      </c>
      <c r="B1153" t="s">
        <v>1052</v>
      </c>
      <c r="C1153" t="s">
        <v>1053</v>
      </c>
      <c r="D1153" t="s">
        <v>2643</v>
      </c>
      <c r="E1153" s="1" t="s">
        <v>2644</v>
      </c>
      <c r="F1153">
        <f>VLOOKUP(A1153,Classifications!$A:$E,5,FALSE)</f>
        <v>1</v>
      </c>
      <c r="G1153">
        <f>VLOOKUP(A1153,Classifications!$A:$F,6,FALSE)</f>
        <v>1</v>
      </c>
      <c r="H1153">
        <f>VLOOKUP(A1153,Classifications!$A:$G,7,FALSE)</f>
        <v>43</v>
      </c>
      <c r="I1153" t="s">
        <v>11</v>
      </c>
      <c r="J1153" s="2">
        <v>44208.618530092594</v>
      </c>
    </row>
    <row r="1154" spans="1:10" ht="12.75" customHeight="1" x14ac:dyDescent="0.3">
      <c r="A1154">
        <v>1345909</v>
      </c>
      <c r="B1154" t="s">
        <v>32</v>
      </c>
      <c r="C1154" t="s">
        <v>940</v>
      </c>
      <c r="D1154" t="s">
        <v>2645</v>
      </c>
      <c r="E1154" s="1" t="s">
        <v>2646</v>
      </c>
      <c r="F1154">
        <f>VLOOKUP(A1154,Classifications!$A:$E,5,FALSE)</f>
        <v>1</v>
      </c>
      <c r="G1154">
        <f>VLOOKUP(A1154,Classifications!$A:$F,6,FALSE)</f>
        <v>1</v>
      </c>
      <c r="H1154">
        <f>VLOOKUP(A1154,Classifications!$A:$G,7,FALSE)</f>
        <v>43</v>
      </c>
      <c r="I1154" t="s">
        <v>11</v>
      </c>
      <c r="J1154" s="2">
        <v>44208.600752314815</v>
      </c>
    </row>
    <row r="1155" spans="1:10" ht="12.75" customHeight="1" x14ac:dyDescent="0.3">
      <c r="A1155">
        <v>1345876</v>
      </c>
      <c r="B1155" t="s">
        <v>20</v>
      </c>
      <c r="C1155" t="s">
        <v>136</v>
      </c>
      <c r="D1155" t="s">
        <v>2647</v>
      </c>
      <c r="E1155" s="1" t="s">
        <v>2648</v>
      </c>
      <c r="F1155">
        <f>VLOOKUP(A1155,Classifications!$A:$E,5,FALSE)</f>
        <v>3</v>
      </c>
      <c r="G1155">
        <f>VLOOKUP(A1155,Classifications!$A:$F,6,FALSE)</f>
        <v>2</v>
      </c>
      <c r="H1155">
        <f>VLOOKUP(A1155,Classifications!$A:$G,7,FALSE)</f>
        <v>43</v>
      </c>
      <c r="I1155" t="s">
        <v>11</v>
      </c>
      <c r="J1155" s="2">
        <v>44208.555266203701</v>
      </c>
    </row>
    <row r="1156" spans="1:10" ht="12.75" customHeight="1" x14ac:dyDescent="0.3">
      <c r="A1156">
        <v>1345875</v>
      </c>
      <c r="B1156" t="s">
        <v>74</v>
      </c>
      <c r="C1156" t="s">
        <v>75</v>
      </c>
      <c r="D1156" t="s">
        <v>2649</v>
      </c>
      <c r="E1156" s="1" t="s">
        <v>2650</v>
      </c>
      <c r="F1156">
        <f>VLOOKUP(A1156,Classifications!$A:$E,5,FALSE)</f>
        <v>2</v>
      </c>
      <c r="G1156">
        <f>VLOOKUP(A1156,Classifications!$A:$F,6,FALSE)</f>
        <v>2</v>
      </c>
      <c r="H1156">
        <f>VLOOKUP(A1156,Classifications!$A:$G,7,FALSE)</f>
        <v>43</v>
      </c>
      <c r="I1156" t="s">
        <v>11</v>
      </c>
      <c r="J1156" s="2">
        <v>44208.5544212963</v>
      </c>
    </row>
    <row r="1157" spans="1:10" ht="12.75" customHeight="1" x14ac:dyDescent="0.3">
      <c r="A1157">
        <v>1345869</v>
      </c>
      <c r="B1157" t="s">
        <v>12</v>
      </c>
      <c r="C1157" t="s">
        <v>2651</v>
      </c>
      <c r="D1157" t="s">
        <v>2652</v>
      </c>
      <c r="E1157" s="1" t="s">
        <v>2653</v>
      </c>
      <c r="F1157">
        <f>VLOOKUP(A1157,Classifications!$A:$E,5,FALSE)</f>
        <v>1</v>
      </c>
      <c r="G1157">
        <f>VLOOKUP(A1157,Classifications!$A:$F,6,FALSE)</f>
        <v>1</v>
      </c>
      <c r="H1157">
        <f>VLOOKUP(A1157,Classifications!$A:$G,7,FALSE)</f>
        <v>41</v>
      </c>
      <c r="I1157" t="s">
        <v>11</v>
      </c>
      <c r="J1157" s="2">
        <v>44208.54414351852</v>
      </c>
    </row>
    <row r="1158" spans="1:10" ht="12.75" customHeight="1" x14ac:dyDescent="0.3">
      <c r="A1158">
        <v>1345864</v>
      </c>
      <c r="B1158" t="s">
        <v>177</v>
      </c>
      <c r="C1158" t="s">
        <v>178</v>
      </c>
      <c r="D1158" t="s">
        <v>2654</v>
      </c>
      <c r="E1158" s="1" t="s">
        <v>2655</v>
      </c>
      <c r="F1158">
        <f>VLOOKUP(A1158,Classifications!$A:$E,5,FALSE)</f>
        <v>1</v>
      </c>
      <c r="G1158">
        <f>VLOOKUP(A1158,Classifications!$A:$F,6,FALSE)</f>
        <v>1</v>
      </c>
      <c r="H1158">
        <f>VLOOKUP(A1158,Classifications!$A:$G,7,FALSE)</f>
        <v>41</v>
      </c>
      <c r="I1158" t="s">
        <v>11</v>
      </c>
      <c r="J1158" s="2">
        <v>44208.53564814815</v>
      </c>
    </row>
    <row r="1159" spans="1:10" ht="12.75" customHeight="1" x14ac:dyDescent="0.3">
      <c r="A1159">
        <v>1345857</v>
      </c>
      <c r="B1159" t="s">
        <v>157</v>
      </c>
      <c r="C1159" t="s">
        <v>1178</v>
      </c>
      <c r="D1159" t="s">
        <v>2656</v>
      </c>
      <c r="E1159" s="1" t="s">
        <v>2657</v>
      </c>
      <c r="F1159">
        <f>VLOOKUP(A1159,Classifications!$A:$E,5,FALSE)</f>
        <v>1</v>
      </c>
      <c r="G1159">
        <f>VLOOKUP(A1159,Classifications!$A:$F,6,FALSE)</f>
        <v>1</v>
      </c>
      <c r="H1159">
        <f>VLOOKUP(A1159,Classifications!$A:$G,7,FALSE)</f>
        <v>43</v>
      </c>
      <c r="I1159" t="s">
        <v>11</v>
      </c>
      <c r="J1159" s="2">
        <v>44208.520208333335</v>
      </c>
    </row>
    <row r="1160" spans="1:10" ht="12.75" customHeight="1" x14ac:dyDescent="0.3">
      <c r="A1160">
        <v>1345841</v>
      </c>
      <c r="B1160" t="s">
        <v>36</v>
      </c>
      <c r="C1160" t="s">
        <v>700</v>
      </c>
      <c r="D1160" t="s">
        <v>2658</v>
      </c>
      <c r="E1160" s="1" t="s">
        <v>2659</v>
      </c>
      <c r="F1160">
        <f>VLOOKUP(A1160,Classifications!$A:$E,5,FALSE)</f>
        <v>1</v>
      </c>
      <c r="G1160">
        <f>VLOOKUP(A1160,Classifications!$A:$F,6,FALSE)</f>
        <v>2</v>
      </c>
      <c r="H1160">
        <f>VLOOKUP(A1160,Classifications!$A:$G,7,FALSE)</f>
        <v>41</v>
      </c>
      <c r="I1160" t="s">
        <v>24</v>
      </c>
      <c r="J1160" s="2">
        <v>44208.473715277774</v>
      </c>
    </row>
    <row r="1161" spans="1:10" ht="12.75" customHeight="1" x14ac:dyDescent="0.3">
      <c r="A1161">
        <v>1345838</v>
      </c>
      <c r="B1161" t="s">
        <v>331</v>
      </c>
      <c r="C1161" t="s">
        <v>332</v>
      </c>
      <c r="D1161" t="s">
        <v>1411</v>
      </c>
      <c r="E1161" s="1" t="s">
        <v>2660</v>
      </c>
      <c r="F1161">
        <f>VLOOKUP(A1161,Classifications!$A:$E,5,FALSE)</f>
        <v>1</v>
      </c>
      <c r="G1161">
        <f>VLOOKUP(A1161,Classifications!$A:$F,6,FALSE)</f>
        <v>1</v>
      </c>
      <c r="H1161">
        <f>VLOOKUP(A1161,Classifications!$A:$G,7,FALSE)</f>
        <v>43</v>
      </c>
      <c r="I1161" t="s">
        <v>11</v>
      </c>
      <c r="J1161" s="2">
        <v>44208.470949074072</v>
      </c>
    </row>
    <row r="1162" spans="1:10" ht="12.75" customHeight="1" x14ac:dyDescent="0.3">
      <c r="A1162">
        <v>1345836</v>
      </c>
      <c r="B1162" t="s">
        <v>53</v>
      </c>
      <c r="C1162" t="s">
        <v>54</v>
      </c>
      <c r="D1162" t="s">
        <v>2661</v>
      </c>
      <c r="E1162" s="1" t="s">
        <v>2662</v>
      </c>
      <c r="F1162">
        <f>VLOOKUP(A1162,Classifications!$A:$E,5,FALSE)</f>
        <v>1</v>
      </c>
      <c r="G1162">
        <f>VLOOKUP(A1162,Classifications!$A:$F,6,FALSE)</f>
        <v>1</v>
      </c>
      <c r="H1162">
        <f>VLOOKUP(A1162,Classifications!$A:$G,7,FALSE)</f>
        <v>43</v>
      </c>
      <c r="I1162" t="s">
        <v>11</v>
      </c>
      <c r="J1162" s="2">
        <v>44208.466921296298</v>
      </c>
    </row>
    <row r="1163" spans="1:10" ht="12.75" customHeight="1" x14ac:dyDescent="0.3">
      <c r="A1163">
        <v>1345834</v>
      </c>
      <c r="B1163" t="s">
        <v>53</v>
      </c>
      <c r="C1163" t="s">
        <v>54</v>
      </c>
      <c r="D1163" t="s">
        <v>2663</v>
      </c>
      <c r="E1163" s="1" t="s">
        <v>2664</v>
      </c>
      <c r="F1163">
        <f>VLOOKUP(A1163,Classifications!$A:$E,5,FALSE)</f>
        <v>1</v>
      </c>
      <c r="G1163">
        <f>VLOOKUP(A1163,Classifications!$A:$F,6,FALSE)</f>
        <v>1</v>
      </c>
      <c r="H1163">
        <f>VLOOKUP(A1163,Classifications!$A:$G,7,FALSE)</f>
        <v>43</v>
      </c>
      <c r="I1163" t="s">
        <v>11</v>
      </c>
      <c r="J1163" s="2">
        <v>44208.465138888889</v>
      </c>
    </row>
    <row r="1164" spans="1:10" ht="12.75" customHeight="1" x14ac:dyDescent="0.3">
      <c r="A1164">
        <v>1345827</v>
      </c>
      <c r="B1164" t="s">
        <v>36</v>
      </c>
      <c r="C1164" t="s">
        <v>578</v>
      </c>
      <c r="D1164" t="s">
        <v>2665</v>
      </c>
      <c r="E1164" s="1" t="s">
        <v>2666</v>
      </c>
      <c r="F1164">
        <f>VLOOKUP(A1164,Classifications!$A:$E,5,FALSE)</f>
        <v>1</v>
      </c>
      <c r="G1164">
        <f>VLOOKUP(A1164,Classifications!$A:$F,6,FALSE)</f>
        <v>2</v>
      </c>
      <c r="H1164">
        <f>VLOOKUP(A1164,Classifications!$A:$G,7,FALSE)</f>
        <v>41</v>
      </c>
      <c r="I1164" t="s">
        <v>24</v>
      </c>
      <c r="J1164" s="2">
        <v>44208.449074074073</v>
      </c>
    </row>
    <row r="1165" spans="1:10" ht="12.75" customHeight="1" x14ac:dyDescent="0.3">
      <c r="A1165">
        <v>1345820</v>
      </c>
      <c r="B1165" t="s">
        <v>16</v>
      </c>
      <c r="C1165" t="s">
        <v>649</v>
      </c>
      <c r="D1165" t="s">
        <v>2667</v>
      </c>
      <c r="E1165" s="1" t="s">
        <v>2668</v>
      </c>
      <c r="F1165">
        <f>VLOOKUP(A1165,Classifications!$A:$E,5,FALSE)</f>
        <v>1</v>
      </c>
      <c r="G1165">
        <f>VLOOKUP(A1165,Classifications!$A:$F,6,FALSE)</f>
        <v>1</v>
      </c>
      <c r="H1165">
        <f>VLOOKUP(A1165,Classifications!$A:$G,7,FALSE)</f>
        <v>43</v>
      </c>
      <c r="I1165" t="s">
        <v>11</v>
      </c>
      <c r="J1165" s="2">
        <v>44208.431296296294</v>
      </c>
    </row>
    <row r="1166" spans="1:10" ht="12.75" customHeight="1" x14ac:dyDescent="0.3">
      <c r="A1166">
        <v>1345819</v>
      </c>
      <c r="B1166" t="s">
        <v>2669</v>
      </c>
      <c r="C1166" t="s">
        <v>2670</v>
      </c>
      <c r="D1166" t="s">
        <v>2671</v>
      </c>
      <c r="E1166" s="1" t="s">
        <v>2672</v>
      </c>
      <c r="F1166">
        <f>VLOOKUP(A1166,Classifications!$A:$E,5,FALSE)</f>
        <v>1</v>
      </c>
      <c r="G1166">
        <f>VLOOKUP(A1166,Classifications!$A:$F,6,FALSE)</f>
        <v>1</v>
      </c>
      <c r="H1166">
        <f>VLOOKUP(A1166,Classifications!$A:$G,7,FALSE)</f>
        <v>36</v>
      </c>
      <c r="I1166" t="s">
        <v>24</v>
      </c>
      <c r="J1166" s="2">
        <v>44208.429629629631</v>
      </c>
    </row>
    <row r="1167" spans="1:10" ht="12.75" customHeight="1" x14ac:dyDescent="0.3">
      <c r="A1167">
        <v>1345818</v>
      </c>
      <c r="B1167" t="s">
        <v>177</v>
      </c>
      <c r="C1167" t="s">
        <v>178</v>
      </c>
      <c r="D1167" t="s">
        <v>2673</v>
      </c>
      <c r="E1167" s="1" t="s">
        <v>2674</v>
      </c>
      <c r="F1167">
        <f>VLOOKUP(A1167,Classifications!$A:$E,5,FALSE)</f>
        <v>1</v>
      </c>
      <c r="G1167">
        <f>VLOOKUP(A1167,Classifications!$A:$F,6,FALSE)</f>
        <v>1</v>
      </c>
      <c r="H1167">
        <f>VLOOKUP(A1167,Classifications!$A:$G,7,FALSE)</f>
        <v>43</v>
      </c>
      <c r="I1167" t="s">
        <v>11</v>
      </c>
      <c r="J1167" s="2">
        <v>44208.429282407407</v>
      </c>
    </row>
    <row r="1168" spans="1:10" ht="12.75" customHeight="1" x14ac:dyDescent="0.3">
      <c r="A1168">
        <v>1345774</v>
      </c>
      <c r="B1168" t="s">
        <v>431</v>
      </c>
      <c r="C1168" t="s">
        <v>432</v>
      </c>
      <c r="D1168" t="s">
        <v>2675</v>
      </c>
      <c r="E1168" s="1" t="s">
        <v>2676</v>
      </c>
      <c r="F1168">
        <f>VLOOKUP(A1168,Classifications!$A:$E,5,FALSE)</f>
        <v>1</v>
      </c>
      <c r="G1168">
        <f>VLOOKUP(A1168,Classifications!$A:$F,6,FALSE)</f>
        <v>2</v>
      </c>
      <c r="H1168">
        <f>VLOOKUP(A1168,Classifications!$A:$G,7,FALSE)</f>
        <v>41</v>
      </c>
      <c r="I1168" t="s">
        <v>11</v>
      </c>
      <c r="J1168" s="2">
        <v>44208.405312499999</v>
      </c>
    </row>
    <row r="1169" spans="1:10" ht="12.75" customHeight="1" x14ac:dyDescent="0.3">
      <c r="A1169">
        <v>1345772</v>
      </c>
      <c r="B1169" t="s">
        <v>53</v>
      </c>
      <c r="C1169" t="s">
        <v>2677</v>
      </c>
      <c r="D1169" t="s">
        <v>2678</v>
      </c>
      <c r="E1169" s="1" t="s">
        <v>2679</v>
      </c>
      <c r="F1169">
        <f>VLOOKUP(A1169,Classifications!$A:$E,5,FALSE)</f>
        <v>2</v>
      </c>
      <c r="G1169">
        <f>VLOOKUP(A1169,Classifications!$A:$F,6,FALSE)</f>
        <v>2</v>
      </c>
      <c r="H1169">
        <f>VLOOKUP(A1169,Classifications!$A:$G,7,FALSE)</f>
        <v>41</v>
      </c>
      <c r="I1169" t="s">
        <v>24</v>
      </c>
      <c r="J1169" s="2">
        <v>44208.404293981483</v>
      </c>
    </row>
    <row r="1170" spans="1:10" ht="12.75" customHeight="1" x14ac:dyDescent="0.3">
      <c r="A1170">
        <v>1345767</v>
      </c>
      <c r="B1170" t="s">
        <v>87</v>
      </c>
      <c r="C1170" t="s">
        <v>997</v>
      </c>
      <c r="D1170" t="s">
        <v>2680</v>
      </c>
      <c r="E1170" s="1" t="s">
        <v>2681</v>
      </c>
      <c r="F1170">
        <f>VLOOKUP(A1170,Classifications!$A:$E,5,FALSE)</f>
        <v>1</v>
      </c>
      <c r="G1170">
        <f>VLOOKUP(A1170,Classifications!$A:$F,6,FALSE)</f>
        <v>1</v>
      </c>
      <c r="H1170">
        <f>VLOOKUP(A1170,Classifications!$A:$G,7,FALSE)</f>
        <v>43</v>
      </c>
      <c r="I1170" t="s">
        <v>11</v>
      </c>
      <c r="J1170" s="2">
        <v>44208.397256944445</v>
      </c>
    </row>
    <row r="1171" spans="1:10" ht="12.75" customHeight="1" x14ac:dyDescent="0.3">
      <c r="A1171">
        <v>1345750</v>
      </c>
      <c r="B1171" t="s">
        <v>2682</v>
      </c>
      <c r="C1171" t="s">
        <v>2683</v>
      </c>
      <c r="D1171" t="s">
        <v>2684</v>
      </c>
      <c r="E1171" s="1" t="s">
        <v>2685</v>
      </c>
      <c r="F1171">
        <f>VLOOKUP(A1171,Classifications!$A:$E,5,FALSE)</f>
        <v>1</v>
      </c>
      <c r="G1171">
        <f>VLOOKUP(A1171,Classifications!$A:$F,6,FALSE)</f>
        <v>1</v>
      </c>
      <c r="H1171">
        <f>VLOOKUP(A1171,Classifications!$A:$G,7,FALSE)</f>
        <v>43</v>
      </c>
      <c r="I1171" t="s">
        <v>11</v>
      </c>
      <c r="J1171" s="2">
        <v>44208.372615740744</v>
      </c>
    </row>
    <row r="1172" spans="1:10" ht="12.75" customHeight="1" x14ac:dyDescent="0.3">
      <c r="A1172">
        <v>1345743</v>
      </c>
      <c r="B1172" t="s">
        <v>606</v>
      </c>
      <c r="C1172" t="s">
        <v>2534</v>
      </c>
      <c r="D1172" t="s">
        <v>2535</v>
      </c>
      <c r="E1172" s="1" t="s">
        <v>2686</v>
      </c>
      <c r="F1172">
        <f>VLOOKUP(A1172,Classifications!$A:$E,5,FALSE)</f>
        <v>2</v>
      </c>
      <c r="G1172">
        <f>VLOOKUP(A1172,Classifications!$A:$F,6,FALSE)</f>
        <v>2</v>
      </c>
      <c r="H1172">
        <f>VLOOKUP(A1172,Classifications!$A:$G,7,FALSE)</f>
        <v>41</v>
      </c>
      <c r="I1172" t="s">
        <v>11</v>
      </c>
      <c r="J1172" s="2">
        <v>44208.353275462963</v>
      </c>
    </row>
    <row r="1173" spans="1:10" ht="12.75" customHeight="1" x14ac:dyDescent="0.3">
      <c r="A1173">
        <v>1345734</v>
      </c>
      <c r="B1173" t="s">
        <v>95</v>
      </c>
      <c r="C1173" t="s">
        <v>668</v>
      </c>
      <c r="D1173" t="s">
        <v>2687</v>
      </c>
      <c r="E1173" s="1" t="s">
        <v>2688</v>
      </c>
      <c r="F1173">
        <f>VLOOKUP(A1173,Classifications!$A:$E,5,FALSE)</f>
        <v>3</v>
      </c>
      <c r="G1173">
        <f>VLOOKUP(A1173,Classifications!$A:$F,6,FALSE)</f>
        <v>1</v>
      </c>
      <c r="H1173">
        <f>VLOOKUP(A1173,Classifications!$A:$G,7,FALSE)</f>
        <v>43</v>
      </c>
      <c r="I1173" t="s">
        <v>11</v>
      </c>
      <c r="J1173" s="2">
        <v>44208.338159722225</v>
      </c>
    </row>
    <row r="1174" spans="1:10" ht="12.75" customHeight="1" x14ac:dyDescent="0.3">
      <c r="A1174">
        <v>1345730</v>
      </c>
      <c r="B1174" t="s">
        <v>7</v>
      </c>
      <c r="C1174" t="s">
        <v>158</v>
      </c>
      <c r="D1174" t="s">
        <v>737</v>
      </c>
      <c r="E1174" s="1" t="s">
        <v>2689</v>
      </c>
      <c r="F1174">
        <f>VLOOKUP(A1174,Classifications!$A:$E,5,FALSE)</f>
        <v>1</v>
      </c>
      <c r="G1174">
        <f>VLOOKUP(A1174,Classifications!$A:$F,6,FALSE)</f>
        <v>1</v>
      </c>
      <c r="H1174">
        <f>VLOOKUP(A1174,Classifications!$A:$G,7,FALSE)</f>
        <v>41</v>
      </c>
      <c r="I1174" t="s">
        <v>11</v>
      </c>
      <c r="J1174" s="2">
        <v>44208.335162037038</v>
      </c>
    </row>
    <row r="1175" spans="1:10" ht="12.75" customHeight="1" x14ac:dyDescent="0.3">
      <c r="A1175">
        <v>1345651</v>
      </c>
      <c r="B1175" t="s">
        <v>431</v>
      </c>
      <c r="C1175" t="s">
        <v>432</v>
      </c>
      <c r="D1175" t="s">
        <v>1323</v>
      </c>
      <c r="E1175" t="s">
        <v>1324</v>
      </c>
      <c r="F1175">
        <f>VLOOKUP(A1175,Classifications!$A:$E,5,FALSE)</f>
        <v>1</v>
      </c>
      <c r="G1175">
        <f>VLOOKUP(A1175,Classifications!$A:$F,6,FALSE)</f>
        <v>1</v>
      </c>
      <c r="H1175">
        <f>VLOOKUP(A1175,Classifications!$A:$G,7,FALSE)</f>
        <v>36</v>
      </c>
      <c r="I1175" t="s">
        <v>1158</v>
      </c>
      <c r="J1175" s="2">
        <v>44208.0000462963</v>
      </c>
    </row>
    <row r="1176" spans="1:10" ht="12.75" customHeight="1" x14ac:dyDescent="0.3">
      <c r="A1176">
        <v>1345650</v>
      </c>
      <c r="B1176" t="s">
        <v>53</v>
      </c>
      <c r="C1176" t="s">
        <v>158</v>
      </c>
      <c r="D1176" t="s">
        <v>1429</v>
      </c>
      <c r="E1176" s="1" t="s">
        <v>1160</v>
      </c>
      <c r="F1176">
        <f>VLOOKUP(A1176,Classifications!$A:$E,5,FALSE)</f>
        <v>1</v>
      </c>
      <c r="G1176">
        <f>VLOOKUP(A1176,Classifications!$A:$F,6,FALSE)</f>
        <v>1</v>
      </c>
      <c r="H1176">
        <f>VLOOKUP(A1176,Classifications!$A:$G,7,FALSE)</f>
        <v>36</v>
      </c>
      <c r="I1176" t="s">
        <v>1158</v>
      </c>
      <c r="J1176" s="2">
        <v>44208.000023148146</v>
      </c>
    </row>
    <row r="1177" spans="1:10" ht="12.75" customHeight="1" x14ac:dyDescent="0.3">
      <c r="A1177">
        <v>1345444</v>
      </c>
      <c r="B1177" t="s">
        <v>53</v>
      </c>
      <c r="C1177" t="s">
        <v>54</v>
      </c>
      <c r="D1177" t="s">
        <v>2690</v>
      </c>
      <c r="E1177" s="1" t="s">
        <v>2691</v>
      </c>
      <c r="F1177">
        <f>VLOOKUP(A1177,Classifications!$A:$E,5,FALSE)</f>
        <v>2</v>
      </c>
      <c r="G1177">
        <f>VLOOKUP(A1177,Classifications!$A:$F,6,FALSE)</f>
        <v>2</v>
      </c>
      <c r="H1177">
        <f>VLOOKUP(A1177,Classifications!$A:$G,7,FALSE)</f>
        <v>43</v>
      </c>
      <c r="I1177" t="s">
        <v>11</v>
      </c>
      <c r="J1177" s="2">
        <v>44207.757268518515</v>
      </c>
    </row>
    <row r="1178" spans="1:10" ht="12.75" customHeight="1" x14ac:dyDescent="0.3">
      <c r="A1178">
        <v>1345410</v>
      </c>
      <c r="B1178" t="s">
        <v>473</v>
      </c>
      <c r="C1178" t="s">
        <v>2692</v>
      </c>
      <c r="D1178" t="s">
        <v>2693</v>
      </c>
      <c r="E1178" s="1" t="s">
        <v>2694</v>
      </c>
      <c r="F1178">
        <f>VLOOKUP(A1178,Classifications!$A:$E,5,FALSE)</f>
        <v>1</v>
      </c>
      <c r="G1178">
        <f>VLOOKUP(A1178,Classifications!$A:$F,6,FALSE)</f>
        <v>2</v>
      </c>
      <c r="H1178">
        <f>VLOOKUP(A1178,Classifications!$A:$G,7,FALSE)</f>
        <v>41</v>
      </c>
      <c r="I1178" t="s">
        <v>11</v>
      </c>
      <c r="J1178" s="2">
        <v>44207.72115740741</v>
      </c>
    </row>
    <row r="1179" spans="1:10" ht="12.75" customHeight="1" x14ac:dyDescent="0.3">
      <c r="A1179">
        <v>1345395</v>
      </c>
      <c r="B1179" t="s">
        <v>1684</v>
      </c>
      <c r="C1179" t="s">
        <v>2695</v>
      </c>
      <c r="D1179" t="s">
        <v>2696</v>
      </c>
      <c r="E1179" s="1" t="s">
        <v>2697</v>
      </c>
      <c r="F1179">
        <f>VLOOKUP(A1179,Classifications!$A:$E,5,FALSE)</f>
        <v>1</v>
      </c>
      <c r="G1179">
        <f>VLOOKUP(A1179,Classifications!$A:$F,6,FALSE)</f>
        <v>1</v>
      </c>
      <c r="H1179">
        <f>VLOOKUP(A1179,Classifications!$A:$G,7,FALSE)</f>
        <v>43</v>
      </c>
      <c r="I1179" t="s">
        <v>11</v>
      </c>
      <c r="J1179" s="2">
        <v>44207.696666666663</v>
      </c>
    </row>
    <row r="1180" spans="1:10" ht="12.75" customHeight="1" x14ac:dyDescent="0.3">
      <c r="A1180">
        <v>1345392</v>
      </c>
      <c r="B1180" t="s">
        <v>350</v>
      </c>
      <c r="C1180" t="s">
        <v>351</v>
      </c>
      <c r="D1180" t="s">
        <v>2698</v>
      </c>
      <c r="E1180" s="1" t="s">
        <v>2699</v>
      </c>
      <c r="F1180">
        <f>VLOOKUP(A1180,Classifications!$A:$E,5,FALSE)</f>
        <v>1</v>
      </c>
      <c r="G1180">
        <f>VLOOKUP(A1180,Classifications!$A:$F,6,FALSE)</f>
        <v>2</v>
      </c>
      <c r="H1180">
        <f>VLOOKUP(A1180,Classifications!$A:$G,7,FALSE)</f>
        <v>43</v>
      </c>
      <c r="I1180" t="s">
        <v>24</v>
      </c>
      <c r="J1180" s="2">
        <v>44207.687974537039</v>
      </c>
    </row>
    <row r="1181" spans="1:10" ht="12.75" customHeight="1" x14ac:dyDescent="0.3">
      <c r="A1181">
        <v>1345385</v>
      </c>
      <c r="B1181" t="s">
        <v>12</v>
      </c>
      <c r="C1181" t="s">
        <v>338</v>
      </c>
      <c r="D1181" t="s">
        <v>2700</v>
      </c>
      <c r="E1181" s="1" t="s">
        <v>2701</v>
      </c>
      <c r="F1181">
        <f>VLOOKUP(A1181,Classifications!$A:$E,5,FALSE)</f>
        <v>1</v>
      </c>
      <c r="G1181">
        <f>VLOOKUP(A1181,Classifications!$A:$F,6,FALSE)</f>
        <v>2</v>
      </c>
      <c r="H1181">
        <f>VLOOKUP(A1181,Classifications!$A:$G,7,FALSE)</f>
        <v>41</v>
      </c>
      <c r="I1181" t="s">
        <v>11</v>
      </c>
      <c r="J1181" s="2">
        <v>44207.673252314817</v>
      </c>
    </row>
    <row r="1182" spans="1:10" ht="12.75" customHeight="1" x14ac:dyDescent="0.3">
      <c r="A1182">
        <v>1345381</v>
      </c>
      <c r="B1182" t="s">
        <v>20</v>
      </c>
      <c r="C1182" t="s">
        <v>1342</v>
      </c>
      <c r="D1182" t="s">
        <v>2702</v>
      </c>
      <c r="E1182" s="1" t="s">
        <v>2703</v>
      </c>
      <c r="F1182">
        <f>VLOOKUP(A1182,Classifications!$A:$E,5,FALSE)</f>
        <v>3</v>
      </c>
      <c r="G1182">
        <f>VLOOKUP(A1182,Classifications!$A:$F,6,FALSE)</f>
        <v>3</v>
      </c>
      <c r="H1182">
        <f>VLOOKUP(A1182,Classifications!$A:$G,7,FALSE)</f>
        <v>41</v>
      </c>
      <c r="I1182" t="s">
        <v>24</v>
      </c>
      <c r="J1182" s="2">
        <v>44207.66909722222</v>
      </c>
    </row>
    <row r="1183" spans="1:10" ht="12.75" customHeight="1" x14ac:dyDescent="0.3">
      <c r="A1183">
        <v>1345368</v>
      </c>
      <c r="B1183" t="s">
        <v>70</v>
      </c>
      <c r="C1183" t="s">
        <v>2704</v>
      </c>
      <c r="D1183" t="s">
        <v>2705</v>
      </c>
      <c r="E1183" s="1" t="s">
        <v>2706</v>
      </c>
      <c r="F1183">
        <f>VLOOKUP(A1183,Classifications!$A:$E,5,FALSE)</f>
        <v>1</v>
      </c>
      <c r="G1183">
        <f>VLOOKUP(A1183,Classifications!$A:$F,6,FALSE)</f>
        <v>1</v>
      </c>
      <c r="H1183">
        <f>VLOOKUP(A1183,Classifications!$A:$G,7,FALSE)</f>
        <v>41</v>
      </c>
      <c r="I1183" t="s">
        <v>11</v>
      </c>
      <c r="J1183" s="2">
        <v>44207.633773148147</v>
      </c>
    </row>
    <row r="1184" spans="1:10" ht="12.75" customHeight="1" x14ac:dyDescent="0.3">
      <c r="A1184">
        <v>1345367</v>
      </c>
      <c r="B1184" t="s">
        <v>45</v>
      </c>
      <c r="C1184" t="s">
        <v>2707</v>
      </c>
      <c r="D1184" t="s">
        <v>2708</v>
      </c>
      <c r="E1184" s="1" t="s">
        <v>2709</v>
      </c>
      <c r="F1184">
        <f>VLOOKUP(A1184,Classifications!$A:$E,5,FALSE)</f>
        <v>1</v>
      </c>
      <c r="G1184">
        <f>VLOOKUP(A1184,Classifications!$A:$F,6,FALSE)</f>
        <v>2</v>
      </c>
      <c r="H1184">
        <f>VLOOKUP(A1184,Classifications!$A:$G,7,FALSE)</f>
        <v>41</v>
      </c>
      <c r="I1184" t="s">
        <v>24</v>
      </c>
      <c r="J1184" s="2">
        <v>44207.633229166669</v>
      </c>
    </row>
    <row r="1185" spans="1:10" ht="12.75" customHeight="1" x14ac:dyDescent="0.3">
      <c r="A1185">
        <v>1345354</v>
      </c>
      <c r="B1185" t="s">
        <v>401</v>
      </c>
      <c r="C1185" t="s">
        <v>836</v>
      </c>
      <c r="D1185" t="s">
        <v>2710</v>
      </c>
      <c r="E1185" s="1" t="s">
        <v>2711</v>
      </c>
      <c r="F1185">
        <f>VLOOKUP(A1185,Classifications!$A:$E,5,FALSE)</f>
        <v>1</v>
      </c>
      <c r="G1185">
        <f>VLOOKUP(A1185,Classifications!$A:$F,6,FALSE)</f>
        <v>1</v>
      </c>
      <c r="H1185">
        <f>VLOOKUP(A1185,Classifications!$A:$G,7,FALSE)</f>
        <v>41</v>
      </c>
      <c r="I1185" t="s">
        <v>11</v>
      </c>
      <c r="J1185" s="2">
        <v>44207.621689814812</v>
      </c>
    </row>
    <row r="1186" spans="1:10" ht="12.75" customHeight="1" x14ac:dyDescent="0.3">
      <c r="A1186">
        <v>1345351</v>
      </c>
      <c r="B1186" t="s">
        <v>16</v>
      </c>
      <c r="C1186" t="s">
        <v>2712</v>
      </c>
      <c r="D1186" t="s">
        <v>2713</v>
      </c>
      <c r="E1186" s="1" t="s">
        <v>2714</v>
      </c>
      <c r="F1186">
        <f>VLOOKUP(A1186,Classifications!$A:$E,5,FALSE)</f>
        <v>1</v>
      </c>
      <c r="G1186">
        <f>VLOOKUP(A1186,Classifications!$A:$F,6,FALSE)</f>
        <v>2</v>
      </c>
      <c r="H1186">
        <f>VLOOKUP(A1186,Classifications!$A:$G,7,FALSE)</f>
        <v>41</v>
      </c>
      <c r="I1186" t="s">
        <v>11</v>
      </c>
      <c r="J1186" s="2">
        <v>44207.612523148149</v>
      </c>
    </row>
    <row r="1187" spans="1:10" ht="12.75" customHeight="1" x14ac:dyDescent="0.3">
      <c r="A1187">
        <v>1345350</v>
      </c>
      <c r="B1187" t="s">
        <v>53</v>
      </c>
      <c r="C1187" t="s">
        <v>54</v>
      </c>
      <c r="D1187" t="s">
        <v>2715</v>
      </c>
      <c r="E1187" s="1" t="s">
        <v>2716</v>
      </c>
      <c r="F1187">
        <f>VLOOKUP(A1187,Classifications!$A:$E,5,FALSE)</f>
        <v>1</v>
      </c>
      <c r="G1187">
        <f>VLOOKUP(A1187,Classifications!$A:$F,6,FALSE)</f>
        <v>1</v>
      </c>
      <c r="H1187">
        <f>VLOOKUP(A1187,Classifications!$A:$G,7,FALSE)</f>
        <v>43</v>
      </c>
      <c r="I1187" t="s">
        <v>11</v>
      </c>
      <c r="J1187" s="2">
        <v>44207.608634259261</v>
      </c>
    </row>
    <row r="1188" spans="1:10" ht="12.75" customHeight="1" x14ac:dyDescent="0.3">
      <c r="A1188">
        <v>1345327</v>
      </c>
      <c r="B1188" t="s">
        <v>74</v>
      </c>
      <c r="C1188" t="s">
        <v>1374</v>
      </c>
      <c r="D1188" t="s">
        <v>2717</v>
      </c>
      <c r="E1188" s="1" t="s">
        <v>2718</v>
      </c>
      <c r="F1188">
        <f>VLOOKUP(A1188,Classifications!$A:$E,5,FALSE)</f>
        <v>2</v>
      </c>
      <c r="G1188">
        <f>VLOOKUP(A1188,Classifications!$A:$F,6,FALSE)</f>
        <v>2</v>
      </c>
      <c r="H1188">
        <f>VLOOKUP(A1188,Classifications!$A:$G,7,FALSE)</f>
        <v>43</v>
      </c>
      <c r="I1188" t="s">
        <v>11</v>
      </c>
      <c r="J1188" s="2">
        <v>44207.579513888886</v>
      </c>
    </row>
    <row r="1189" spans="1:10" ht="12.75" customHeight="1" x14ac:dyDescent="0.3">
      <c r="A1189">
        <v>1345318</v>
      </c>
      <c r="B1189" t="s">
        <v>222</v>
      </c>
      <c r="C1189" t="s">
        <v>681</v>
      </c>
      <c r="D1189" t="s">
        <v>2719</v>
      </c>
      <c r="E1189" s="1" t="s">
        <v>2720</v>
      </c>
      <c r="F1189">
        <f>VLOOKUP(A1189,Classifications!$A:$E,5,FALSE)</f>
        <v>1</v>
      </c>
      <c r="G1189">
        <f>VLOOKUP(A1189,Classifications!$A:$F,6,FALSE)</f>
        <v>1</v>
      </c>
      <c r="H1189">
        <f>VLOOKUP(A1189,Classifications!$A:$G,7,FALSE)</f>
        <v>36</v>
      </c>
      <c r="I1189" t="s">
        <v>24</v>
      </c>
      <c r="J1189" s="2">
        <v>44207.561307870368</v>
      </c>
    </row>
    <row r="1190" spans="1:10" ht="12.75" customHeight="1" x14ac:dyDescent="0.3">
      <c r="A1190">
        <v>1345317</v>
      </c>
      <c r="B1190" t="s">
        <v>503</v>
      </c>
      <c r="D1190" t="s">
        <v>2721</v>
      </c>
      <c r="E1190" s="1" t="s">
        <v>2722</v>
      </c>
      <c r="F1190">
        <f>VLOOKUP(A1190,Classifications!$A:$E,5,FALSE)</f>
        <v>1</v>
      </c>
      <c r="G1190">
        <f>VLOOKUP(A1190,Classifications!$A:$F,6,FALSE)</f>
        <v>1</v>
      </c>
      <c r="H1190">
        <f>VLOOKUP(A1190,Classifications!$A:$G,7,FALSE)</f>
        <v>36</v>
      </c>
      <c r="I1190" t="s">
        <v>11</v>
      </c>
      <c r="J1190" s="2">
        <v>44207.561157407406</v>
      </c>
    </row>
    <row r="1191" spans="1:10" ht="12.75" customHeight="1" x14ac:dyDescent="0.3">
      <c r="A1191">
        <v>1345316</v>
      </c>
      <c r="B1191" t="s">
        <v>2635</v>
      </c>
      <c r="C1191" t="s">
        <v>2636</v>
      </c>
      <c r="D1191" t="s">
        <v>2723</v>
      </c>
      <c r="E1191" s="1" t="s">
        <v>2724</v>
      </c>
      <c r="F1191">
        <f>VLOOKUP(A1191,Classifications!$A:$E,5,FALSE)</f>
        <v>1</v>
      </c>
      <c r="G1191">
        <f>VLOOKUP(A1191,Classifications!$A:$F,6,FALSE)</f>
        <v>1</v>
      </c>
      <c r="H1191">
        <f>VLOOKUP(A1191,Classifications!$A:$G,7,FALSE)</f>
        <v>36</v>
      </c>
      <c r="I1191" t="s">
        <v>11</v>
      </c>
      <c r="J1191" s="2">
        <v>44207.560798611114</v>
      </c>
    </row>
    <row r="1192" spans="1:10" ht="12.75" customHeight="1" x14ac:dyDescent="0.3">
      <c r="A1192">
        <v>1345308</v>
      </c>
      <c r="B1192" t="s">
        <v>12</v>
      </c>
      <c r="C1192" t="s">
        <v>1864</v>
      </c>
      <c r="D1192" t="s">
        <v>2725</v>
      </c>
      <c r="E1192" s="1" t="s">
        <v>2726</v>
      </c>
      <c r="F1192">
        <f>VLOOKUP(A1192,Classifications!$A:$E,5,FALSE)</f>
        <v>1</v>
      </c>
      <c r="G1192">
        <f>VLOOKUP(A1192,Classifications!$A:$F,6,FALSE)</f>
        <v>1</v>
      </c>
      <c r="H1192">
        <f>VLOOKUP(A1192,Classifications!$A:$G,7,FALSE)</f>
        <v>43</v>
      </c>
      <c r="I1192" t="s">
        <v>11</v>
      </c>
      <c r="J1192" s="2">
        <v>44207.545300925929</v>
      </c>
    </row>
    <row r="1193" spans="1:10" ht="12.75" customHeight="1" x14ac:dyDescent="0.3">
      <c r="A1193">
        <v>1345305</v>
      </c>
      <c r="B1193" t="s">
        <v>12</v>
      </c>
      <c r="C1193" t="s">
        <v>2727</v>
      </c>
      <c r="D1193" t="s">
        <v>2728</v>
      </c>
      <c r="E1193" s="1" t="s">
        <v>2729</v>
      </c>
      <c r="F1193">
        <f>VLOOKUP(A1193,Classifications!$A:$E,5,FALSE)</f>
        <v>2</v>
      </c>
      <c r="G1193">
        <f>VLOOKUP(A1193,Classifications!$A:$F,6,FALSE)</f>
        <v>3</v>
      </c>
      <c r="H1193">
        <f>VLOOKUP(A1193,Classifications!$A:$G,7,FALSE)</f>
        <v>41</v>
      </c>
      <c r="I1193" t="s">
        <v>11</v>
      </c>
      <c r="J1193" s="2">
        <v>44207.536076388889</v>
      </c>
    </row>
    <row r="1194" spans="1:10" ht="12.75" customHeight="1" x14ac:dyDescent="0.3">
      <c r="A1194">
        <v>1345295</v>
      </c>
      <c r="B1194" t="s">
        <v>7</v>
      </c>
      <c r="C1194" t="s">
        <v>789</v>
      </c>
      <c r="D1194" t="s">
        <v>2730</v>
      </c>
      <c r="E1194" s="1" t="s">
        <v>2731</v>
      </c>
      <c r="F1194">
        <f>VLOOKUP(A1194,Classifications!$A:$E,5,FALSE)</f>
        <v>1</v>
      </c>
      <c r="G1194">
        <f>VLOOKUP(A1194,Classifications!$A:$F,6,FALSE)</f>
        <v>1</v>
      </c>
      <c r="H1194">
        <f>VLOOKUP(A1194,Classifications!$A:$G,7,FALSE)</f>
        <v>43</v>
      </c>
      <c r="I1194" t="s">
        <v>24</v>
      </c>
      <c r="J1194" s="2">
        <v>44207.508402777778</v>
      </c>
    </row>
    <row r="1195" spans="1:10" ht="12.75" customHeight="1" x14ac:dyDescent="0.3">
      <c r="A1195">
        <v>1345293</v>
      </c>
      <c r="B1195" t="s">
        <v>2732</v>
      </c>
      <c r="C1195" t="s">
        <v>2733</v>
      </c>
      <c r="D1195" t="s">
        <v>2734</v>
      </c>
      <c r="E1195" s="1" t="s">
        <v>2735</v>
      </c>
      <c r="F1195">
        <f>VLOOKUP(A1195,Classifications!$A:$E,5,FALSE)</f>
        <v>1</v>
      </c>
      <c r="G1195">
        <f>VLOOKUP(A1195,Classifications!$A:$F,6,FALSE)</f>
        <v>2</v>
      </c>
      <c r="H1195">
        <f>VLOOKUP(A1195,Classifications!$A:$G,7,FALSE)</f>
        <v>36</v>
      </c>
      <c r="I1195" t="s">
        <v>24</v>
      </c>
      <c r="J1195" s="2">
        <v>44207.507638888892</v>
      </c>
    </row>
    <row r="1196" spans="1:10" ht="12.75" customHeight="1" x14ac:dyDescent="0.3">
      <c r="A1196">
        <v>1345286</v>
      </c>
      <c r="B1196" t="s">
        <v>435</v>
      </c>
      <c r="C1196" t="s">
        <v>436</v>
      </c>
      <c r="D1196" t="s">
        <v>2736</v>
      </c>
      <c r="E1196" s="1" t="s">
        <v>2737</v>
      </c>
      <c r="F1196">
        <f>VLOOKUP(A1196,Classifications!$A:$E,5,FALSE)</f>
        <v>1</v>
      </c>
      <c r="G1196">
        <f>VLOOKUP(A1196,Classifications!$A:$F,6,FALSE)</f>
        <v>1</v>
      </c>
      <c r="H1196">
        <f>VLOOKUP(A1196,Classifications!$A:$G,7,FALSE)</f>
        <v>43</v>
      </c>
      <c r="I1196" t="s">
        <v>11</v>
      </c>
      <c r="J1196" s="2">
        <v>44207.494745370372</v>
      </c>
    </row>
    <row r="1197" spans="1:10" ht="12.75" customHeight="1" x14ac:dyDescent="0.3">
      <c r="A1197">
        <v>1345284</v>
      </c>
      <c r="B1197" t="s">
        <v>12</v>
      </c>
      <c r="C1197" t="s">
        <v>1774</v>
      </c>
      <c r="D1197" t="s">
        <v>2738</v>
      </c>
      <c r="E1197" s="1" t="s">
        <v>2739</v>
      </c>
      <c r="F1197">
        <f>VLOOKUP(A1197,Classifications!$A:$E,5,FALSE)</f>
        <v>1</v>
      </c>
      <c r="G1197">
        <f>VLOOKUP(A1197,Classifications!$A:$F,6,FALSE)</f>
        <v>1</v>
      </c>
      <c r="H1197">
        <f>VLOOKUP(A1197,Classifications!$A:$G,7,FALSE)</f>
        <v>43</v>
      </c>
      <c r="I1197" t="s">
        <v>24</v>
      </c>
      <c r="J1197" s="2">
        <v>44207.481747685182</v>
      </c>
    </row>
    <row r="1198" spans="1:10" ht="12.75" customHeight="1" x14ac:dyDescent="0.3">
      <c r="A1198">
        <v>1345280</v>
      </c>
      <c r="B1198" t="s">
        <v>2740</v>
      </c>
      <c r="C1198" t="s">
        <v>2741</v>
      </c>
      <c r="D1198" t="s">
        <v>2742</v>
      </c>
      <c r="E1198" s="1" t="s">
        <v>2743</v>
      </c>
      <c r="F1198">
        <f>VLOOKUP(A1198,Classifications!$A:$E,5,FALSE)</f>
        <v>1</v>
      </c>
      <c r="G1198">
        <f>VLOOKUP(A1198,Classifications!$A:$F,6,FALSE)</f>
        <v>1</v>
      </c>
      <c r="H1198">
        <f>VLOOKUP(A1198,Classifications!$A:$G,7,FALSE)</f>
        <v>36</v>
      </c>
      <c r="I1198" t="s">
        <v>24</v>
      </c>
      <c r="J1198" s="2">
        <v>44207.478541666664</v>
      </c>
    </row>
    <row r="1199" spans="1:10" ht="12.75" customHeight="1" x14ac:dyDescent="0.3">
      <c r="A1199">
        <v>1345274</v>
      </c>
      <c r="B1199" t="s">
        <v>2744</v>
      </c>
      <c r="C1199" t="s">
        <v>2745</v>
      </c>
      <c r="D1199" t="s">
        <v>2746</v>
      </c>
      <c r="E1199" s="1" t="s">
        <v>2747</v>
      </c>
      <c r="F1199">
        <f>VLOOKUP(A1199,Classifications!$A:$E,5,FALSE)</f>
        <v>1</v>
      </c>
      <c r="G1199">
        <f>VLOOKUP(A1199,Classifications!$A:$F,6,FALSE)</f>
        <v>1</v>
      </c>
      <c r="H1199">
        <f>VLOOKUP(A1199,Classifications!$A:$G,7,FALSE)</f>
        <v>43</v>
      </c>
      <c r="I1199" t="s">
        <v>24</v>
      </c>
      <c r="J1199" s="2">
        <v>44207.469780092593</v>
      </c>
    </row>
    <row r="1200" spans="1:10" ht="12.75" customHeight="1" x14ac:dyDescent="0.3">
      <c r="A1200">
        <v>1345265</v>
      </c>
      <c r="B1200" t="s">
        <v>7</v>
      </c>
      <c r="C1200" t="s">
        <v>158</v>
      </c>
      <c r="D1200" t="s">
        <v>737</v>
      </c>
      <c r="E1200" s="1" t="s">
        <v>2748</v>
      </c>
      <c r="F1200">
        <f>VLOOKUP(A1200,Classifications!$A:$E,5,FALSE)</f>
        <v>1</v>
      </c>
      <c r="G1200">
        <f>VLOOKUP(A1200,Classifications!$A:$F,6,FALSE)</f>
        <v>1</v>
      </c>
      <c r="H1200">
        <f>VLOOKUP(A1200,Classifications!$A:$G,7,FALSE)</f>
        <v>41</v>
      </c>
      <c r="I1200" t="s">
        <v>11</v>
      </c>
      <c r="J1200" s="2">
        <v>44207.454432870371</v>
      </c>
    </row>
    <row r="1201" spans="1:10" ht="12.75" customHeight="1" x14ac:dyDescent="0.3">
      <c r="A1201">
        <v>1345256</v>
      </c>
      <c r="B1201" t="s">
        <v>16</v>
      </c>
      <c r="C1201" t="s">
        <v>2749</v>
      </c>
      <c r="D1201" t="s">
        <v>2750</v>
      </c>
      <c r="E1201" s="1" t="s">
        <v>2751</v>
      </c>
      <c r="F1201">
        <f>VLOOKUP(A1201,Classifications!$A:$E,5,FALSE)</f>
        <v>1</v>
      </c>
      <c r="G1201">
        <f>VLOOKUP(A1201,Classifications!$A:$F,6,FALSE)</f>
        <v>1</v>
      </c>
      <c r="H1201">
        <f>VLOOKUP(A1201,Classifications!$A:$G,7,FALSE)</f>
        <v>41</v>
      </c>
      <c r="I1201" t="s">
        <v>11</v>
      </c>
      <c r="J1201" s="2">
        <v>44207.437326388892</v>
      </c>
    </row>
    <row r="1202" spans="1:10" ht="12.75" customHeight="1" x14ac:dyDescent="0.3">
      <c r="A1202">
        <v>1345242</v>
      </c>
      <c r="B1202" t="s">
        <v>7</v>
      </c>
      <c r="C1202" t="s">
        <v>158</v>
      </c>
      <c r="D1202" t="s">
        <v>737</v>
      </c>
      <c r="E1202" s="1" t="s">
        <v>2752</v>
      </c>
      <c r="F1202">
        <f>VLOOKUP(A1202,Classifications!$A:$E,5,FALSE)</f>
        <v>1</v>
      </c>
      <c r="G1202">
        <f>VLOOKUP(A1202,Classifications!$A:$F,6,FALSE)</f>
        <v>1</v>
      </c>
      <c r="H1202">
        <f>VLOOKUP(A1202,Classifications!$A:$G,7,FALSE)</f>
        <v>41</v>
      </c>
      <c r="I1202" t="s">
        <v>11</v>
      </c>
      <c r="J1202" s="2">
        <v>44207.423206018517</v>
      </c>
    </row>
    <row r="1203" spans="1:10" ht="12.75" customHeight="1" x14ac:dyDescent="0.3">
      <c r="A1203">
        <v>1345241</v>
      </c>
      <c r="B1203" t="s">
        <v>36</v>
      </c>
      <c r="C1203" t="s">
        <v>343</v>
      </c>
      <c r="D1203" t="s">
        <v>2753</v>
      </c>
      <c r="E1203" s="1" t="s">
        <v>2754</v>
      </c>
      <c r="F1203">
        <f>VLOOKUP(A1203,Classifications!$A:$E,5,FALSE)</f>
        <v>1</v>
      </c>
      <c r="G1203">
        <f>VLOOKUP(A1203,Classifications!$A:$F,6,FALSE)</f>
        <v>1</v>
      </c>
      <c r="H1203">
        <f>VLOOKUP(A1203,Classifications!$A:$G,7,FALSE)</f>
        <v>43</v>
      </c>
      <c r="I1203" t="s">
        <v>24</v>
      </c>
      <c r="J1203" s="2">
        <v>44207.423078703701</v>
      </c>
    </row>
    <row r="1204" spans="1:10" ht="12.75" customHeight="1" x14ac:dyDescent="0.3">
      <c r="A1204">
        <v>1345239</v>
      </c>
      <c r="B1204" t="s">
        <v>1052</v>
      </c>
      <c r="C1204" t="s">
        <v>2755</v>
      </c>
      <c r="D1204" t="s">
        <v>2756</v>
      </c>
      <c r="E1204" s="1" t="s">
        <v>2757</v>
      </c>
      <c r="F1204">
        <f>VLOOKUP(A1204,Classifications!$A:$E,5,FALSE)</f>
        <v>1</v>
      </c>
      <c r="G1204">
        <f>VLOOKUP(A1204,Classifications!$A:$F,6,FALSE)</f>
        <v>1</v>
      </c>
      <c r="H1204">
        <f>VLOOKUP(A1204,Classifications!$A:$G,7,FALSE)</f>
        <v>36</v>
      </c>
      <c r="I1204" t="s">
        <v>24</v>
      </c>
      <c r="J1204" s="2">
        <v>44207.420393518521</v>
      </c>
    </row>
    <row r="1205" spans="1:10" ht="12.75" customHeight="1" x14ac:dyDescent="0.3">
      <c r="A1205">
        <v>1345208</v>
      </c>
      <c r="B1205" t="s">
        <v>16</v>
      </c>
      <c r="C1205" t="s">
        <v>2758</v>
      </c>
      <c r="D1205" t="s">
        <v>2759</v>
      </c>
      <c r="E1205" s="1" t="s">
        <v>2760</v>
      </c>
      <c r="F1205">
        <f>VLOOKUP(A1205,Classifications!$A:$E,5,FALSE)</f>
        <v>1</v>
      </c>
      <c r="G1205">
        <f>VLOOKUP(A1205,Classifications!$A:$F,6,FALSE)</f>
        <v>1</v>
      </c>
      <c r="H1205">
        <f>VLOOKUP(A1205,Classifications!$A:$G,7,FALSE)</f>
        <v>43</v>
      </c>
      <c r="I1205" t="s">
        <v>11</v>
      </c>
      <c r="J1205" s="2">
        <v>44207.411446759259</v>
      </c>
    </row>
    <row r="1206" spans="1:10" ht="12.75" customHeight="1" x14ac:dyDescent="0.3">
      <c r="A1206">
        <v>1345207</v>
      </c>
      <c r="B1206" t="s">
        <v>852</v>
      </c>
      <c r="C1206" t="s">
        <v>853</v>
      </c>
      <c r="D1206" t="s">
        <v>2761</v>
      </c>
      <c r="E1206" s="1" t="s">
        <v>2762</v>
      </c>
      <c r="F1206">
        <f>VLOOKUP(A1206,Classifications!$A:$E,5,FALSE)</f>
        <v>1</v>
      </c>
      <c r="G1206">
        <f>VLOOKUP(A1206,Classifications!$A:$F,6,FALSE)</f>
        <v>1</v>
      </c>
      <c r="H1206">
        <f>VLOOKUP(A1206,Classifications!$A:$G,7,FALSE)</f>
        <v>43</v>
      </c>
      <c r="I1206" t="s">
        <v>11</v>
      </c>
      <c r="J1206" s="2">
        <v>44207.411319444444</v>
      </c>
    </row>
    <row r="1207" spans="1:10" ht="12.75" customHeight="1" x14ac:dyDescent="0.3">
      <c r="A1207">
        <v>1345203</v>
      </c>
      <c r="B1207" t="s">
        <v>16</v>
      </c>
      <c r="C1207" t="s">
        <v>2758</v>
      </c>
      <c r="D1207" t="s">
        <v>2763</v>
      </c>
      <c r="E1207" s="1" t="s">
        <v>2760</v>
      </c>
      <c r="F1207">
        <f>VLOOKUP(A1207,Classifications!$A:$E,5,FALSE)</f>
        <v>1</v>
      </c>
      <c r="G1207">
        <f>VLOOKUP(A1207,Classifications!$A:$F,6,FALSE)</f>
        <v>1</v>
      </c>
      <c r="H1207">
        <f>VLOOKUP(A1207,Classifications!$A:$G,7,FALSE)</f>
        <v>43</v>
      </c>
      <c r="I1207" t="s">
        <v>11</v>
      </c>
      <c r="J1207" s="2">
        <v>44207.405023148145</v>
      </c>
    </row>
    <row r="1208" spans="1:10" ht="12.75" customHeight="1" x14ac:dyDescent="0.3">
      <c r="A1208">
        <v>1345195</v>
      </c>
      <c r="B1208" t="s">
        <v>540</v>
      </c>
      <c r="C1208" t="s">
        <v>2764</v>
      </c>
      <c r="D1208" t="s">
        <v>2765</v>
      </c>
      <c r="E1208" s="1" t="s">
        <v>2766</v>
      </c>
      <c r="F1208">
        <f>VLOOKUP(A1208,Classifications!$A:$E,5,FALSE)</f>
        <v>1</v>
      </c>
      <c r="G1208">
        <f>VLOOKUP(A1208,Classifications!$A:$F,6,FALSE)</f>
        <v>1</v>
      </c>
      <c r="H1208">
        <f>VLOOKUP(A1208,Classifications!$A:$G,7,FALSE)</f>
        <v>36</v>
      </c>
      <c r="I1208" t="s">
        <v>24</v>
      </c>
      <c r="J1208" s="2">
        <v>44207.397268518522</v>
      </c>
    </row>
    <row r="1209" spans="1:10" ht="12.75" customHeight="1" x14ac:dyDescent="0.3">
      <c r="A1209">
        <v>1345191</v>
      </c>
      <c r="B1209" t="s">
        <v>191</v>
      </c>
      <c r="C1209" t="s">
        <v>192</v>
      </c>
      <c r="D1209" t="s">
        <v>2767</v>
      </c>
      <c r="E1209" s="1" t="s">
        <v>2768</v>
      </c>
      <c r="F1209">
        <f>VLOOKUP(A1209,Classifications!$A:$E,5,FALSE)</f>
        <v>1</v>
      </c>
      <c r="G1209">
        <f>VLOOKUP(A1209,Classifications!$A:$F,6,FALSE)</f>
        <v>1</v>
      </c>
      <c r="H1209">
        <f>VLOOKUP(A1209,Classifications!$A:$G,7,FALSE)</f>
        <v>43</v>
      </c>
      <c r="I1209" t="s">
        <v>11</v>
      </c>
      <c r="J1209" s="2">
        <v>44207.388287037036</v>
      </c>
    </row>
    <row r="1210" spans="1:10" ht="12.75" customHeight="1" x14ac:dyDescent="0.3">
      <c r="A1210">
        <v>1345175</v>
      </c>
      <c r="B1210" t="s">
        <v>473</v>
      </c>
      <c r="C1210" t="s">
        <v>1381</v>
      </c>
      <c r="D1210" t="s">
        <v>2769</v>
      </c>
      <c r="E1210" s="1" t="s">
        <v>2770</v>
      </c>
      <c r="F1210">
        <f>VLOOKUP(A1210,Classifications!$A:$E,5,FALSE)</f>
        <v>1</v>
      </c>
      <c r="G1210">
        <f>VLOOKUP(A1210,Classifications!$A:$F,6,FALSE)</f>
        <v>1</v>
      </c>
      <c r="H1210">
        <f>VLOOKUP(A1210,Classifications!$A:$G,7,FALSE)</f>
        <v>41</v>
      </c>
      <c r="I1210" t="s">
        <v>11</v>
      </c>
      <c r="J1210" s="2">
        <v>44207.364664351851</v>
      </c>
    </row>
    <row r="1211" spans="1:10" ht="12.75" customHeight="1" x14ac:dyDescent="0.3">
      <c r="A1211">
        <v>1345173</v>
      </c>
      <c r="B1211" t="s">
        <v>32</v>
      </c>
      <c r="C1211" t="s">
        <v>2771</v>
      </c>
      <c r="D1211" t="s">
        <v>2772</v>
      </c>
      <c r="E1211" s="1" t="s">
        <v>2773</v>
      </c>
      <c r="F1211">
        <f>VLOOKUP(A1211,Classifications!$A:$E,5,FALSE)</f>
        <v>1</v>
      </c>
      <c r="G1211">
        <f>VLOOKUP(A1211,Classifications!$A:$F,6,FALSE)</f>
        <v>1</v>
      </c>
      <c r="H1211">
        <f>VLOOKUP(A1211,Classifications!$A:$G,7,FALSE)</f>
        <v>43</v>
      </c>
      <c r="I1211" t="s">
        <v>11</v>
      </c>
      <c r="J1211" s="2">
        <v>44207.357569444444</v>
      </c>
    </row>
    <row r="1212" spans="1:10" ht="12.75" customHeight="1" x14ac:dyDescent="0.3">
      <c r="A1212">
        <v>1345130</v>
      </c>
      <c r="B1212" t="s">
        <v>1052</v>
      </c>
      <c r="C1212" t="s">
        <v>1243</v>
      </c>
      <c r="D1212" t="s">
        <v>2774</v>
      </c>
      <c r="E1212" s="1" t="s">
        <v>2775</v>
      </c>
      <c r="F1212">
        <f>VLOOKUP(A1212,Classifications!$A:$E,5,FALSE)</f>
        <v>1</v>
      </c>
      <c r="G1212">
        <f>VLOOKUP(A1212,Classifications!$A:$F,6,FALSE)</f>
        <v>1</v>
      </c>
      <c r="H1212">
        <f>VLOOKUP(A1212,Classifications!$A:$G,7,FALSE)</f>
        <v>41</v>
      </c>
      <c r="I1212" t="s">
        <v>11</v>
      </c>
      <c r="J1212" s="2">
        <v>44207.327453703707</v>
      </c>
    </row>
    <row r="1213" spans="1:10" ht="12.75" customHeight="1" x14ac:dyDescent="0.3">
      <c r="A1213">
        <v>1345124</v>
      </c>
      <c r="B1213" t="s">
        <v>281</v>
      </c>
      <c r="C1213" t="s">
        <v>282</v>
      </c>
      <c r="D1213" t="s">
        <v>2776</v>
      </c>
      <c r="E1213" s="1" t="s">
        <v>2777</v>
      </c>
      <c r="F1213">
        <f>VLOOKUP(A1213,Classifications!$A:$E,5,FALSE)</f>
        <v>1</v>
      </c>
      <c r="G1213">
        <f>VLOOKUP(A1213,Classifications!$A:$F,6,FALSE)</f>
        <v>1</v>
      </c>
      <c r="H1213">
        <f>VLOOKUP(A1213,Classifications!$A:$G,7,FALSE)</f>
        <v>36</v>
      </c>
      <c r="I1213" t="s">
        <v>11</v>
      </c>
      <c r="J1213" s="2">
        <v>44207.319050925929</v>
      </c>
    </row>
    <row r="1214" spans="1:10" ht="12.75" customHeight="1" x14ac:dyDescent="0.3">
      <c r="A1214">
        <v>1345076</v>
      </c>
      <c r="B1214" t="s">
        <v>7</v>
      </c>
      <c r="C1214" t="s">
        <v>158</v>
      </c>
      <c r="D1214" t="s">
        <v>737</v>
      </c>
      <c r="E1214" s="1" t="s">
        <v>2778</v>
      </c>
      <c r="F1214">
        <f>VLOOKUP(A1214,Classifications!$A:$E,5,FALSE)</f>
        <v>1</v>
      </c>
      <c r="G1214">
        <f>VLOOKUP(A1214,Classifications!$A:$F,6,FALSE)</f>
        <v>1</v>
      </c>
      <c r="H1214">
        <f>VLOOKUP(A1214,Classifications!$A:$G,7,FALSE)</f>
        <v>41</v>
      </c>
      <c r="I1214" t="s">
        <v>11</v>
      </c>
      <c r="J1214" s="2">
        <v>44207.153703703705</v>
      </c>
    </row>
    <row r="1215" spans="1:10" ht="12.75" customHeight="1" x14ac:dyDescent="0.3">
      <c r="A1215">
        <v>1345049</v>
      </c>
      <c r="B1215" t="s">
        <v>95</v>
      </c>
      <c r="C1215" t="s">
        <v>601</v>
      </c>
      <c r="D1215" t="s">
        <v>602</v>
      </c>
      <c r="E1215" t="s">
        <v>603</v>
      </c>
      <c r="F1215">
        <f>VLOOKUP(A1215,Classifications!$A:$E,5,FALSE)</f>
        <v>2</v>
      </c>
      <c r="G1215">
        <f>VLOOKUP(A1215,Classifications!$A:$F,6,FALSE)</f>
        <v>2</v>
      </c>
      <c r="H1215">
        <f>VLOOKUP(A1215,Classifications!$A:$G,7,FALSE)</f>
        <v>43</v>
      </c>
      <c r="I1215" t="s">
        <v>188</v>
      </c>
      <c r="J1215" s="2">
        <v>44207.042094907411</v>
      </c>
    </row>
    <row r="1216" spans="1:10" ht="12.75" customHeight="1" x14ac:dyDescent="0.3">
      <c r="A1216">
        <v>1344984</v>
      </c>
      <c r="B1216" t="s">
        <v>12</v>
      </c>
      <c r="C1216" t="s">
        <v>1774</v>
      </c>
      <c r="D1216" t="s">
        <v>1323</v>
      </c>
      <c r="E1216" t="s">
        <v>1324</v>
      </c>
      <c r="F1216">
        <f>VLOOKUP(A1216,Classifications!$A:$E,5,FALSE)</f>
        <v>1</v>
      </c>
      <c r="G1216">
        <f>VLOOKUP(A1216,Classifications!$A:$F,6,FALSE)</f>
        <v>1</v>
      </c>
      <c r="H1216">
        <f>VLOOKUP(A1216,Classifications!$A:$G,7,FALSE)</f>
        <v>36</v>
      </c>
      <c r="I1216" t="s">
        <v>1158</v>
      </c>
      <c r="J1216" s="2">
        <v>44207.000057870369</v>
      </c>
    </row>
    <row r="1217" spans="1:10" ht="12.75" customHeight="1" x14ac:dyDescent="0.3">
      <c r="A1217">
        <v>1344983</v>
      </c>
      <c r="B1217" t="s">
        <v>746</v>
      </c>
      <c r="C1217" t="s">
        <v>1203</v>
      </c>
      <c r="D1217" t="s">
        <v>2779</v>
      </c>
      <c r="E1217" s="1" t="s">
        <v>2614</v>
      </c>
      <c r="F1217">
        <f>VLOOKUP(A1217,Classifications!$A:$E,5,FALSE)</f>
        <v>1</v>
      </c>
      <c r="G1217">
        <f>VLOOKUP(A1217,Classifications!$A:$F,6,FALSE)</f>
        <v>1</v>
      </c>
      <c r="H1217">
        <f>VLOOKUP(A1217,Classifications!$A:$G,7,FALSE)</f>
        <v>36</v>
      </c>
      <c r="I1217" t="s">
        <v>1158</v>
      </c>
      <c r="J1217" s="2">
        <v>44207.0000462963</v>
      </c>
    </row>
    <row r="1218" spans="1:10" ht="12.75" customHeight="1" x14ac:dyDescent="0.3">
      <c r="A1218">
        <v>1344982</v>
      </c>
      <c r="B1218" t="s">
        <v>184</v>
      </c>
      <c r="C1218" t="s">
        <v>1069</v>
      </c>
      <c r="D1218" t="s">
        <v>2613</v>
      </c>
      <c r="E1218" s="1" t="s">
        <v>2614</v>
      </c>
      <c r="F1218">
        <f>VLOOKUP(A1218,Classifications!$A:$E,5,FALSE)</f>
        <v>1</v>
      </c>
      <c r="G1218">
        <f>VLOOKUP(A1218,Classifications!$A:$F,6,FALSE)</f>
        <v>1</v>
      </c>
      <c r="H1218">
        <f>VLOOKUP(A1218,Classifications!$A:$G,7,FALSE)</f>
        <v>36</v>
      </c>
      <c r="I1218" t="s">
        <v>1158</v>
      </c>
      <c r="J1218" s="2">
        <v>44207.0000462963</v>
      </c>
    </row>
    <row r="1219" spans="1:10" ht="12.75" customHeight="1" x14ac:dyDescent="0.3">
      <c r="A1219">
        <v>1344981</v>
      </c>
      <c r="B1219" t="s">
        <v>2780</v>
      </c>
      <c r="C1219" t="s">
        <v>2781</v>
      </c>
      <c r="D1219" t="s">
        <v>1156</v>
      </c>
      <c r="E1219" s="1" t="s">
        <v>1157</v>
      </c>
      <c r="F1219">
        <f>VLOOKUP(A1219,Classifications!$A:$E,5,FALSE)</f>
        <v>1</v>
      </c>
      <c r="G1219">
        <f>VLOOKUP(A1219,Classifications!$A:$F,6,FALSE)</f>
        <v>1</v>
      </c>
      <c r="H1219">
        <f>VLOOKUP(A1219,Classifications!$A:$G,7,FALSE)</f>
        <v>36</v>
      </c>
      <c r="I1219" t="s">
        <v>1158</v>
      </c>
      <c r="J1219" s="2">
        <v>44207.000034722223</v>
      </c>
    </row>
    <row r="1220" spans="1:10" ht="12.75" customHeight="1" x14ac:dyDescent="0.3">
      <c r="A1220">
        <v>1344772</v>
      </c>
      <c r="B1220" t="s">
        <v>606</v>
      </c>
      <c r="C1220" t="s">
        <v>158</v>
      </c>
      <c r="D1220" t="s">
        <v>2782</v>
      </c>
      <c r="E1220" s="1" t="s">
        <v>2783</v>
      </c>
      <c r="F1220">
        <f>VLOOKUP(A1220,Classifications!$A:$E,5,FALSE)</f>
        <v>2</v>
      </c>
      <c r="G1220">
        <f>VLOOKUP(A1220,Classifications!$A:$F,6,FALSE)</f>
        <v>2</v>
      </c>
      <c r="H1220">
        <f>VLOOKUP(A1220,Classifications!$A:$G,7,FALSE)</f>
        <v>41</v>
      </c>
      <c r="I1220" t="s">
        <v>11</v>
      </c>
      <c r="J1220" s="2">
        <v>44206.602766203701</v>
      </c>
    </row>
    <row r="1221" spans="1:10" ht="12.75" customHeight="1" x14ac:dyDescent="0.3">
      <c r="A1221">
        <v>1344763</v>
      </c>
      <c r="B1221" t="s">
        <v>503</v>
      </c>
      <c r="D1221" t="s">
        <v>2776</v>
      </c>
      <c r="E1221" s="1" t="s">
        <v>2784</v>
      </c>
      <c r="F1221">
        <f>VLOOKUP(A1221,Classifications!$A:$E,5,FALSE)</f>
        <v>1</v>
      </c>
      <c r="G1221">
        <f>VLOOKUP(A1221,Classifications!$A:$F,6,FALSE)</f>
        <v>1</v>
      </c>
      <c r="H1221">
        <f>VLOOKUP(A1221,Classifications!$A:$G,7,FALSE)</f>
        <v>36</v>
      </c>
      <c r="I1221" t="s">
        <v>11</v>
      </c>
      <c r="J1221" s="2">
        <v>44206.545243055552</v>
      </c>
    </row>
    <row r="1222" spans="1:10" ht="12.75" customHeight="1" x14ac:dyDescent="0.3">
      <c r="A1222">
        <v>1344664</v>
      </c>
      <c r="B1222" t="s">
        <v>606</v>
      </c>
      <c r="C1222" t="s">
        <v>158</v>
      </c>
      <c r="D1222" t="s">
        <v>2785</v>
      </c>
      <c r="E1222" s="1" t="s">
        <v>2786</v>
      </c>
      <c r="F1222">
        <f>VLOOKUP(A1222,Classifications!$A:$E,5,FALSE)</f>
        <v>2</v>
      </c>
      <c r="G1222">
        <f>VLOOKUP(A1222,Classifications!$A:$F,6,FALSE)</f>
        <v>2</v>
      </c>
      <c r="H1222">
        <f>VLOOKUP(A1222,Classifications!$A:$G,7,FALSE)</f>
        <v>41</v>
      </c>
      <c r="I1222" t="s">
        <v>11</v>
      </c>
      <c r="J1222" s="2">
        <v>44206.104502314818</v>
      </c>
    </row>
    <row r="1223" spans="1:10" ht="12.75" customHeight="1" x14ac:dyDescent="0.3">
      <c r="A1223">
        <v>1344623</v>
      </c>
      <c r="B1223" t="s">
        <v>16</v>
      </c>
      <c r="C1223" t="s">
        <v>394</v>
      </c>
      <c r="D1223" t="s">
        <v>1429</v>
      </c>
      <c r="E1223" t="s">
        <v>1324</v>
      </c>
      <c r="F1223">
        <f>VLOOKUP(A1223,Classifications!$A:$E,5,FALSE)</f>
        <v>1</v>
      </c>
      <c r="G1223">
        <f>VLOOKUP(A1223,Classifications!$A:$F,6,FALSE)</f>
        <v>1</v>
      </c>
      <c r="H1223">
        <f>VLOOKUP(A1223,Classifications!$A:$G,7,FALSE)</f>
        <v>36</v>
      </c>
      <c r="I1223" t="s">
        <v>1158</v>
      </c>
      <c r="J1223" s="2">
        <v>44206.000081018516</v>
      </c>
    </row>
    <row r="1224" spans="1:10" ht="12.75" customHeight="1" x14ac:dyDescent="0.3">
      <c r="A1224">
        <v>1344622</v>
      </c>
      <c r="B1224" t="s">
        <v>70</v>
      </c>
      <c r="C1224" t="s">
        <v>369</v>
      </c>
      <c r="D1224" t="s">
        <v>1156</v>
      </c>
      <c r="E1224" s="1" t="s">
        <v>1157</v>
      </c>
      <c r="F1224">
        <f>VLOOKUP(A1224,Classifications!$A:$E,5,FALSE)</f>
        <v>1</v>
      </c>
      <c r="G1224">
        <f>VLOOKUP(A1224,Classifications!$A:$F,6,FALSE)</f>
        <v>1</v>
      </c>
      <c r="H1224">
        <f>VLOOKUP(A1224,Classifications!$A:$G,7,FALSE)</f>
        <v>36</v>
      </c>
      <c r="I1224" t="s">
        <v>1158</v>
      </c>
      <c r="J1224" s="2">
        <v>44206.000069444446</v>
      </c>
    </row>
    <row r="1225" spans="1:10" ht="12.75" customHeight="1" x14ac:dyDescent="0.3">
      <c r="A1225">
        <v>1344621</v>
      </c>
      <c r="B1225" t="s">
        <v>1013</v>
      </c>
      <c r="C1225" t="s">
        <v>1014</v>
      </c>
      <c r="D1225" t="s">
        <v>1429</v>
      </c>
      <c r="E1225" s="1" t="s">
        <v>1160</v>
      </c>
      <c r="F1225">
        <f>VLOOKUP(A1225,Classifications!$A:$E,5,FALSE)</f>
        <v>1</v>
      </c>
      <c r="G1225">
        <f>VLOOKUP(A1225,Classifications!$A:$F,6,FALSE)</f>
        <v>1</v>
      </c>
      <c r="H1225">
        <f>VLOOKUP(A1225,Classifications!$A:$G,7,FALSE)</f>
        <v>36</v>
      </c>
      <c r="I1225" t="s">
        <v>1158</v>
      </c>
      <c r="J1225" s="2">
        <v>44206.000057870369</v>
      </c>
    </row>
    <row r="1226" spans="1:10" ht="12.75" customHeight="1" x14ac:dyDescent="0.3">
      <c r="A1226">
        <v>1344620</v>
      </c>
      <c r="B1226" t="s">
        <v>1029</v>
      </c>
      <c r="C1226" t="s">
        <v>1030</v>
      </c>
      <c r="D1226" t="s">
        <v>2787</v>
      </c>
      <c r="E1226" s="1" t="s">
        <v>1160</v>
      </c>
      <c r="F1226">
        <f>VLOOKUP(A1226,Classifications!$A:$E,5,FALSE)</f>
        <v>1</v>
      </c>
      <c r="G1226">
        <f>VLOOKUP(A1226,Classifications!$A:$F,6,FALSE)</f>
        <v>1</v>
      </c>
      <c r="H1226">
        <f>VLOOKUP(A1226,Classifications!$A:$G,7,FALSE)</f>
        <v>36</v>
      </c>
      <c r="I1226" t="s">
        <v>1158</v>
      </c>
      <c r="J1226" s="2">
        <v>44206.000057870369</v>
      </c>
    </row>
    <row r="1227" spans="1:10" ht="12.75" customHeight="1" x14ac:dyDescent="0.3">
      <c r="A1227">
        <v>1344619</v>
      </c>
      <c r="B1227" t="s">
        <v>1029</v>
      </c>
      <c r="C1227" t="s">
        <v>1030</v>
      </c>
      <c r="D1227" t="s">
        <v>1429</v>
      </c>
      <c r="E1227" s="1" t="s">
        <v>1160</v>
      </c>
      <c r="F1227">
        <f>VLOOKUP(A1227,Classifications!$A:$E,5,FALSE)</f>
        <v>1</v>
      </c>
      <c r="G1227">
        <f>VLOOKUP(A1227,Classifications!$A:$F,6,FALSE)</f>
        <v>1</v>
      </c>
      <c r="H1227">
        <f>VLOOKUP(A1227,Classifications!$A:$G,7,FALSE)</f>
        <v>36</v>
      </c>
      <c r="I1227" t="s">
        <v>1158</v>
      </c>
      <c r="J1227" s="2">
        <v>44206.0000462963</v>
      </c>
    </row>
    <row r="1228" spans="1:10" ht="12.75" customHeight="1" x14ac:dyDescent="0.3">
      <c r="A1228">
        <v>1344618</v>
      </c>
      <c r="B1228" t="s">
        <v>53</v>
      </c>
      <c r="C1228" t="s">
        <v>158</v>
      </c>
      <c r="D1228" t="s">
        <v>1429</v>
      </c>
      <c r="E1228" s="1" t="s">
        <v>1160</v>
      </c>
      <c r="F1228">
        <f>VLOOKUP(A1228,Classifications!$A:$E,5,FALSE)</f>
        <v>1</v>
      </c>
      <c r="G1228">
        <f>VLOOKUP(A1228,Classifications!$A:$F,6,FALSE)</f>
        <v>1</v>
      </c>
      <c r="H1228">
        <f>VLOOKUP(A1228,Classifications!$A:$G,7,FALSE)</f>
        <v>36</v>
      </c>
      <c r="I1228" t="s">
        <v>1158</v>
      </c>
      <c r="J1228" s="2">
        <v>44206.0000462963</v>
      </c>
    </row>
    <row r="1229" spans="1:10" ht="12.75" customHeight="1" x14ac:dyDescent="0.3">
      <c r="A1229">
        <v>1344284</v>
      </c>
      <c r="B1229" t="s">
        <v>1013</v>
      </c>
      <c r="D1229" t="s">
        <v>2788</v>
      </c>
      <c r="E1229" s="1" t="s">
        <v>2789</v>
      </c>
      <c r="F1229">
        <f>VLOOKUP(A1229,Classifications!$A:$E,5,FALSE)</f>
        <v>1</v>
      </c>
      <c r="G1229">
        <f>VLOOKUP(A1229,Classifications!$A:$F,6,FALSE)</f>
        <v>1</v>
      </c>
      <c r="H1229">
        <f>VLOOKUP(A1229,Classifications!$A:$G,7,FALSE)</f>
        <v>43</v>
      </c>
      <c r="I1229" t="s">
        <v>11</v>
      </c>
      <c r="J1229" s="2">
        <v>44205.137048611112</v>
      </c>
    </row>
    <row r="1230" spans="1:10" ht="12.75" customHeight="1" x14ac:dyDescent="0.3">
      <c r="A1230">
        <v>1344236</v>
      </c>
      <c r="B1230" t="s">
        <v>74</v>
      </c>
      <c r="C1230" t="s">
        <v>2790</v>
      </c>
      <c r="D1230" t="s">
        <v>2791</v>
      </c>
      <c r="E1230" s="1" t="s">
        <v>2792</v>
      </c>
      <c r="F1230">
        <f>VLOOKUP(A1230,Classifications!$A:$E,5,FALSE)</f>
        <v>1</v>
      </c>
      <c r="G1230">
        <f>VLOOKUP(A1230,Classifications!$A:$F,6,FALSE)</f>
        <v>1</v>
      </c>
      <c r="H1230">
        <f>VLOOKUP(A1230,Classifications!$A:$G,7,FALSE)</f>
        <v>41</v>
      </c>
      <c r="I1230" t="s">
        <v>11</v>
      </c>
      <c r="J1230" s="2">
        <v>44205.050949074073</v>
      </c>
    </row>
    <row r="1231" spans="1:10" ht="12.75" customHeight="1" x14ac:dyDescent="0.3">
      <c r="A1231">
        <v>1344209</v>
      </c>
      <c r="B1231" t="s">
        <v>184</v>
      </c>
      <c r="C1231" t="s">
        <v>2793</v>
      </c>
      <c r="D1231" t="s">
        <v>1323</v>
      </c>
      <c r="E1231" t="s">
        <v>1324</v>
      </c>
      <c r="F1231">
        <f>VLOOKUP(A1231,Classifications!$A:$E,5,FALSE)</f>
        <v>1</v>
      </c>
      <c r="G1231">
        <f>VLOOKUP(A1231,Classifications!$A:$F,6,FALSE)</f>
        <v>1</v>
      </c>
      <c r="H1231">
        <f>VLOOKUP(A1231,Classifications!$A:$G,7,FALSE)</f>
        <v>36</v>
      </c>
      <c r="I1231" t="s">
        <v>1158</v>
      </c>
      <c r="J1231" s="2">
        <v>44205.000092592592</v>
      </c>
    </row>
    <row r="1232" spans="1:10" ht="12.75" customHeight="1" x14ac:dyDescent="0.3">
      <c r="A1232">
        <v>1344208</v>
      </c>
      <c r="B1232" t="s">
        <v>184</v>
      </c>
      <c r="C1232" t="s">
        <v>2793</v>
      </c>
      <c r="D1232" t="s">
        <v>1323</v>
      </c>
      <c r="E1232" t="s">
        <v>1324</v>
      </c>
      <c r="F1232">
        <f>VLOOKUP(A1232,Classifications!$A:$E,5,FALSE)</f>
        <v>1</v>
      </c>
      <c r="G1232">
        <f>VLOOKUP(A1232,Classifications!$A:$F,6,FALSE)</f>
        <v>1</v>
      </c>
      <c r="H1232">
        <f>VLOOKUP(A1232,Classifications!$A:$G,7,FALSE)</f>
        <v>36</v>
      </c>
      <c r="I1232" t="s">
        <v>1158</v>
      </c>
      <c r="J1232" s="2">
        <v>44205.000081018516</v>
      </c>
    </row>
    <row r="1233" spans="1:10" ht="12.75" customHeight="1" x14ac:dyDescent="0.3">
      <c r="A1233">
        <v>1344207</v>
      </c>
      <c r="B1233" t="s">
        <v>184</v>
      </c>
      <c r="C1233" t="s">
        <v>1428</v>
      </c>
      <c r="D1233" t="s">
        <v>1325</v>
      </c>
      <c r="E1233" s="1" t="s">
        <v>1326</v>
      </c>
      <c r="F1233">
        <f>VLOOKUP(A1233,Classifications!$A:$E,5,FALSE)</f>
        <v>1</v>
      </c>
      <c r="G1233">
        <f>VLOOKUP(A1233,Classifications!$A:$F,6,FALSE)</f>
        <v>1</v>
      </c>
      <c r="H1233">
        <f>VLOOKUP(A1233,Classifications!$A:$G,7,FALSE)</f>
        <v>36</v>
      </c>
      <c r="I1233" t="s">
        <v>1158</v>
      </c>
      <c r="J1233" s="2">
        <v>44205.000069444446</v>
      </c>
    </row>
    <row r="1234" spans="1:10" ht="12.75" customHeight="1" x14ac:dyDescent="0.3">
      <c r="A1234">
        <v>1343961</v>
      </c>
      <c r="B1234" t="s">
        <v>87</v>
      </c>
      <c r="C1234" t="s">
        <v>2794</v>
      </c>
      <c r="D1234" t="s">
        <v>2795</v>
      </c>
      <c r="E1234" s="1" t="s">
        <v>2796</v>
      </c>
      <c r="F1234">
        <f>VLOOKUP(A1234,Classifications!$A:$E,5,FALSE)</f>
        <v>1</v>
      </c>
      <c r="G1234">
        <f>VLOOKUP(A1234,Classifications!$A:$F,6,FALSE)</f>
        <v>1</v>
      </c>
      <c r="H1234">
        <f>VLOOKUP(A1234,Classifications!$A:$G,7,FALSE)</f>
        <v>41</v>
      </c>
      <c r="I1234" t="s">
        <v>24</v>
      </c>
      <c r="J1234" s="2">
        <v>44204.733275462961</v>
      </c>
    </row>
    <row r="1235" spans="1:10" ht="12.75" customHeight="1" x14ac:dyDescent="0.3">
      <c r="A1235">
        <v>1343930</v>
      </c>
      <c r="B1235" t="s">
        <v>16</v>
      </c>
      <c r="C1235" t="s">
        <v>2749</v>
      </c>
      <c r="D1235" t="s">
        <v>2797</v>
      </c>
      <c r="E1235" s="1" t="s">
        <v>2798</v>
      </c>
      <c r="F1235">
        <f>VLOOKUP(A1235,Classifications!$A:$E,5,FALSE)</f>
        <v>1</v>
      </c>
      <c r="G1235">
        <f>VLOOKUP(A1235,Classifications!$A:$F,6,FALSE)</f>
        <v>1</v>
      </c>
      <c r="H1235">
        <f>VLOOKUP(A1235,Classifications!$A:$G,7,FALSE)</f>
        <v>41</v>
      </c>
      <c r="I1235" t="s">
        <v>11</v>
      </c>
      <c r="J1235" s="2">
        <v>44204.668402777781</v>
      </c>
    </row>
    <row r="1236" spans="1:10" ht="12.75" customHeight="1" x14ac:dyDescent="0.3">
      <c r="A1236">
        <v>1343922</v>
      </c>
      <c r="B1236" t="s">
        <v>7</v>
      </c>
      <c r="C1236" t="s">
        <v>107</v>
      </c>
      <c r="D1236" t="s">
        <v>2799</v>
      </c>
      <c r="E1236" s="1" t="s">
        <v>2800</v>
      </c>
      <c r="F1236">
        <f>VLOOKUP(A1236,Classifications!$A:$E,5,FALSE)</f>
        <v>1</v>
      </c>
      <c r="G1236">
        <f>VLOOKUP(A1236,Classifications!$A:$F,6,FALSE)</f>
        <v>1</v>
      </c>
      <c r="H1236">
        <f>VLOOKUP(A1236,Classifications!$A:$G,7,FALSE)</f>
        <v>43</v>
      </c>
      <c r="I1236" t="s">
        <v>11</v>
      </c>
      <c r="J1236" s="2">
        <v>44204.646747685183</v>
      </c>
    </row>
    <row r="1237" spans="1:10" ht="12.75" customHeight="1" x14ac:dyDescent="0.3">
      <c r="A1237">
        <v>1343919</v>
      </c>
      <c r="B1237" t="s">
        <v>431</v>
      </c>
      <c r="C1237" t="s">
        <v>432</v>
      </c>
      <c r="D1237" t="s">
        <v>2801</v>
      </c>
      <c r="E1237" s="1" t="s">
        <v>2802</v>
      </c>
      <c r="F1237">
        <f>VLOOKUP(A1237,Classifications!$A:$E,5,FALSE)</f>
        <v>1</v>
      </c>
      <c r="G1237">
        <f>VLOOKUP(A1237,Classifications!$A:$F,6,FALSE)</f>
        <v>1</v>
      </c>
      <c r="H1237">
        <f>VLOOKUP(A1237,Classifications!$A:$G,7,FALSE)</f>
        <v>36</v>
      </c>
      <c r="I1237" t="s">
        <v>24</v>
      </c>
      <c r="J1237" s="2">
        <v>44204.631481481483</v>
      </c>
    </row>
    <row r="1238" spans="1:10" ht="12.75" customHeight="1" x14ac:dyDescent="0.3">
      <c r="A1238">
        <v>1343906</v>
      </c>
      <c r="B1238" t="s">
        <v>397</v>
      </c>
      <c r="C1238" t="s">
        <v>2803</v>
      </c>
      <c r="D1238">
        <v>1288042</v>
      </c>
      <c r="E1238" s="1" t="s">
        <v>2804</v>
      </c>
      <c r="F1238">
        <f>VLOOKUP(A1238,Classifications!$A:$E,5,FALSE)</f>
        <v>1</v>
      </c>
      <c r="G1238">
        <f>VLOOKUP(A1238,Classifications!$A:$F,6,FALSE)</f>
        <v>1</v>
      </c>
      <c r="H1238">
        <f>VLOOKUP(A1238,Classifications!$A:$G,7,FALSE)</f>
        <v>43</v>
      </c>
      <c r="I1238" t="s">
        <v>11</v>
      </c>
      <c r="J1238" s="2">
        <v>44204.59883101852</v>
      </c>
    </row>
    <row r="1239" spans="1:10" ht="12.75" customHeight="1" x14ac:dyDescent="0.3">
      <c r="A1239">
        <v>1343897</v>
      </c>
      <c r="B1239" t="s">
        <v>70</v>
      </c>
      <c r="C1239" t="s">
        <v>660</v>
      </c>
      <c r="D1239" t="s">
        <v>2805</v>
      </c>
      <c r="E1239" s="1" t="s">
        <v>2806</v>
      </c>
      <c r="F1239">
        <f>VLOOKUP(A1239,Classifications!$A:$E,5,FALSE)</f>
        <v>1</v>
      </c>
      <c r="G1239">
        <f>VLOOKUP(A1239,Classifications!$A:$F,6,FALSE)</f>
        <v>2</v>
      </c>
      <c r="H1239">
        <f>VLOOKUP(A1239,Classifications!$A:$G,7,FALSE)</f>
        <v>41</v>
      </c>
      <c r="I1239" t="s">
        <v>11</v>
      </c>
      <c r="J1239" s="2">
        <v>44204.576597222222</v>
      </c>
    </row>
    <row r="1240" spans="1:10" ht="12.75" customHeight="1" x14ac:dyDescent="0.3">
      <c r="A1240">
        <v>1343882</v>
      </c>
      <c r="B1240" t="s">
        <v>63</v>
      </c>
      <c r="C1240" t="s">
        <v>1524</v>
      </c>
      <c r="D1240" t="s">
        <v>2807</v>
      </c>
      <c r="E1240" s="1" t="s">
        <v>2808</v>
      </c>
      <c r="F1240">
        <f>VLOOKUP(A1240,Classifications!$A:$E,5,FALSE)</f>
        <v>1</v>
      </c>
      <c r="G1240">
        <f>VLOOKUP(A1240,Classifications!$A:$F,6,FALSE)</f>
        <v>1</v>
      </c>
      <c r="H1240">
        <f>VLOOKUP(A1240,Classifications!$A:$G,7,FALSE)</f>
        <v>43</v>
      </c>
      <c r="I1240" t="s">
        <v>11</v>
      </c>
      <c r="J1240" s="2">
        <v>44204.541134259256</v>
      </c>
    </row>
    <row r="1241" spans="1:10" ht="12.75" customHeight="1" x14ac:dyDescent="0.3">
      <c r="A1241">
        <v>1343875</v>
      </c>
      <c r="B1241" t="s">
        <v>177</v>
      </c>
      <c r="C1241" t="s">
        <v>178</v>
      </c>
      <c r="D1241" t="s">
        <v>2809</v>
      </c>
      <c r="E1241" s="1" t="s">
        <v>2810</v>
      </c>
      <c r="F1241">
        <f>VLOOKUP(A1241,Classifications!$A:$E,5,FALSE)</f>
        <v>1</v>
      </c>
      <c r="G1241">
        <f>VLOOKUP(A1241,Classifications!$A:$F,6,FALSE)</f>
        <v>1</v>
      </c>
      <c r="H1241">
        <f>VLOOKUP(A1241,Classifications!$A:$G,7,FALSE)</f>
        <v>43</v>
      </c>
      <c r="I1241" t="s">
        <v>11</v>
      </c>
      <c r="J1241" s="2">
        <v>44204.525821759256</v>
      </c>
    </row>
    <row r="1242" spans="1:10" ht="12.75" customHeight="1" x14ac:dyDescent="0.3">
      <c r="A1242">
        <v>1343866</v>
      </c>
      <c r="B1242" t="s">
        <v>63</v>
      </c>
      <c r="C1242" t="s">
        <v>1524</v>
      </c>
      <c r="D1242" t="s">
        <v>2811</v>
      </c>
      <c r="E1242" s="1" t="s">
        <v>2812</v>
      </c>
      <c r="F1242">
        <f>VLOOKUP(A1242,Classifications!$A:$E,5,FALSE)</f>
        <v>1</v>
      </c>
      <c r="G1242">
        <f>VLOOKUP(A1242,Classifications!$A:$F,6,FALSE)</f>
        <v>2</v>
      </c>
      <c r="H1242">
        <f>VLOOKUP(A1242,Classifications!$A:$G,7,FALSE)</f>
        <v>41</v>
      </c>
      <c r="I1242" t="s">
        <v>11</v>
      </c>
      <c r="J1242" s="2">
        <v>44204.499583333331</v>
      </c>
    </row>
    <row r="1243" spans="1:10" ht="12.75" customHeight="1" x14ac:dyDescent="0.3">
      <c r="A1243">
        <v>1343855</v>
      </c>
      <c r="B1243" t="s">
        <v>16</v>
      </c>
      <c r="C1243" t="s">
        <v>2405</v>
      </c>
      <c r="D1243" t="s">
        <v>2813</v>
      </c>
      <c r="E1243" s="1" t="s">
        <v>2814</v>
      </c>
      <c r="F1243">
        <f>VLOOKUP(A1243,Classifications!$A:$E,5,FALSE)</f>
        <v>1</v>
      </c>
      <c r="G1243">
        <f>VLOOKUP(A1243,Classifications!$A:$F,6,FALSE)</f>
        <v>3</v>
      </c>
      <c r="H1243">
        <f>VLOOKUP(A1243,Classifications!$A:$G,7,FALSE)</f>
        <v>41</v>
      </c>
      <c r="I1243" t="s">
        <v>11</v>
      </c>
      <c r="J1243" s="2">
        <v>44204.471898148149</v>
      </c>
    </row>
    <row r="1244" spans="1:10" ht="12.75" customHeight="1" x14ac:dyDescent="0.3">
      <c r="A1244">
        <v>1343844</v>
      </c>
      <c r="B1244" t="s">
        <v>45</v>
      </c>
      <c r="C1244" t="s">
        <v>1743</v>
      </c>
      <c r="D1244" t="s">
        <v>2815</v>
      </c>
      <c r="E1244" s="1" t="s">
        <v>2816</v>
      </c>
      <c r="F1244">
        <f>VLOOKUP(A1244,Classifications!$A:$E,5,FALSE)</f>
        <v>1</v>
      </c>
      <c r="G1244">
        <f>VLOOKUP(A1244,Classifications!$A:$F,6,FALSE)</f>
        <v>2</v>
      </c>
      <c r="H1244">
        <f>VLOOKUP(A1244,Classifications!$A:$G,7,FALSE)</f>
        <v>43</v>
      </c>
      <c r="I1244" t="s">
        <v>11</v>
      </c>
      <c r="J1244" s="2">
        <v>44204.440879629627</v>
      </c>
    </row>
    <row r="1245" spans="1:10" ht="12.75" customHeight="1" x14ac:dyDescent="0.3">
      <c r="A1245">
        <v>1343839</v>
      </c>
      <c r="B1245" t="s">
        <v>157</v>
      </c>
      <c r="C1245" t="s">
        <v>1178</v>
      </c>
      <c r="D1245" t="s">
        <v>2817</v>
      </c>
      <c r="E1245" s="1" t="s">
        <v>2818</v>
      </c>
      <c r="F1245">
        <f>VLOOKUP(A1245,Classifications!$A:$E,5,FALSE)</f>
        <v>1</v>
      </c>
      <c r="G1245">
        <f>VLOOKUP(A1245,Classifications!$A:$F,6,FALSE)</f>
        <v>1</v>
      </c>
      <c r="H1245">
        <f>VLOOKUP(A1245,Classifications!$A:$G,7,FALSE)</f>
        <v>43</v>
      </c>
      <c r="I1245" t="s">
        <v>11</v>
      </c>
      <c r="J1245" s="2">
        <v>44204.437106481484</v>
      </c>
    </row>
    <row r="1246" spans="1:10" ht="12.75" customHeight="1" x14ac:dyDescent="0.3">
      <c r="A1246">
        <v>1343838</v>
      </c>
      <c r="B1246" t="s">
        <v>214</v>
      </c>
      <c r="C1246" t="s">
        <v>215</v>
      </c>
      <c r="D1246" t="s">
        <v>2819</v>
      </c>
      <c r="E1246" s="1" t="s">
        <v>2820</v>
      </c>
      <c r="F1246">
        <f>VLOOKUP(A1246,Classifications!$A:$E,5,FALSE)</f>
        <v>1</v>
      </c>
      <c r="G1246">
        <f>VLOOKUP(A1246,Classifications!$A:$F,6,FALSE)</f>
        <v>1</v>
      </c>
      <c r="H1246">
        <f>VLOOKUP(A1246,Classifications!$A:$G,7,FALSE)</f>
        <v>41</v>
      </c>
      <c r="I1246" t="s">
        <v>11</v>
      </c>
      <c r="J1246" s="2">
        <v>44204.436863425923</v>
      </c>
    </row>
    <row r="1247" spans="1:10" ht="12.75" customHeight="1" x14ac:dyDescent="0.3">
      <c r="A1247">
        <v>1343802</v>
      </c>
      <c r="B1247" t="s">
        <v>157</v>
      </c>
      <c r="C1247" t="s">
        <v>414</v>
      </c>
      <c r="D1247" t="s">
        <v>2821</v>
      </c>
      <c r="E1247" s="1" t="s">
        <v>2822</v>
      </c>
      <c r="F1247">
        <f>VLOOKUP(A1247,Classifications!$A:$E,5,FALSE)</f>
        <v>3</v>
      </c>
      <c r="G1247">
        <f>VLOOKUP(A1247,Classifications!$A:$F,6,FALSE)</f>
        <v>1</v>
      </c>
      <c r="H1247">
        <f>VLOOKUP(A1247,Classifications!$A:$G,7,FALSE)</f>
        <v>43</v>
      </c>
      <c r="I1247" t="s">
        <v>11</v>
      </c>
      <c r="J1247" s="2">
        <v>44204.425208333334</v>
      </c>
    </row>
    <row r="1248" spans="1:10" ht="12.75" customHeight="1" x14ac:dyDescent="0.3">
      <c r="A1248">
        <v>1343799</v>
      </c>
      <c r="B1248" t="s">
        <v>32</v>
      </c>
      <c r="C1248" t="s">
        <v>2823</v>
      </c>
      <c r="D1248" t="s">
        <v>2824</v>
      </c>
      <c r="E1248" s="1" t="s">
        <v>2825</v>
      </c>
      <c r="F1248">
        <f>VLOOKUP(A1248,Classifications!$A:$E,5,FALSE)</f>
        <v>2</v>
      </c>
      <c r="G1248">
        <f>VLOOKUP(A1248,Classifications!$A:$F,6,FALSE)</f>
        <v>2</v>
      </c>
      <c r="H1248">
        <f>VLOOKUP(A1248,Classifications!$A:$G,7,FALSE)</f>
        <v>41</v>
      </c>
      <c r="I1248" t="s">
        <v>11</v>
      </c>
      <c r="J1248" s="2">
        <v>44204.423414351855</v>
      </c>
    </row>
    <row r="1249" spans="1:10" ht="12.75" customHeight="1" x14ac:dyDescent="0.3">
      <c r="A1249">
        <v>1343764</v>
      </c>
      <c r="B1249" t="s">
        <v>503</v>
      </c>
      <c r="D1249" t="s">
        <v>2826</v>
      </c>
      <c r="E1249" s="1" t="s">
        <v>2827</v>
      </c>
      <c r="F1249">
        <f>VLOOKUP(A1249,Classifications!$A:$E,5,FALSE)</f>
        <v>1</v>
      </c>
      <c r="G1249">
        <f>VLOOKUP(A1249,Classifications!$A:$F,6,FALSE)</f>
        <v>1</v>
      </c>
      <c r="H1249">
        <f>VLOOKUP(A1249,Classifications!$A:$G,7,FALSE)</f>
        <v>36</v>
      </c>
      <c r="I1249" t="s">
        <v>11</v>
      </c>
      <c r="J1249" s="2">
        <v>44204.401539351849</v>
      </c>
    </row>
    <row r="1250" spans="1:10" ht="12.75" customHeight="1" x14ac:dyDescent="0.3">
      <c r="A1250">
        <v>1343757</v>
      </c>
      <c r="B1250" t="s">
        <v>7</v>
      </c>
      <c r="C1250" t="s">
        <v>158</v>
      </c>
      <c r="D1250" t="s">
        <v>737</v>
      </c>
      <c r="E1250" s="1" t="s">
        <v>2828</v>
      </c>
      <c r="F1250">
        <f>VLOOKUP(A1250,Classifications!$A:$E,5,FALSE)</f>
        <v>1</v>
      </c>
      <c r="G1250">
        <f>VLOOKUP(A1250,Classifications!$A:$F,6,FALSE)</f>
        <v>1</v>
      </c>
      <c r="H1250">
        <f>VLOOKUP(A1250,Classifications!$A:$G,7,FALSE)</f>
        <v>41</v>
      </c>
      <c r="I1250" t="s">
        <v>11</v>
      </c>
      <c r="J1250" s="2">
        <v>44204.390520833331</v>
      </c>
    </row>
    <row r="1251" spans="1:10" ht="12.75" customHeight="1" x14ac:dyDescent="0.3">
      <c r="A1251">
        <v>1343736</v>
      </c>
      <c r="B1251" t="s">
        <v>982</v>
      </c>
      <c r="C1251" t="s">
        <v>1567</v>
      </c>
      <c r="D1251" t="s">
        <v>2829</v>
      </c>
      <c r="E1251" s="1" t="s">
        <v>2830</v>
      </c>
      <c r="F1251">
        <f>VLOOKUP(A1251,Classifications!$A:$E,5,FALSE)</f>
        <v>1</v>
      </c>
      <c r="G1251">
        <f>VLOOKUP(A1251,Classifications!$A:$F,6,FALSE)</f>
        <v>1</v>
      </c>
      <c r="H1251">
        <f>VLOOKUP(A1251,Classifications!$A:$G,7,FALSE)</f>
        <v>43</v>
      </c>
      <c r="I1251" t="s">
        <v>24</v>
      </c>
      <c r="J1251" s="2">
        <v>44204.353865740741</v>
      </c>
    </row>
    <row r="1252" spans="1:10" ht="12.75" customHeight="1" x14ac:dyDescent="0.3">
      <c r="A1252">
        <v>1343734</v>
      </c>
      <c r="B1252" t="s">
        <v>32</v>
      </c>
      <c r="C1252" t="s">
        <v>1257</v>
      </c>
      <c r="D1252" t="s">
        <v>2831</v>
      </c>
      <c r="E1252" s="1" t="s">
        <v>2832</v>
      </c>
      <c r="F1252">
        <f>VLOOKUP(A1252,Classifications!$A:$E,5,FALSE)</f>
        <v>1</v>
      </c>
      <c r="G1252">
        <f>VLOOKUP(A1252,Classifications!$A:$F,6,FALSE)</f>
        <v>1</v>
      </c>
      <c r="H1252">
        <f>VLOOKUP(A1252,Classifications!$A:$G,7,FALSE)</f>
        <v>43</v>
      </c>
      <c r="I1252" t="s">
        <v>11</v>
      </c>
      <c r="J1252" s="2">
        <v>44204.352349537039</v>
      </c>
    </row>
    <row r="1253" spans="1:10" ht="12.75" customHeight="1" x14ac:dyDescent="0.3">
      <c r="A1253">
        <v>1343731</v>
      </c>
      <c r="B1253" t="s">
        <v>32</v>
      </c>
      <c r="C1253" t="s">
        <v>1257</v>
      </c>
      <c r="D1253" t="s">
        <v>2833</v>
      </c>
      <c r="E1253" s="1" t="s">
        <v>2834</v>
      </c>
      <c r="F1253">
        <f>VLOOKUP(A1253,Classifications!$A:$E,5,FALSE)</f>
        <v>1</v>
      </c>
      <c r="G1253">
        <f>VLOOKUP(A1253,Classifications!$A:$F,6,FALSE)</f>
        <v>1</v>
      </c>
      <c r="H1253">
        <f>VLOOKUP(A1253,Classifications!$A:$G,7,FALSE)</f>
        <v>43</v>
      </c>
      <c r="I1253" t="s">
        <v>11</v>
      </c>
      <c r="J1253" s="2">
        <v>44204.343530092592</v>
      </c>
    </row>
    <row r="1254" spans="1:10" ht="12.75" customHeight="1" x14ac:dyDescent="0.3">
      <c r="A1254">
        <v>1343730</v>
      </c>
      <c r="B1254" t="s">
        <v>16</v>
      </c>
      <c r="C1254" t="s">
        <v>649</v>
      </c>
      <c r="D1254" t="s">
        <v>650</v>
      </c>
      <c r="E1254" s="1" t="s">
        <v>2835</v>
      </c>
      <c r="F1254">
        <f>VLOOKUP(A1254,Classifications!$A:$E,5,FALSE)</f>
        <v>1</v>
      </c>
      <c r="G1254">
        <f>VLOOKUP(A1254,Classifications!$A:$F,6,FALSE)</f>
        <v>1</v>
      </c>
      <c r="H1254">
        <f>VLOOKUP(A1254,Classifications!$A:$G,7,FALSE)</f>
        <v>43</v>
      </c>
      <c r="I1254" t="s">
        <v>11</v>
      </c>
      <c r="J1254" s="2">
        <v>44204.342685185184</v>
      </c>
    </row>
    <row r="1255" spans="1:10" ht="12.75" customHeight="1" x14ac:dyDescent="0.3">
      <c r="A1255">
        <v>1343716</v>
      </c>
      <c r="B1255" t="s">
        <v>350</v>
      </c>
      <c r="C1255" t="s">
        <v>2836</v>
      </c>
      <c r="D1255" t="s">
        <v>2837</v>
      </c>
      <c r="E1255" t="s">
        <v>2838</v>
      </c>
      <c r="F1255">
        <f>VLOOKUP(A1255,Classifications!$A:$E,5,FALSE)</f>
        <v>1</v>
      </c>
      <c r="G1255">
        <f>VLOOKUP(A1255,Classifications!$A:$F,6,FALSE)</f>
        <v>1</v>
      </c>
      <c r="H1255">
        <f>VLOOKUP(A1255,Classifications!$A:$G,7,FALSE)</f>
        <v>41</v>
      </c>
      <c r="I1255" t="s">
        <v>24</v>
      </c>
      <c r="J1255" s="2">
        <v>44204.325798611113</v>
      </c>
    </row>
    <row r="1256" spans="1:10" ht="12.75" customHeight="1" x14ac:dyDescent="0.3">
      <c r="A1256">
        <v>1343629</v>
      </c>
      <c r="B1256" t="s">
        <v>1639</v>
      </c>
      <c r="C1256" t="s">
        <v>2616</v>
      </c>
      <c r="D1256" t="s">
        <v>1323</v>
      </c>
      <c r="E1256" t="s">
        <v>1324</v>
      </c>
      <c r="F1256">
        <f>VLOOKUP(A1256,Classifications!$A:$E,5,FALSE)</f>
        <v>1</v>
      </c>
      <c r="G1256">
        <f>VLOOKUP(A1256,Classifications!$A:$F,6,FALSE)</f>
        <v>1</v>
      </c>
      <c r="H1256">
        <f>VLOOKUP(A1256,Classifications!$A:$G,7,FALSE)</f>
        <v>36</v>
      </c>
      <c r="I1256" t="s">
        <v>1158</v>
      </c>
      <c r="J1256" s="2">
        <v>44204.000104166669</v>
      </c>
    </row>
    <row r="1257" spans="1:10" ht="12.75" customHeight="1" x14ac:dyDescent="0.3">
      <c r="A1257">
        <v>1343628</v>
      </c>
      <c r="B1257" t="s">
        <v>184</v>
      </c>
      <c r="C1257" t="s">
        <v>1069</v>
      </c>
      <c r="D1257" t="s">
        <v>1325</v>
      </c>
      <c r="E1257" s="1" t="s">
        <v>1326</v>
      </c>
      <c r="F1257">
        <f>VLOOKUP(A1257,Classifications!$A:$E,5,FALSE)</f>
        <v>1</v>
      </c>
      <c r="G1257">
        <f>VLOOKUP(A1257,Classifications!$A:$F,6,FALSE)</f>
        <v>1</v>
      </c>
      <c r="H1257">
        <f>VLOOKUP(A1257,Classifications!$A:$G,7,FALSE)</f>
        <v>36</v>
      </c>
      <c r="I1257" t="s">
        <v>1158</v>
      </c>
      <c r="J1257" s="2">
        <v>44204.000092592592</v>
      </c>
    </row>
    <row r="1258" spans="1:10" ht="12.75" customHeight="1" x14ac:dyDescent="0.3">
      <c r="A1258">
        <v>1343627</v>
      </c>
      <c r="B1258" t="s">
        <v>184</v>
      </c>
      <c r="C1258" t="s">
        <v>1069</v>
      </c>
      <c r="D1258" t="s">
        <v>1325</v>
      </c>
      <c r="E1258" s="1" t="s">
        <v>1326</v>
      </c>
      <c r="F1258">
        <f>VLOOKUP(A1258,Classifications!$A:$E,5,FALSE)</f>
        <v>1</v>
      </c>
      <c r="G1258">
        <f>VLOOKUP(A1258,Classifications!$A:$F,6,FALSE)</f>
        <v>1</v>
      </c>
      <c r="H1258">
        <f>VLOOKUP(A1258,Classifications!$A:$G,7,FALSE)</f>
        <v>36</v>
      </c>
      <c r="I1258" t="s">
        <v>1158</v>
      </c>
      <c r="J1258" s="2">
        <v>44204.000092592592</v>
      </c>
    </row>
    <row r="1259" spans="1:10" ht="12.75" customHeight="1" x14ac:dyDescent="0.3">
      <c r="A1259">
        <v>1343626</v>
      </c>
      <c r="B1259" t="s">
        <v>184</v>
      </c>
      <c r="C1259" t="s">
        <v>1428</v>
      </c>
      <c r="D1259" t="s">
        <v>1325</v>
      </c>
      <c r="E1259" s="1" t="s">
        <v>1326</v>
      </c>
      <c r="F1259">
        <f>VLOOKUP(A1259,Classifications!$A:$E,5,FALSE)</f>
        <v>1</v>
      </c>
      <c r="G1259">
        <f>VLOOKUP(A1259,Classifications!$A:$F,6,FALSE)</f>
        <v>1</v>
      </c>
      <c r="H1259">
        <f>VLOOKUP(A1259,Classifications!$A:$G,7,FALSE)</f>
        <v>36</v>
      </c>
      <c r="I1259" t="s">
        <v>1158</v>
      </c>
      <c r="J1259" s="2">
        <v>44204.000081018516</v>
      </c>
    </row>
    <row r="1260" spans="1:10" ht="12.75" customHeight="1" x14ac:dyDescent="0.3">
      <c r="A1260">
        <v>1343625</v>
      </c>
      <c r="B1260" t="s">
        <v>1010</v>
      </c>
      <c r="C1260" t="s">
        <v>1011</v>
      </c>
      <c r="D1260" t="s">
        <v>1156</v>
      </c>
      <c r="E1260" s="1" t="s">
        <v>1157</v>
      </c>
      <c r="F1260">
        <f>VLOOKUP(A1260,Classifications!$A:$E,5,FALSE)</f>
        <v>1</v>
      </c>
      <c r="G1260">
        <f>VLOOKUP(A1260,Classifications!$A:$F,6,FALSE)</f>
        <v>1</v>
      </c>
      <c r="H1260">
        <f>VLOOKUP(A1260,Classifications!$A:$G,7,FALSE)</f>
        <v>36</v>
      </c>
      <c r="I1260" t="s">
        <v>1158</v>
      </c>
      <c r="J1260" s="2">
        <v>44204.000069444446</v>
      </c>
    </row>
    <row r="1261" spans="1:10" ht="12.75" customHeight="1" x14ac:dyDescent="0.3">
      <c r="A1261">
        <v>1343624</v>
      </c>
      <c r="B1261" t="s">
        <v>2839</v>
      </c>
      <c r="C1261" t="s">
        <v>2840</v>
      </c>
      <c r="D1261" t="s">
        <v>1156</v>
      </c>
      <c r="E1261" s="1" t="s">
        <v>1157</v>
      </c>
      <c r="F1261">
        <f>VLOOKUP(A1261,Classifications!$A:$E,5,FALSE)</f>
        <v>1</v>
      </c>
      <c r="G1261">
        <f>VLOOKUP(A1261,Classifications!$A:$F,6,FALSE)</f>
        <v>1</v>
      </c>
      <c r="H1261">
        <f>VLOOKUP(A1261,Classifications!$A:$G,7,FALSE)</f>
        <v>36</v>
      </c>
      <c r="I1261" t="s">
        <v>1158</v>
      </c>
      <c r="J1261" s="2">
        <v>44204.000069444446</v>
      </c>
    </row>
    <row r="1262" spans="1:10" ht="12.75" customHeight="1" x14ac:dyDescent="0.3">
      <c r="A1262">
        <v>1343623</v>
      </c>
      <c r="B1262" t="s">
        <v>1782</v>
      </c>
      <c r="C1262" t="s">
        <v>2841</v>
      </c>
      <c r="D1262" t="s">
        <v>1156</v>
      </c>
      <c r="E1262" s="1" t="s">
        <v>1157</v>
      </c>
      <c r="F1262">
        <f>VLOOKUP(A1262,Classifications!$A:$E,5,FALSE)</f>
        <v>1</v>
      </c>
      <c r="G1262">
        <f>VLOOKUP(A1262,Classifications!$A:$F,6,FALSE)</f>
        <v>1</v>
      </c>
      <c r="H1262">
        <f>VLOOKUP(A1262,Classifications!$A:$G,7,FALSE)</f>
        <v>36</v>
      </c>
      <c r="I1262" t="s">
        <v>1158</v>
      </c>
      <c r="J1262" s="2">
        <v>44204.000057870369</v>
      </c>
    </row>
    <row r="1263" spans="1:10" ht="12.75" customHeight="1" x14ac:dyDescent="0.3">
      <c r="A1263">
        <v>1343622</v>
      </c>
      <c r="B1263" t="s">
        <v>1021</v>
      </c>
      <c r="C1263" t="s">
        <v>1022</v>
      </c>
      <c r="D1263" t="s">
        <v>1156</v>
      </c>
      <c r="E1263" s="1" t="s">
        <v>1157</v>
      </c>
      <c r="F1263">
        <f>VLOOKUP(A1263,Classifications!$A:$E,5,FALSE)</f>
        <v>1</v>
      </c>
      <c r="G1263">
        <f>VLOOKUP(A1263,Classifications!$A:$F,6,FALSE)</f>
        <v>1</v>
      </c>
      <c r="H1263">
        <f>VLOOKUP(A1263,Classifications!$A:$G,7,FALSE)</f>
        <v>36</v>
      </c>
      <c r="I1263" t="s">
        <v>1158</v>
      </c>
      <c r="J1263" s="2">
        <v>44204.000057870369</v>
      </c>
    </row>
    <row r="1264" spans="1:10" ht="12.75" customHeight="1" x14ac:dyDescent="0.3">
      <c r="A1264">
        <v>1343621</v>
      </c>
      <c r="B1264" t="s">
        <v>290</v>
      </c>
      <c r="C1264" t="s">
        <v>308</v>
      </c>
      <c r="D1264" t="s">
        <v>1156</v>
      </c>
      <c r="E1264" s="1" t="s">
        <v>1157</v>
      </c>
      <c r="F1264">
        <f>VLOOKUP(A1264,Classifications!$A:$E,5,FALSE)</f>
        <v>1</v>
      </c>
      <c r="G1264">
        <f>VLOOKUP(A1264,Classifications!$A:$F,6,FALSE)</f>
        <v>1</v>
      </c>
      <c r="H1264">
        <f>VLOOKUP(A1264,Classifications!$A:$G,7,FALSE)</f>
        <v>36</v>
      </c>
      <c r="I1264" t="s">
        <v>1158</v>
      </c>
      <c r="J1264" s="2">
        <v>44204.0000462963</v>
      </c>
    </row>
    <row r="1265" spans="1:10" ht="12.75" customHeight="1" x14ac:dyDescent="0.3">
      <c r="A1265">
        <v>1343620</v>
      </c>
      <c r="B1265" t="s">
        <v>2842</v>
      </c>
      <c r="C1265" t="s">
        <v>2843</v>
      </c>
      <c r="D1265" t="s">
        <v>1156</v>
      </c>
      <c r="E1265" s="1" t="s">
        <v>1157</v>
      </c>
      <c r="F1265">
        <f>VLOOKUP(A1265,Classifications!$A:$E,5,FALSE)</f>
        <v>1</v>
      </c>
      <c r="G1265">
        <f>VLOOKUP(A1265,Classifications!$A:$F,6,FALSE)</f>
        <v>1</v>
      </c>
      <c r="H1265">
        <f>VLOOKUP(A1265,Classifications!$A:$G,7,FALSE)</f>
        <v>36</v>
      </c>
      <c r="I1265" t="s">
        <v>1158</v>
      </c>
      <c r="J1265" s="2">
        <v>44204.0000462963</v>
      </c>
    </row>
    <row r="1266" spans="1:10" ht="12.75" customHeight="1" x14ac:dyDescent="0.3">
      <c r="A1266">
        <v>1343619</v>
      </c>
      <c r="B1266" t="s">
        <v>2844</v>
      </c>
      <c r="C1266" t="s">
        <v>2845</v>
      </c>
      <c r="D1266" t="s">
        <v>1156</v>
      </c>
      <c r="E1266" s="1" t="s">
        <v>1157</v>
      </c>
      <c r="F1266">
        <f>VLOOKUP(A1266,Classifications!$A:$E,5,FALSE)</f>
        <v>1</v>
      </c>
      <c r="G1266">
        <f>VLOOKUP(A1266,Classifications!$A:$F,6,FALSE)</f>
        <v>1</v>
      </c>
      <c r="H1266">
        <f>VLOOKUP(A1266,Classifications!$A:$G,7,FALSE)</f>
        <v>36</v>
      </c>
      <c r="I1266" t="s">
        <v>1158</v>
      </c>
      <c r="J1266" s="2">
        <v>44204.0000462963</v>
      </c>
    </row>
    <row r="1267" spans="1:10" ht="12.75" customHeight="1" x14ac:dyDescent="0.3">
      <c r="A1267">
        <v>1343618</v>
      </c>
      <c r="B1267" t="s">
        <v>230</v>
      </c>
      <c r="C1267" t="s">
        <v>977</v>
      </c>
      <c r="D1267" t="s">
        <v>1429</v>
      </c>
      <c r="E1267" s="1" t="s">
        <v>1160</v>
      </c>
      <c r="F1267">
        <f>VLOOKUP(A1267,Classifications!$A:$E,5,FALSE)</f>
        <v>1</v>
      </c>
      <c r="G1267">
        <f>VLOOKUP(A1267,Classifications!$A:$F,6,FALSE)</f>
        <v>1</v>
      </c>
      <c r="H1267">
        <f>VLOOKUP(A1267,Classifications!$A:$G,7,FALSE)</f>
        <v>36</v>
      </c>
      <c r="I1267" t="s">
        <v>1158</v>
      </c>
      <c r="J1267" s="2">
        <v>44204.000034722223</v>
      </c>
    </row>
    <row r="1268" spans="1:10" ht="12.75" customHeight="1" x14ac:dyDescent="0.3">
      <c r="A1268">
        <v>1343617</v>
      </c>
      <c r="B1268" t="s">
        <v>139</v>
      </c>
      <c r="C1268" t="s">
        <v>2846</v>
      </c>
      <c r="D1268" t="s">
        <v>1429</v>
      </c>
      <c r="E1268" s="1" t="s">
        <v>1160</v>
      </c>
      <c r="F1268">
        <f>VLOOKUP(A1268,Classifications!$A:$E,5,FALSE)</f>
        <v>1</v>
      </c>
      <c r="G1268">
        <f>VLOOKUP(A1268,Classifications!$A:$F,6,FALSE)</f>
        <v>1</v>
      </c>
      <c r="H1268">
        <f>VLOOKUP(A1268,Classifications!$A:$G,7,FALSE)</f>
        <v>36</v>
      </c>
      <c r="I1268" t="s">
        <v>1158</v>
      </c>
      <c r="J1268" s="2">
        <v>44204.000023148146</v>
      </c>
    </row>
    <row r="1269" spans="1:10" ht="12.75" customHeight="1" x14ac:dyDescent="0.3">
      <c r="A1269">
        <v>1343494</v>
      </c>
      <c r="B1269" t="s">
        <v>53</v>
      </c>
      <c r="C1269" t="s">
        <v>54</v>
      </c>
      <c r="D1269" t="s">
        <v>2847</v>
      </c>
      <c r="E1269" s="1" t="s">
        <v>2848</v>
      </c>
      <c r="F1269">
        <f>VLOOKUP(A1269,Classifications!$A:$E,5,FALSE)</f>
        <v>3</v>
      </c>
      <c r="G1269">
        <f>VLOOKUP(A1269,Classifications!$A:$F,6,FALSE)</f>
        <v>1</v>
      </c>
      <c r="H1269">
        <f>VLOOKUP(A1269,Classifications!$A:$G,7,FALSE)</f>
        <v>41</v>
      </c>
      <c r="I1269" t="s">
        <v>11</v>
      </c>
      <c r="J1269" s="2">
        <v>44203.866689814815</v>
      </c>
    </row>
    <row r="1270" spans="1:10" ht="12.75" customHeight="1" x14ac:dyDescent="0.3">
      <c r="A1270">
        <v>1343419</v>
      </c>
      <c r="B1270" t="s">
        <v>150</v>
      </c>
      <c r="C1270" t="s">
        <v>1797</v>
      </c>
      <c r="D1270" t="s">
        <v>2849</v>
      </c>
      <c r="E1270" s="1" t="s">
        <v>2850</v>
      </c>
      <c r="F1270">
        <f>VLOOKUP(A1270,Classifications!$A:$E,5,FALSE)</f>
        <v>1</v>
      </c>
      <c r="G1270">
        <f>VLOOKUP(A1270,Classifications!$A:$F,6,FALSE)</f>
        <v>2</v>
      </c>
      <c r="H1270">
        <f>VLOOKUP(A1270,Classifications!$A:$G,7,FALSE)</f>
        <v>41</v>
      </c>
      <c r="I1270" t="s">
        <v>24</v>
      </c>
      <c r="J1270" s="2">
        <v>44203.770416666666</v>
      </c>
    </row>
    <row r="1271" spans="1:10" ht="12.75" customHeight="1" x14ac:dyDescent="0.3">
      <c r="A1271">
        <v>1343372</v>
      </c>
      <c r="B1271" t="s">
        <v>20</v>
      </c>
      <c r="C1271" t="s">
        <v>2851</v>
      </c>
      <c r="D1271" t="s">
        <v>2852</v>
      </c>
      <c r="E1271" s="1" t="s">
        <v>2853</v>
      </c>
      <c r="F1271">
        <f>VLOOKUP(A1271,Classifications!$A:$E,5,FALSE)</f>
        <v>1</v>
      </c>
      <c r="G1271">
        <f>VLOOKUP(A1271,Classifications!$A:$F,6,FALSE)</f>
        <v>2</v>
      </c>
      <c r="H1271">
        <f>VLOOKUP(A1271,Classifications!$A:$G,7,FALSE)</f>
        <v>41</v>
      </c>
      <c r="I1271" t="s">
        <v>24</v>
      </c>
      <c r="J1271" s="2">
        <v>44203.700856481482</v>
      </c>
    </row>
    <row r="1272" spans="1:10" ht="12.75" customHeight="1" x14ac:dyDescent="0.3">
      <c r="A1272">
        <v>1343367</v>
      </c>
      <c r="B1272" t="s">
        <v>157</v>
      </c>
      <c r="C1272" t="s">
        <v>2854</v>
      </c>
      <c r="D1272" t="s">
        <v>2855</v>
      </c>
      <c r="E1272" s="1" t="s">
        <v>2856</v>
      </c>
      <c r="F1272">
        <f>VLOOKUP(A1272,Classifications!$A:$E,5,FALSE)</f>
        <v>1</v>
      </c>
      <c r="G1272">
        <f>VLOOKUP(A1272,Classifications!$A:$F,6,FALSE)</f>
        <v>1</v>
      </c>
      <c r="H1272">
        <f>VLOOKUP(A1272,Classifications!$A:$G,7,FALSE)</f>
        <v>41</v>
      </c>
      <c r="I1272" t="s">
        <v>11</v>
      </c>
      <c r="J1272" s="2">
        <v>44203.688425925924</v>
      </c>
    </row>
    <row r="1273" spans="1:10" ht="12.75" customHeight="1" x14ac:dyDescent="0.3">
      <c r="A1273">
        <v>1343359</v>
      </c>
      <c r="B1273" t="s">
        <v>45</v>
      </c>
      <c r="C1273" t="s">
        <v>2857</v>
      </c>
      <c r="D1273" t="s">
        <v>2858</v>
      </c>
      <c r="E1273" s="1" t="s">
        <v>2859</v>
      </c>
      <c r="F1273">
        <f>VLOOKUP(A1273,Classifications!$A:$E,5,FALSE)</f>
        <v>2</v>
      </c>
      <c r="G1273">
        <f>VLOOKUP(A1273,Classifications!$A:$F,6,FALSE)</f>
        <v>2</v>
      </c>
      <c r="H1273">
        <f>VLOOKUP(A1273,Classifications!$A:$G,7,FALSE)</f>
        <v>41</v>
      </c>
      <c r="I1273" t="s">
        <v>11</v>
      </c>
      <c r="J1273" s="2">
        <v>44203.667233796295</v>
      </c>
    </row>
    <row r="1274" spans="1:10" ht="12.75" customHeight="1" x14ac:dyDescent="0.3">
      <c r="A1274">
        <v>1343358</v>
      </c>
      <c r="B1274" t="s">
        <v>45</v>
      </c>
      <c r="C1274" t="s">
        <v>354</v>
      </c>
      <c r="D1274" t="s">
        <v>2860</v>
      </c>
      <c r="E1274" s="1" t="s">
        <v>2861</v>
      </c>
      <c r="F1274">
        <f>VLOOKUP(A1274,Classifications!$A:$E,5,FALSE)</f>
        <v>1</v>
      </c>
      <c r="G1274">
        <f>VLOOKUP(A1274,Classifications!$A:$F,6,FALSE)</f>
        <v>1</v>
      </c>
      <c r="H1274">
        <f>VLOOKUP(A1274,Classifications!$A:$G,7,FALSE)</f>
        <v>43</v>
      </c>
      <c r="I1274" t="s">
        <v>11</v>
      </c>
      <c r="J1274" s="2">
        <v>44203.663993055554</v>
      </c>
    </row>
    <row r="1275" spans="1:10" ht="12.75" customHeight="1" x14ac:dyDescent="0.3">
      <c r="A1275">
        <v>1343356</v>
      </c>
      <c r="B1275" t="s">
        <v>852</v>
      </c>
      <c r="C1275" t="s">
        <v>853</v>
      </c>
      <c r="D1275">
        <v>1330905</v>
      </c>
      <c r="E1275" s="1" t="s">
        <v>2862</v>
      </c>
      <c r="F1275">
        <f>VLOOKUP(A1275,Classifications!$A:$E,5,FALSE)</f>
        <v>1</v>
      </c>
      <c r="G1275">
        <f>VLOOKUP(A1275,Classifications!$A:$F,6,FALSE)</f>
        <v>1</v>
      </c>
      <c r="H1275">
        <f>VLOOKUP(A1275,Classifications!$A:$G,7,FALSE)</f>
        <v>43</v>
      </c>
      <c r="I1275" t="s">
        <v>11</v>
      </c>
      <c r="J1275" s="2">
        <v>44203.662442129629</v>
      </c>
    </row>
    <row r="1276" spans="1:10" ht="12.75" customHeight="1" x14ac:dyDescent="0.3">
      <c r="A1276">
        <v>1343354</v>
      </c>
      <c r="B1276" t="s">
        <v>95</v>
      </c>
      <c r="C1276" t="s">
        <v>2863</v>
      </c>
      <c r="D1276" t="s">
        <v>2864</v>
      </c>
      <c r="E1276" s="1" t="s">
        <v>2865</v>
      </c>
      <c r="F1276">
        <f>VLOOKUP(A1276,Classifications!$A:$E,5,FALSE)</f>
        <v>1</v>
      </c>
      <c r="G1276">
        <f>VLOOKUP(A1276,Classifications!$A:$F,6,FALSE)</f>
        <v>1</v>
      </c>
      <c r="H1276">
        <f>VLOOKUP(A1276,Classifications!$A:$G,7,FALSE)</f>
        <v>41</v>
      </c>
      <c r="I1276" t="s">
        <v>11</v>
      </c>
      <c r="J1276" s="2">
        <v>44203.656481481485</v>
      </c>
    </row>
    <row r="1277" spans="1:10" ht="12.75" customHeight="1" x14ac:dyDescent="0.3">
      <c r="A1277">
        <v>1343336</v>
      </c>
      <c r="B1277" t="s">
        <v>157</v>
      </c>
      <c r="C1277" t="s">
        <v>414</v>
      </c>
      <c r="D1277" t="s">
        <v>2866</v>
      </c>
      <c r="E1277" s="1" t="s">
        <v>2867</v>
      </c>
      <c r="F1277">
        <f>VLOOKUP(A1277,Classifications!$A:$E,5,FALSE)</f>
        <v>1</v>
      </c>
      <c r="G1277">
        <f>VLOOKUP(A1277,Classifications!$A:$F,6,FALSE)</f>
        <v>1</v>
      </c>
      <c r="H1277">
        <f>VLOOKUP(A1277,Classifications!$A:$G,7,FALSE)</f>
        <v>43</v>
      </c>
      <c r="I1277" t="s">
        <v>11</v>
      </c>
      <c r="J1277" s="2">
        <v>44203.632569444446</v>
      </c>
    </row>
    <row r="1278" spans="1:10" ht="12.75" customHeight="1" x14ac:dyDescent="0.3">
      <c r="A1278">
        <v>1343333</v>
      </c>
      <c r="B1278" t="s">
        <v>281</v>
      </c>
      <c r="C1278" t="s">
        <v>282</v>
      </c>
      <c r="D1278" t="s">
        <v>2776</v>
      </c>
      <c r="E1278" s="1" t="s">
        <v>2868</v>
      </c>
      <c r="F1278">
        <f>VLOOKUP(A1278,Classifications!$A:$E,5,FALSE)</f>
        <v>1</v>
      </c>
      <c r="G1278">
        <f>VLOOKUP(A1278,Classifications!$A:$F,6,FALSE)</f>
        <v>1</v>
      </c>
      <c r="H1278">
        <f>VLOOKUP(A1278,Classifications!$A:$G,7,FALSE)</f>
        <v>36</v>
      </c>
      <c r="I1278" t="s">
        <v>11</v>
      </c>
      <c r="J1278" s="2">
        <v>44203.626666666663</v>
      </c>
    </row>
    <row r="1279" spans="1:10" ht="12.75" customHeight="1" x14ac:dyDescent="0.3">
      <c r="A1279">
        <v>1343331</v>
      </c>
      <c r="B1279" t="s">
        <v>118</v>
      </c>
      <c r="C1279" t="s">
        <v>200</v>
      </c>
      <c r="D1279" t="s">
        <v>2869</v>
      </c>
      <c r="E1279" s="1" t="s">
        <v>2870</v>
      </c>
      <c r="F1279">
        <f>VLOOKUP(A1279,Classifications!$A:$E,5,FALSE)</f>
        <v>1</v>
      </c>
      <c r="G1279">
        <f>VLOOKUP(A1279,Classifications!$A:$F,6,FALSE)</f>
        <v>1</v>
      </c>
      <c r="H1279">
        <f>VLOOKUP(A1279,Classifications!$A:$G,7,FALSE)</f>
        <v>43</v>
      </c>
      <c r="I1279" t="s">
        <v>11</v>
      </c>
      <c r="J1279" s="2">
        <v>44203.622696759259</v>
      </c>
    </row>
    <row r="1280" spans="1:10" ht="12.75" customHeight="1" x14ac:dyDescent="0.3">
      <c r="A1280">
        <v>1343326</v>
      </c>
      <c r="B1280" t="s">
        <v>16</v>
      </c>
      <c r="C1280" t="s">
        <v>181</v>
      </c>
      <c r="D1280" t="s">
        <v>2871</v>
      </c>
      <c r="E1280" s="1" t="s">
        <v>2872</v>
      </c>
      <c r="F1280">
        <f>VLOOKUP(A1280,Classifications!$A:$E,5,FALSE)</f>
        <v>1</v>
      </c>
      <c r="G1280">
        <f>VLOOKUP(A1280,Classifications!$A:$F,6,FALSE)</f>
        <v>1</v>
      </c>
      <c r="H1280">
        <f>VLOOKUP(A1280,Classifications!$A:$G,7,FALSE)</f>
        <v>36</v>
      </c>
      <c r="I1280" t="s">
        <v>24</v>
      </c>
      <c r="J1280" s="2">
        <v>44203.60733796296</v>
      </c>
    </row>
    <row r="1281" spans="1:10" ht="12.75" customHeight="1" x14ac:dyDescent="0.3">
      <c r="A1281">
        <v>1343296</v>
      </c>
      <c r="B1281" t="s">
        <v>45</v>
      </c>
      <c r="C1281" t="s">
        <v>1743</v>
      </c>
      <c r="D1281" t="s">
        <v>2873</v>
      </c>
      <c r="E1281" s="1" t="s">
        <v>2874</v>
      </c>
      <c r="F1281">
        <f>VLOOKUP(A1281,Classifications!$A:$E,5,FALSE)</f>
        <v>1</v>
      </c>
      <c r="G1281">
        <f>VLOOKUP(A1281,Classifications!$A:$F,6,FALSE)</f>
        <v>1</v>
      </c>
      <c r="H1281">
        <f>VLOOKUP(A1281,Classifications!$A:$G,7,FALSE)</f>
        <v>43</v>
      </c>
      <c r="I1281" t="s">
        <v>11</v>
      </c>
      <c r="J1281" s="2">
        <v>44203.515127314815</v>
      </c>
    </row>
    <row r="1282" spans="1:10" ht="12.75" customHeight="1" x14ac:dyDescent="0.3">
      <c r="A1282">
        <v>1343274</v>
      </c>
      <c r="B1282" t="s">
        <v>157</v>
      </c>
      <c r="C1282" t="s">
        <v>1740</v>
      </c>
      <c r="D1282" t="s">
        <v>2875</v>
      </c>
      <c r="E1282" s="1" t="s">
        <v>2876</v>
      </c>
      <c r="F1282">
        <f>VLOOKUP(A1282,Classifications!$A:$E,5,FALSE)</f>
        <v>1</v>
      </c>
      <c r="G1282">
        <f>VLOOKUP(A1282,Classifications!$A:$F,6,FALSE)</f>
        <v>1</v>
      </c>
      <c r="H1282">
        <f>VLOOKUP(A1282,Classifications!$A:$G,7,FALSE)</f>
        <v>43</v>
      </c>
      <c r="I1282" t="s">
        <v>11</v>
      </c>
      <c r="J1282" s="2">
        <v>44203.501273148147</v>
      </c>
    </row>
    <row r="1283" spans="1:10" ht="12.75" customHeight="1" x14ac:dyDescent="0.3">
      <c r="A1283">
        <v>1343266</v>
      </c>
      <c r="B1283" t="s">
        <v>74</v>
      </c>
      <c r="C1283" t="s">
        <v>75</v>
      </c>
      <c r="D1283" t="s">
        <v>2877</v>
      </c>
      <c r="E1283" s="1" t="s">
        <v>2878</v>
      </c>
      <c r="F1283">
        <f>VLOOKUP(A1283,Classifications!$A:$E,5,FALSE)</f>
        <v>1</v>
      </c>
      <c r="G1283">
        <f>VLOOKUP(A1283,Classifications!$A:$F,6,FALSE)</f>
        <v>1</v>
      </c>
      <c r="H1283">
        <f>VLOOKUP(A1283,Classifications!$A:$G,7,FALSE)</f>
        <v>43</v>
      </c>
      <c r="I1283" t="s">
        <v>24</v>
      </c>
      <c r="J1283" s="2">
        <v>44203.486076388886</v>
      </c>
    </row>
    <row r="1284" spans="1:10" ht="12.75" customHeight="1" x14ac:dyDescent="0.3">
      <c r="A1284">
        <v>1343256</v>
      </c>
      <c r="B1284" t="s">
        <v>32</v>
      </c>
      <c r="C1284" t="s">
        <v>33</v>
      </c>
      <c r="D1284" t="s">
        <v>2879</v>
      </c>
      <c r="E1284" s="1" t="s">
        <v>2880</v>
      </c>
      <c r="F1284">
        <f>VLOOKUP(A1284,Classifications!$A:$E,5,FALSE)</f>
        <v>1</v>
      </c>
      <c r="G1284">
        <f>VLOOKUP(A1284,Classifications!$A:$F,6,FALSE)</f>
        <v>1</v>
      </c>
      <c r="H1284">
        <f>VLOOKUP(A1284,Classifications!$A:$G,7,FALSE)</f>
        <v>43</v>
      </c>
      <c r="I1284" t="s">
        <v>11</v>
      </c>
      <c r="J1284" s="2">
        <v>44203.459085648145</v>
      </c>
    </row>
    <row r="1285" spans="1:10" ht="12.75" customHeight="1" x14ac:dyDescent="0.3">
      <c r="A1285">
        <v>1343253</v>
      </c>
      <c r="B1285" t="s">
        <v>473</v>
      </c>
      <c r="C1285" t="s">
        <v>1381</v>
      </c>
      <c r="D1285" t="s">
        <v>2881</v>
      </c>
      <c r="E1285" s="1" t="s">
        <v>2882</v>
      </c>
      <c r="F1285">
        <f>VLOOKUP(A1285,Classifications!$A:$E,5,FALSE)</f>
        <v>1</v>
      </c>
      <c r="G1285">
        <f>VLOOKUP(A1285,Classifications!$A:$F,6,FALSE)</f>
        <v>1</v>
      </c>
      <c r="H1285">
        <f>VLOOKUP(A1285,Classifications!$A:$G,7,FALSE)</f>
        <v>41</v>
      </c>
      <c r="I1285" t="s">
        <v>11</v>
      </c>
      <c r="J1285" s="2">
        <v>44203.454131944447</v>
      </c>
    </row>
    <row r="1286" spans="1:10" ht="12.75" customHeight="1" x14ac:dyDescent="0.3">
      <c r="A1286">
        <v>1343246</v>
      </c>
      <c r="B1286" t="s">
        <v>36</v>
      </c>
      <c r="C1286" t="s">
        <v>822</v>
      </c>
      <c r="D1286" t="s">
        <v>2883</v>
      </c>
      <c r="E1286" s="1" t="s">
        <v>2884</v>
      </c>
      <c r="F1286">
        <f>VLOOKUP(A1286,Classifications!$A:$E,5,FALSE)</f>
        <v>2</v>
      </c>
      <c r="G1286">
        <f>VLOOKUP(A1286,Classifications!$A:$F,6,FALSE)</f>
        <v>2</v>
      </c>
      <c r="H1286">
        <f>VLOOKUP(A1286,Classifications!$A:$G,7,FALSE)</f>
        <v>41</v>
      </c>
      <c r="I1286" t="s">
        <v>24</v>
      </c>
      <c r="J1286" s="2">
        <v>44203.431226851855</v>
      </c>
    </row>
    <row r="1287" spans="1:10" ht="12.75" customHeight="1" x14ac:dyDescent="0.3">
      <c r="A1287">
        <v>1343182</v>
      </c>
      <c r="B1287" t="s">
        <v>49</v>
      </c>
      <c r="C1287" t="s">
        <v>1469</v>
      </c>
      <c r="D1287" t="s">
        <v>2885</v>
      </c>
      <c r="E1287" s="1" t="s">
        <v>2886</v>
      </c>
      <c r="F1287">
        <f>VLOOKUP(A1287,Classifications!$A:$E,5,FALSE)</f>
        <v>1</v>
      </c>
      <c r="G1287">
        <f>VLOOKUP(A1287,Classifications!$A:$F,6,FALSE)</f>
        <v>1</v>
      </c>
      <c r="H1287">
        <f>VLOOKUP(A1287,Classifications!$A:$G,7,FALSE)</f>
        <v>43</v>
      </c>
      <c r="I1287" t="s">
        <v>11</v>
      </c>
      <c r="J1287" s="2">
        <v>44203.415462962963</v>
      </c>
    </row>
    <row r="1288" spans="1:10" ht="12.75" customHeight="1" x14ac:dyDescent="0.3">
      <c r="A1288">
        <v>1343180</v>
      </c>
      <c r="B1288" t="s">
        <v>7</v>
      </c>
      <c r="C1288" t="s">
        <v>158</v>
      </c>
      <c r="D1288" t="s">
        <v>737</v>
      </c>
      <c r="E1288" s="1" t="s">
        <v>2887</v>
      </c>
      <c r="F1288">
        <f>VLOOKUP(A1288,Classifications!$A:$E,5,FALSE)</f>
        <v>1</v>
      </c>
      <c r="G1288">
        <f>VLOOKUP(A1288,Classifications!$A:$F,6,FALSE)</f>
        <v>1</v>
      </c>
      <c r="H1288">
        <f>VLOOKUP(A1288,Classifications!$A:$G,7,FALSE)</f>
        <v>41</v>
      </c>
      <c r="I1288" t="s">
        <v>11</v>
      </c>
      <c r="J1288" s="2">
        <v>44203.402314814812</v>
      </c>
    </row>
    <row r="1289" spans="1:10" ht="12.75" customHeight="1" x14ac:dyDescent="0.3">
      <c r="A1289">
        <v>1343179</v>
      </c>
      <c r="B1289" t="s">
        <v>7</v>
      </c>
      <c r="C1289" t="s">
        <v>158</v>
      </c>
      <c r="D1289" t="s">
        <v>737</v>
      </c>
      <c r="E1289" s="1" t="s">
        <v>2888</v>
      </c>
      <c r="F1289">
        <f>VLOOKUP(A1289,Classifications!$A:$E,5,FALSE)</f>
        <v>1</v>
      </c>
      <c r="G1289">
        <f>VLOOKUP(A1289,Classifications!$A:$F,6,FALSE)</f>
        <v>1</v>
      </c>
      <c r="H1289">
        <f>VLOOKUP(A1289,Classifications!$A:$G,7,FALSE)</f>
        <v>41</v>
      </c>
      <c r="I1289" t="s">
        <v>11</v>
      </c>
      <c r="J1289" s="2">
        <v>44203.401597222219</v>
      </c>
    </row>
    <row r="1290" spans="1:10" ht="12.75" customHeight="1" x14ac:dyDescent="0.3">
      <c r="A1290">
        <v>1343178</v>
      </c>
      <c r="B1290" t="s">
        <v>12</v>
      </c>
      <c r="C1290" t="s">
        <v>2889</v>
      </c>
      <c r="D1290" t="s">
        <v>2890</v>
      </c>
      <c r="E1290" s="1" t="s">
        <v>2891</v>
      </c>
      <c r="F1290">
        <f>VLOOKUP(A1290,Classifications!$A:$E,5,FALSE)</f>
        <v>1</v>
      </c>
      <c r="G1290">
        <f>VLOOKUP(A1290,Classifications!$A:$F,6,FALSE)</f>
        <v>1</v>
      </c>
      <c r="H1290">
        <f>VLOOKUP(A1290,Classifications!$A:$G,7,FALSE)</f>
        <v>41</v>
      </c>
      <c r="I1290" t="s">
        <v>11</v>
      </c>
      <c r="J1290" s="2">
        <v>44203.400173611109</v>
      </c>
    </row>
    <row r="1291" spans="1:10" ht="12.75" customHeight="1" x14ac:dyDescent="0.3">
      <c r="A1291">
        <v>1343177</v>
      </c>
      <c r="B1291" t="s">
        <v>7</v>
      </c>
      <c r="C1291" t="s">
        <v>158</v>
      </c>
      <c r="D1291" t="s">
        <v>737</v>
      </c>
      <c r="E1291" s="1" t="s">
        <v>2892</v>
      </c>
      <c r="F1291">
        <f>VLOOKUP(A1291,Classifications!$A:$E,5,FALSE)</f>
        <v>1</v>
      </c>
      <c r="G1291">
        <f>VLOOKUP(A1291,Classifications!$A:$F,6,FALSE)</f>
        <v>1</v>
      </c>
      <c r="H1291">
        <f>VLOOKUP(A1291,Classifications!$A:$G,7,FALSE)</f>
        <v>41</v>
      </c>
      <c r="I1291" t="s">
        <v>11</v>
      </c>
      <c r="J1291" s="2">
        <v>44203.398831018516</v>
      </c>
    </row>
    <row r="1292" spans="1:10" ht="12.75" customHeight="1" x14ac:dyDescent="0.3">
      <c r="A1292">
        <v>1343169</v>
      </c>
      <c r="B1292" t="s">
        <v>49</v>
      </c>
      <c r="C1292" t="s">
        <v>798</v>
      </c>
      <c r="D1292" t="s">
        <v>2893</v>
      </c>
      <c r="E1292" s="1" t="s">
        <v>2894</v>
      </c>
      <c r="F1292">
        <f>VLOOKUP(A1292,Classifications!$A:$E,5,FALSE)</f>
        <v>2</v>
      </c>
      <c r="G1292">
        <f>VLOOKUP(A1292,Classifications!$A:$F,6,FALSE)</f>
        <v>2</v>
      </c>
      <c r="H1292">
        <f>VLOOKUP(A1292,Classifications!$A:$G,7,FALSE)</f>
        <v>43</v>
      </c>
      <c r="I1292" t="s">
        <v>11</v>
      </c>
      <c r="J1292" s="2">
        <v>44203.392430555556</v>
      </c>
    </row>
    <row r="1293" spans="1:10" ht="12.75" customHeight="1" x14ac:dyDescent="0.3">
      <c r="A1293">
        <v>1343154</v>
      </c>
      <c r="B1293" t="s">
        <v>218</v>
      </c>
      <c r="C1293" t="s">
        <v>219</v>
      </c>
      <c r="D1293" t="s">
        <v>2895</v>
      </c>
      <c r="E1293" s="1" t="s">
        <v>2896</v>
      </c>
      <c r="F1293">
        <f>VLOOKUP(A1293,Classifications!$A:$E,5,FALSE)</f>
        <v>1</v>
      </c>
      <c r="G1293">
        <f>VLOOKUP(A1293,Classifications!$A:$F,6,FALSE)</f>
        <v>1</v>
      </c>
      <c r="H1293">
        <f>VLOOKUP(A1293,Classifications!$A:$G,7,FALSE)</f>
        <v>43</v>
      </c>
      <c r="I1293" t="s">
        <v>11</v>
      </c>
      <c r="J1293" s="2">
        <v>44203.376712962963</v>
      </c>
    </row>
    <row r="1294" spans="1:10" ht="12.75" customHeight="1" x14ac:dyDescent="0.3">
      <c r="A1294">
        <v>1343153</v>
      </c>
      <c r="B1294" t="s">
        <v>95</v>
      </c>
      <c r="C1294" t="s">
        <v>668</v>
      </c>
      <c r="D1294" t="s">
        <v>2897</v>
      </c>
      <c r="E1294" s="1" t="s">
        <v>2898</v>
      </c>
      <c r="F1294">
        <f>VLOOKUP(A1294,Classifications!$A:$E,5,FALSE)</f>
        <v>1</v>
      </c>
      <c r="G1294">
        <f>VLOOKUP(A1294,Classifications!$A:$F,6,FALSE)</f>
        <v>1</v>
      </c>
      <c r="H1294">
        <f>VLOOKUP(A1294,Classifications!$A:$G,7,FALSE)</f>
        <v>41</v>
      </c>
      <c r="I1294" t="s">
        <v>24</v>
      </c>
      <c r="J1294" s="2">
        <v>44203.376168981478</v>
      </c>
    </row>
    <row r="1295" spans="1:10" ht="12.75" customHeight="1" x14ac:dyDescent="0.3">
      <c r="A1295">
        <v>1343134</v>
      </c>
      <c r="B1295" t="s">
        <v>281</v>
      </c>
      <c r="C1295" t="s">
        <v>282</v>
      </c>
      <c r="D1295" t="s">
        <v>2899</v>
      </c>
      <c r="E1295" s="1" t="s">
        <v>2900</v>
      </c>
      <c r="F1295">
        <f>VLOOKUP(A1295,Classifications!$A:$E,5,FALSE)</f>
        <v>1</v>
      </c>
      <c r="G1295">
        <f>VLOOKUP(A1295,Classifications!$A:$F,6,FALSE)</f>
        <v>1</v>
      </c>
      <c r="H1295">
        <f>VLOOKUP(A1295,Classifications!$A:$G,7,FALSE)</f>
        <v>36</v>
      </c>
      <c r="I1295" t="s">
        <v>11</v>
      </c>
      <c r="J1295" s="2">
        <v>44203.351979166669</v>
      </c>
    </row>
    <row r="1296" spans="1:10" ht="12.75" customHeight="1" x14ac:dyDescent="0.3">
      <c r="A1296">
        <v>1343129</v>
      </c>
      <c r="B1296" t="s">
        <v>95</v>
      </c>
      <c r="C1296" t="s">
        <v>2901</v>
      </c>
      <c r="D1296" t="s">
        <v>2902</v>
      </c>
      <c r="E1296" s="1" t="s">
        <v>2903</v>
      </c>
      <c r="F1296">
        <f>VLOOKUP(A1296,Classifications!$A:$E,5,FALSE)</f>
        <v>1</v>
      </c>
      <c r="G1296">
        <f>VLOOKUP(A1296,Classifications!$A:$F,6,FALSE)</f>
        <v>1</v>
      </c>
      <c r="H1296">
        <f>VLOOKUP(A1296,Classifications!$A:$G,7,FALSE)</f>
        <v>41</v>
      </c>
      <c r="I1296" t="s">
        <v>11</v>
      </c>
      <c r="J1296" s="2">
        <v>44203.348321759258</v>
      </c>
    </row>
    <row r="1297" spans="1:10" ht="12.75" customHeight="1" x14ac:dyDescent="0.3">
      <c r="A1297">
        <v>1343128</v>
      </c>
      <c r="B1297" t="s">
        <v>335</v>
      </c>
      <c r="C1297" t="s">
        <v>2904</v>
      </c>
      <c r="D1297" t="s">
        <v>2905</v>
      </c>
      <c r="E1297" s="1" t="s">
        <v>2906</v>
      </c>
      <c r="F1297">
        <f>VLOOKUP(A1297,Classifications!$A:$E,5,FALSE)</f>
        <v>1</v>
      </c>
      <c r="G1297">
        <f>VLOOKUP(A1297,Classifications!$A:$F,6,FALSE)</f>
        <v>1</v>
      </c>
      <c r="H1297">
        <f>VLOOKUP(A1297,Classifications!$A:$G,7,FALSE)</f>
        <v>43</v>
      </c>
      <c r="I1297" t="s">
        <v>11</v>
      </c>
      <c r="J1297" s="2">
        <v>44203.345486111109</v>
      </c>
    </row>
    <row r="1298" spans="1:10" ht="12.75" customHeight="1" x14ac:dyDescent="0.3">
      <c r="A1298">
        <v>1343127</v>
      </c>
      <c r="B1298" t="s">
        <v>95</v>
      </c>
      <c r="C1298" t="s">
        <v>2148</v>
      </c>
      <c r="D1298" t="s">
        <v>2907</v>
      </c>
      <c r="E1298" s="1" t="s">
        <v>2908</v>
      </c>
      <c r="F1298">
        <f>VLOOKUP(A1298,Classifications!$A:$E,5,FALSE)</f>
        <v>1</v>
      </c>
      <c r="G1298">
        <f>VLOOKUP(A1298,Classifications!$A:$F,6,FALSE)</f>
        <v>1</v>
      </c>
      <c r="H1298">
        <f>VLOOKUP(A1298,Classifications!$A:$G,7,FALSE)</f>
        <v>41</v>
      </c>
      <c r="I1298" t="s">
        <v>11</v>
      </c>
      <c r="J1298" s="2">
        <v>44203.345462962963</v>
      </c>
    </row>
    <row r="1299" spans="1:10" ht="12.75" customHeight="1" x14ac:dyDescent="0.3">
      <c r="A1299">
        <v>1343125</v>
      </c>
      <c r="B1299" t="s">
        <v>746</v>
      </c>
      <c r="C1299" t="s">
        <v>2909</v>
      </c>
      <c r="D1299" t="s">
        <v>2910</v>
      </c>
      <c r="E1299" s="1" t="s">
        <v>2911</v>
      </c>
      <c r="F1299">
        <f>VLOOKUP(A1299,Classifications!$A:$E,5,FALSE)</f>
        <v>1</v>
      </c>
      <c r="G1299">
        <f>VLOOKUP(A1299,Classifications!$A:$F,6,FALSE)</f>
        <v>1</v>
      </c>
      <c r="H1299">
        <f>VLOOKUP(A1299,Classifications!$A:$G,7,FALSE)</f>
        <v>41</v>
      </c>
      <c r="I1299" t="s">
        <v>24</v>
      </c>
      <c r="J1299" s="2">
        <v>44203.342569444445</v>
      </c>
    </row>
    <row r="1300" spans="1:10" ht="12.75" customHeight="1" x14ac:dyDescent="0.3">
      <c r="A1300">
        <v>1343114</v>
      </c>
      <c r="B1300" t="s">
        <v>95</v>
      </c>
      <c r="C1300" t="s">
        <v>2912</v>
      </c>
      <c r="D1300" t="s">
        <v>2913</v>
      </c>
      <c r="E1300" s="1" t="s">
        <v>2914</v>
      </c>
      <c r="F1300">
        <f>VLOOKUP(A1300,Classifications!$A:$E,5,FALSE)</f>
        <v>1</v>
      </c>
      <c r="G1300">
        <f>VLOOKUP(A1300,Classifications!$A:$F,6,FALSE)</f>
        <v>1</v>
      </c>
      <c r="H1300">
        <f>VLOOKUP(A1300,Classifications!$A:$G,7,FALSE)</f>
        <v>41</v>
      </c>
      <c r="I1300" t="s">
        <v>11</v>
      </c>
      <c r="J1300" s="2">
        <v>44203.33384259259</v>
      </c>
    </row>
    <row r="1301" spans="1:10" ht="12.75" customHeight="1" x14ac:dyDescent="0.3">
      <c r="A1301">
        <v>1343106</v>
      </c>
      <c r="B1301" t="s">
        <v>16</v>
      </c>
      <c r="C1301" t="s">
        <v>649</v>
      </c>
      <c r="D1301" t="s">
        <v>921</v>
      </c>
      <c r="E1301" s="1" t="s">
        <v>2915</v>
      </c>
      <c r="F1301">
        <f>VLOOKUP(A1301,Classifications!$A:$E,5,FALSE)</f>
        <v>1</v>
      </c>
      <c r="G1301">
        <f>VLOOKUP(A1301,Classifications!$A:$F,6,FALSE)</f>
        <v>1</v>
      </c>
      <c r="H1301">
        <f>VLOOKUP(A1301,Classifications!$A:$G,7,FALSE)</f>
        <v>43</v>
      </c>
      <c r="I1301" t="s">
        <v>11</v>
      </c>
      <c r="J1301" s="2">
        <v>44203.294583333336</v>
      </c>
    </row>
    <row r="1302" spans="1:10" ht="12.75" customHeight="1" x14ac:dyDescent="0.3">
      <c r="A1302">
        <v>1343088</v>
      </c>
      <c r="B1302" t="s">
        <v>503</v>
      </c>
      <c r="D1302" t="s">
        <v>943</v>
      </c>
      <c r="E1302" s="1" t="s">
        <v>2916</v>
      </c>
      <c r="F1302">
        <f>VLOOKUP(A1302,Classifications!$A:$E,5,FALSE)</f>
        <v>1</v>
      </c>
      <c r="G1302">
        <f>VLOOKUP(A1302,Classifications!$A:$F,6,FALSE)</f>
        <v>1</v>
      </c>
      <c r="H1302">
        <f>VLOOKUP(A1302,Classifications!$A:$G,7,FALSE)</f>
        <v>36</v>
      </c>
      <c r="I1302" t="s">
        <v>11</v>
      </c>
      <c r="J1302" s="2">
        <v>44203.155289351853</v>
      </c>
    </row>
    <row r="1303" spans="1:10" ht="12.75" customHeight="1" x14ac:dyDescent="0.3">
      <c r="A1303">
        <v>1343063</v>
      </c>
      <c r="B1303" t="s">
        <v>384</v>
      </c>
      <c r="C1303" t="s">
        <v>385</v>
      </c>
      <c r="D1303" t="s">
        <v>2917</v>
      </c>
      <c r="E1303" s="1" t="s">
        <v>2918</v>
      </c>
      <c r="F1303">
        <f>VLOOKUP(A1303,Classifications!$A:$E,5,FALSE)</f>
        <v>1</v>
      </c>
      <c r="G1303">
        <f>VLOOKUP(A1303,Classifications!$A:$F,6,FALSE)</f>
        <v>1</v>
      </c>
      <c r="H1303">
        <f>VLOOKUP(A1303,Classifications!$A:$G,7,FALSE)</f>
        <v>36</v>
      </c>
      <c r="I1303" t="s">
        <v>11</v>
      </c>
      <c r="J1303" s="2">
        <v>44203.084444444445</v>
      </c>
    </row>
    <row r="1304" spans="1:10" ht="12.75" customHeight="1" x14ac:dyDescent="0.3">
      <c r="A1304">
        <v>1343018</v>
      </c>
      <c r="B1304" t="s">
        <v>2919</v>
      </c>
      <c r="C1304" t="s">
        <v>2920</v>
      </c>
      <c r="D1304" t="s">
        <v>2921</v>
      </c>
      <c r="E1304" t="s">
        <v>1324</v>
      </c>
      <c r="F1304">
        <f>VLOOKUP(A1304,Classifications!$A:$E,5,FALSE)</f>
        <v>1</v>
      </c>
      <c r="G1304">
        <f>VLOOKUP(A1304,Classifications!$A:$F,6,FALSE)</f>
        <v>1</v>
      </c>
      <c r="H1304">
        <f>VLOOKUP(A1304,Classifications!$A:$G,7,FALSE)</f>
        <v>36</v>
      </c>
      <c r="I1304" t="s">
        <v>1158</v>
      </c>
      <c r="J1304" s="2">
        <v>44203.0000462963</v>
      </c>
    </row>
    <row r="1305" spans="1:10" ht="12.75" customHeight="1" x14ac:dyDescent="0.3">
      <c r="A1305">
        <v>1343017</v>
      </c>
      <c r="B1305" t="s">
        <v>7</v>
      </c>
      <c r="C1305" t="s">
        <v>2922</v>
      </c>
      <c r="D1305" t="s">
        <v>1156</v>
      </c>
      <c r="E1305" s="1" t="s">
        <v>1157</v>
      </c>
      <c r="F1305">
        <f>VLOOKUP(A1305,Classifications!$A:$E,5,FALSE)</f>
        <v>1</v>
      </c>
      <c r="G1305">
        <f>VLOOKUP(A1305,Classifications!$A:$F,6,FALSE)</f>
        <v>1</v>
      </c>
      <c r="H1305">
        <f>VLOOKUP(A1305,Classifications!$A:$G,7,FALSE)</f>
        <v>36</v>
      </c>
      <c r="I1305" t="s">
        <v>1158</v>
      </c>
      <c r="J1305" s="2">
        <v>44203.000034722223</v>
      </c>
    </row>
    <row r="1306" spans="1:10" ht="12.75" customHeight="1" x14ac:dyDescent="0.3">
      <c r="A1306">
        <v>1343016</v>
      </c>
      <c r="B1306" t="s">
        <v>813</v>
      </c>
      <c r="C1306" t="s">
        <v>814</v>
      </c>
      <c r="D1306" t="s">
        <v>1429</v>
      </c>
      <c r="E1306" s="1" t="s">
        <v>1160</v>
      </c>
      <c r="F1306">
        <f>VLOOKUP(A1306,Classifications!$A:$E,5,FALSE)</f>
        <v>1</v>
      </c>
      <c r="G1306">
        <f>VLOOKUP(A1306,Classifications!$A:$F,6,FALSE)</f>
        <v>1</v>
      </c>
      <c r="H1306">
        <f>VLOOKUP(A1306,Classifications!$A:$G,7,FALSE)</f>
        <v>36</v>
      </c>
      <c r="I1306" t="s">
        <v>1158</v>
      </c>
      <c r="J1306" s="2">
        <v>44203.000034722223</v>
      </c>
    </row>
    <row r="1307" spans="1:10" ht="12.75" customHeight="1" x14ac:dyDescent="0.3">
      <c r="A1307">
        <v>1343015</v>
      </c>
      <c r="B1307" t="s">
        <v>53</v>
      </c>
      <c r="C1307" t="s">
        <v>158</v>
      </c>
      <c r="D1307" t="s">
        <v>1429</v>
      </c>
      <c r="E1307" s="1" t="s">
        <v>1160</v>
      </c>
      <c r="F1307">
        <f>VLOOKUP(A1307,Classifications!$A:$E,5,FALSE)</f>
        <v>1</v>
      </c>
      <c r="G1307">
        <f>VLOOKUP(A1307,Classifications!$A:$F,6,FALSE)</f>
        <v>1</v>
      </c>
      <c r="H1307">
        <f>VLOOKUP(A1307,Classifications!$A:$G,7,FALSE)</f>
        <v>36</v>
      </c>
      <c r="I1307" t="s">
        <v>1158</v>
      </c>
      <c r="J1307" s="2">
        <v>44203.000023148146</v>
      </c>
    </row>
    <row r="1308" spans="1:10" ht="12.75" customHeight="1" x14ac:dyDescent="0.3">
      <c r="A1308">
        <v>1342902</v>
      </c>
      <c r="B1308" t="s">
        <v>25</v>
      </c>
      <c r="C1308" t="s">
        <v>2026</v>
      </c>
      <c r="D1308" t="s">
        <v>2923</v>
      </c>
      <c r="E1308" s="1" t="s">
        <v>2924</v>
      </c>
      <c r="F1308">
        <f>VLOOKUP(A1308,Classifications!$A:$E,5,FALSE)</f>
        <v>1</v>
      </c>
      <c r="G1308">
        <f>VLOOKUP(A1308,Classifications!$A:$F,6,FALSE)</f>
        <v>1</v>
      </c>
      <c r="H1308">
        <f>VLOOKUP(A1308,Classifications!$A:$G,7,FALSE)</f>
        <v>43</v>
      </c>
      <c r="I1308" t="s">
        <v>11</v>
      </c>
      <c r="J1308" s="2">
        <v>44202.878854166665</v>
      </c>
    </row>
    <row r="1309" spans="1:10" ht="12.75" customHeight="1" x14ac:dyDescent="0.3">
      <c r="A1309">
        <v>1342750</v>
      </c>
      <c r="B1309" t="s">
        <v>53</v>
      </c>
      <c r="C1309" t="s">
        <v>2925</v>
      </c>
      <c r="D1309" t="s">
        <v>2926</v>
      </c>
      <c r="E1309" s="1" t="s">
        <v>2927</v>
      </c>
      <c r="F1309">
        <f>VLOOKUP(A1309,Classifications!$A:$E,5,FALSE)</f>
        <v>1</v>
      </c>
      <c r="G1309">
        <f>VLOOKUP(A1309,Classifications!$A:$F,6,FALSE)</f>
        <v>1</v>
      </c>
      <c r="H1309">
        <f>VLOOKUP(A1309,Classifications!$A:$G,7,FALSE)</f>
        <v>41</v>
      </c>
      <c r="I1309" t="s">
        <v>11</v>
      </c>
      <c r="J1309" s="2">
        <v>44202.657141203701</v>
      </c>
    </row>
    <row r="1310" spans="1:10" ht="12.75" customHeight="1" x14ac:dyDescent="0.3">
      <c r="A1310">
        <v>1342749</v>
      </c>
      <c r="B1310" t="s">
        <v>53</v>
      </c>
      <c r="C1310" t="s">
        <v>2928</v>
      </c>
      <c r="D1310" t="s">
        <v>2929</v>
      </c>
      <c r="E1310" s="1" t="s">
        <v>2930</v>
      </c>
      <c r="F1310">
        <f>VLOOKUP(A1310,Classifications!$A:$E,5,FALSE)</f>
        <v>1</v>
      </c>
      <c r="G1310">
        <f>VLOOKUP(A1310,Classifications!$A:$F,6,FALSE)</f>
        <v>2</v>
      </c>
      <c r="H1310">
        <f>VLOOKUP(A1310,Classifications!$A:$G,7,FALSE)</f>
        <v>41</v>
      </c>
      <c r="I1310" t="s">
        <v>11</v>
      </c>
      <c r="J1310" s="2">
        <v>44202.656898148147</v>
      </c>
    </row>
    <row r="1311" spans="1:10" ht="12.75" customHeight="1" x14ac:dyDescent="0.3">
      <c r="A1311">
        <v>1342745</v>
      </c>
      <c r="B1311" t="s">
        <v>503</v>
      </c>
      <c r="D1311" t="s">
        <v>2931</v>
      </c>
      <c r="E1311" s="1" t="s">
        <v>2932</v>
      </c>
      <c r="F1311">
        <f>VLOOKUP(A1311,Classifications!$A:$E,5,FALSE)</f>
        <v>1</v>
      </c>
      <c r="G1311">
        <f>VLOOKUP(A1311,Classifications!$A:$F,6,FALSE)</f>
        <v>1</v>
      </c>
      <c r="H1311">
        <f>VLOOKUP(A1311,Classifications!$A:$G,7,FALSE)</f>
        <v>36</v>
      </c>
      <c r="I1311" t="s">
        <v>11</v>
      </c>
      <c r="J1311" s="2">
        <v>44202.649733796294</v>
      </c>
    </row>
    <row r="1312" spans="1:10" ht="12.75" customHeight="1" x14ac:dyDescent="0.3">
      <c r="A1312">
        <v>1342744</v>
      </c>
      <c r="B1312" t="s">
        <v>53</v>
      </c>
      <c r="C1312" t="s">
        <v>2928</v>
      </c>
      <c r="D1312" t="s">
        <v>2933</v>
      </c>
      <c r="E1312" s="1" t="s">
        <v>2934</v>
      </c>
      <c r="F1312">
        <f>VLOOKUP(A1312,Classifications!$A:$E,5,FALSE)</f>
        <v>1</v>
      </c>
      <c r="G1312">
        <f>VLOOKUP(A1312,Classifications!$A:$F,6,FALSE)</f>
        <v>1</v>
      </c>
      <c r="H1312">
        <f>VLOOKUP(A1312,Classifications!$A:$G,7,FALSE)</f>
        <v>43</v>
      </c>
      <c r="I1312" t="s">
        <v>11</v>
      </c>
      <c r="J1312" s="2">
        <v>44202.648969907408</v>
      </c>
    </row>
    <row r="1313" spans="1:10" ht="12.75" customHeight="1" x14ac:dyDescent="0.3">
      <c r="A1313">
        <v>1342735</v>
      </c>
      <c r="B1313" t="s">
        <v>157</v>
      </c>
      <c r="C1313" t="s">
        <v>414</v>
      </c>
      <c r="D1313" t="s">
        <v>2935</v>
      </c>
      <c r="E1313" s="1" t="s">
        <v>2936</v>
      </c>
      <c r="F1313">
        <f>VLOOKUP(A1313,Classifications!$A:$E,5,FALSE)</f>
        <v>1</v>
      </c>
      <c r="G1313">
        <f>VLOOKUP(A1313,Classifications!$A:$F,6,FALSE)</f>
        <v>1</v>
      </c>
      <c r="H1313">
        <f>VLOOKUP(A1313,Classifications!$A:$G,7,FALSE)</f>
        <v>43</v>
      </c>
      <c r="I1313" t="s">
        <v>11</v>
      </c>
      <c r="J1313" s="2">
        <v>44202.631666666668</v>
      </c>
    </row>
    <row r="1314" spans="1:10" ht="12.75" customHeight="1" x14ac:dyDescent="0.3">
      <c r="A1314">
        <v>1342729</v>
      </c>
      <c r="B1314" t="s">
        <v>32</v>
      </c>
      <c r="C1314" t="s">
        <v>33</v>
      </c>
      <c r="D1314" t="s">
        <v>2937</v>
      </c>
      <c r="E1314" s="1" t="s">
        <v>2938</v>
      </c>
      <c r="F1314">
        <f>VLOOKUP(A1314,Classifications!$A:$E,5,FALSE)</f>
        <v>3</v>
      </c>
      <c r="G1314">
        <f>VLOOKUP(A1314,Classifications!$A:$F,6,FALSE)</f>
        <v>2</v>
      </c>
      <c r="H1314">
        <f>VLOOKUP(A1314,Classifications!$A:$G,7,FALSE)</f>
        <v>41</v>
      </c>
      <c r="I1314" t="s">
        <v>11</v>
      </c>
      <c r="J1314" s="2">
        <v>44202.619270833333</v>
      </c>
    </row>
    <row r="1315" spans="1:10" ht="12.75" customHeight="1" x14ac:dyDescent="0.3">
      <c r="A1315">
        <v>1342718</v>
      </c>
      <c r="B1315" t="s">
        <v>184</v>
      </c>
      <c r="D1315" t="s">
        <v>2939</v>
      </c>
      <c r="E1315" s="1" t="s">
        <v>2940</v>
      </c>
      <c r="F1315">
        <f>VLOOKUP(A1315,Classifications!$A:$E,5,FALSE)</f>
        <v>1</v>
      </c>
      <c r="G1315">
        <f>VLOOKUP(A1315,Classifications!$A:$F,6,FALSE)</f>
        <v>1</v>
      </c>
      <c r="H1315">
        <f>VLOOKUP(A1315,Classifications!$A:$G,7,FALSE)</f>
        <v>43</v>
      </c>
      <c r="I1315" t="s">
        <v>11</v>
      </c>
      <c r="J1315" s="2">
        <v>44202.593101851853</v>
      </c>
    </row>
    <row r="1316" spans="1:10" ht="12.75" customHeight="1" x14ac:dyDescent="0.3">
      <c r="A1316">
        <v>1342716</v>
      </c>
      <c r="B1316" t="s">
        <v>431</v>
      </c>
      <c r="C1316" t="s">
        <v>432</v>
      </c>
      <c r="D1316" t="s">
        <v>2941</v>
      </c>
      <c r="E1316" s="1" t="s">
        <v>2942</v>
      </c>
      <c r="F1316">
        <f>VLOOKUP(A1316,Classifications!$A:$E,5,FALSE)</f>
        <v>2</v>
      </c>
      <c r="G1316">
        <f>VLOOKUP(A1316,Classifications!$A:$F,6,FALSE)</f>
        <v>2</v>
      </c>
      <c r="H1316">
        <f>VLOOKUP(A1316,Classifications!$A:$G,7,FALSE)</f>
        <v>41</v>
      </c>
      <c r="I1316" t="s">
        <v>11</v>
      </c>
      <c r="J1316" s="2">
        <v>44202.585277777776</v>
      </c>
    </row>
    <row r="1317" spans="1:10" ht="12.75" customHeight="1" x14ac:dyDescent="0.3">
      <c r="A1317">
        <v>1342704</v>
      </c>
      <c r="B1317" t="s">
        <v>157</v>
      </c>
      <c r="C1317" t="s">
        <v>414</v>
      </c>
      <c r="D1317" t="s">
        <v>2943</v>
      </c>
      <c r="E1317" s="1" t="s">
        <v>2944</v>
      </c>
      <c r="F1317">
        <f>VLOOKUP(A1317,Classifications!$A:$E,5,FALSE)</f>
        <v>1</v>
      </c>
      <c r="G1317">
        <f>VLOOKUP(A1317,Classifications!$A:$F,6,FALSE)</f>
        <v>1</v>
      </c>
      <c r="H1317">
        <f>VLOOKUP(A1317,Classifications!$A:$G,7,FALSE)</f>
        <v>43</v>
      </c>
      <c r="I1317" t="s">
        <v>11</v>
      </c>
      <c r="J1317" s="2">
        <v>44202.560312499998</v>
      </c>
    </row>
    <row r="1318" spans="1:10" ht="12.75" customHeight="1" x14ac:dyDescent="0.3">
      <c r="A1318">
        <v>1342695</v>
      </c>
      <c r="B1318" t="s">
        <v>157</v>
      </c>
      <c r="C1318" t="s">
        <v>627</v>
      </c>
      <c r="D1318" t="s">
        <v>2945</v>
      </c>
      <c r="E1318" s="1" t="s">
        <v>2946</v>
      </c>
      <c r="F1318">
        <f>VLOOKUP(A1318,Classifications!$A:$E,5,FALSE)</f>
        <v>2</v>
      </c>
      <c r="G1318">
        <f>VLOOKUP(A1318,Classifications!$A:$F,6,FALSE)</f>
        <v>2</v>
      </c>
      <c r="H1318">
        <f>VLOOKUP(A1318,Classifications!$A:$G,7,FALSE)</f>
        <v>41</v>
      </c>
      <c r="I1318" t="s">
        <v>24</v>
      </c>
      <c r="J1318" s="2">
        <v>44202.548402777778</v>
      </c>
    </row>
    <row r="1319" spans="1:10" ht="12.75" customHeight="1" x14ac:dyDescent="0.3">
      <c r="A1319">
        <v>1342690</v>
      </c>
      <c r="B1319" t="s">
        <v>410</v>
      </c>
      <c r="C1319" t="s">
        <v>411</v>
      </c>
      <c r="D1319" t="s">
        <v>2947</v>
      </c>
      <c r="E1319" s="1" t="s">
        <v>2948</v>
      </c>
      <c r="F1319">
        <f>VLOOKUP(A1319,Classifications!$A:$E,5,FALSE)</f>
        <v>1</v>
      </c>
      <c r="G1319">
        <f>VLOOKUP(A1319,Classifications!$A:$F,6,FALSE)</f>
        <v>1</v>
      </c>
      <c r="H1319">
        <f>VLOOKUP(A1319,Classifications!$A:$G,7,FALSE)</f>
        <v>36</v>
      </c>
      <c r="I1319" t="s">
        <v>11</v>
      </c>
      <c r="J1319" s="2">
        <v>44202.540868055556</v>
      </c>
    </row>
    <row r="1320" spans="1:10" ht="12.75" customHeight="1" x14ac:dyDescent="0.3">
      <c r="A1320">
        <v>1342675</v>
      </c>
      <c r="B1320" t="s">
        <v>157</v>
      </c>
      <c r="C1320" t="s">
        <v>2949</v>
      </c>
      <c r="D1320" t="s">
        <v>2950</v>
      </c>
      <c r="E1320" s="1" t="s">
        <v>2951</v>
      </c>
      <c r="F1320">
        <f>VLOOKUP(A1320,Classifications!$A:$E,5,FALSE)</f>
        <v>1</v>
      </c>
      <c r="G1320">
        <f>VLOOKUP(A1320,Classifications!$A:$F,6,FALSE)</f>
        <v>2</v>
      </c>
      <c r="H1320">
        <f>VLOOKUP(A1320,Classifications!$A:$G,7,FALSE)</f>
        <v>41</v>
      </c>
      <c r="I1320" t="s">
        <v>11</v>
      </c>
      <c r="J1320" s="2">
        <v>44202.529120370367</v>
      </c>
    </row>
    <row r="1321" spans="1:10" ht="12.75" customHeight="1" x14ac:dyDescent="0.3">
      <c r="A1321">
        <v>1342670</v>
      </c>
      <c r="B1321" t="s">
        <v>74</v>
      </c>
      <c r="C1321" t="s">
        <v>2952</v>
      </c>
      <c r="D1321" t="s">
        <v>2953</v>
      </c>
      <c r="E1321" s="1" t="s">
        <v>2954</v>
      </c>
      <c r="F1321">
        <f>VLOOKUP(A1321,Classifications!$A:$E,5,FALSE)</f>
        <v>1</v>
      </c>
      <c r="G1321">
        <f>VLOOKUP(A1321,Classifications!$A:$F,6,FALSE)</f>
        <v>1</v>
      </c>
      <c r="H1321">
        <f>VLOOKUP(A1321,Classifications!$A:$G,7,FALSE)</f>
        <v>36</v>
      </c>
      <c r="I1321" t="s">
        <v>11</v>
      </c>
      <c r="J1321" s="2">
        <v>44202.51834490741</v>
      </c>
    </row>
    <row r="1322" spans="1:10" ht="12.75" customHeight="1" x14ac:dyDescent="0.3">
      <c r="A1322">
        <v>1342657</v>
      </c>
      <c r="B1322" t="s">
        <v>184</v>
      </c>
      <c r="D1322" t="s">
        <v>2955</v>
      </c>
      <c r="E1322" s="1" t="s">
        <v>2956</v>
      </c>
      <c r="F1322">
        <f>VLOOKUP(A1322,Classifications!$A:$E,5,FALSE)</f>
        <v>1</v>
      </c>
      <c r="G1322">
        <f>VLOOKUP(A1322,Classifications!$A:$F,6,FALSE)</f>
        <v>1</v>
      </c>
      <c r="H1322">
        <f>VLOOKUP(A1322,Classifications!$A:$G,7,FALSE)</f>
        <v>43</v>
      </c>
      <c r="I1322" t="s">
        <v>11</v>
      </c>
      <c r="J1322" s="2">
        <v>44202.470416666663</v>
      </c>
    </row>
    <row r="1323" spans="1:10" ht="12.75" customHeight="1" x14ac:dyDescent="0.3">
      <c r="A1323">
        <v>1342652</v>
      </c>
      <c r="B1323" t="s">
        <v>214</v>
      </c>
      <c r="C1323" t="s">
        <v>215</v>
      </c>
      <c r="D1323" t="s">
        <v>2957</v>
      </c>
      <c r="E1323" s="1" t="s">
        <v>2958</v>
      </c>
      <c r="F1323">
        <f>VLOOKUP(A1323,Classifications!$A:$E,5,FALSE)</f>
        <v>1</v>
      </c>
      <c r="G1323">
        <f>VLOOKUP(A1323,Classifications!$A:$F,6,FALSE)</f>
        <v>1</v>
      </c>
      <c r="H1323">
        <f>VLOOKUP(A1323,Classifications!$A:$G,7,FALSE)</f>
        <v>43</v>
      </c>
      <c r="I1323" t="s">
        <v>11</v>
      </c>
      <c r="J1323" s="2">
        <v>44202.463055555556</v>
      </c>
    </row>
    <row r="1324" spans="1:10" ht="12.75" customHeight="1" x14ac:dyDescent="0.3">
      <c r="A1324">
        <v>1342646</v>
      </c>
      <c r="B1324" t="s">
        <v>7</v>
      </c>
      <c r="C1324" t="s">
        <v>158</v>
      </c>
      <c r="D1324" t="s">
        <v>737</v>
      </c>
      <c r="E1324" s="1" t="s">
        <v>2959</v>
      </c>
      <c r="F1324">
        <f>VLOOKUP(A1324,Classifications!$A:$E,5,FALSE)</f>
        <v>1</v>
      </c>
      <c r="G1324">
        <f>VLOOKUP(A1324,Classifications!$A:$F,6,FALSE)</f>
        <v>1</v>
      </c>
      <c r="H1324">
        <f>VLOOKUP(A1324,Classifications!$A:$G,7,FALSE)</f>
        <v>41</v>
      </c>
      <c r="I1324" t="s">
        <v>11</v>
      </c>
      <c r="J1324" s="2">
        <v>44202.458541666667</v>
      </c>
    </row>
    <row r="1325" spans="1:10" ht="12.75" customHeight="1" x14ac:dyDescent="0.3">
      <c r="A1325">
        <v>1342645</v>
      </c>
      <c r="B1325" t="s">
        <v>157</v>
      </c>
      <c r="C1325" t="s">
        <v>1178</v>
      </c>
      <c r="D1325" t="s">
        <v>2960</v>
      </c>
      <c r="E1325" s="1" t="s">
        <v>2961</v>
      </c>
      <c r="F1325">
        <f>VLOOKUP(A1325,Classifications!$A:$E,5,FALSE)</f>
        <v>1</v>
      </c>
      <c r="G1325">
        <f>VLOOKUP(A1325,Classifications!$A:$F,6,FALSE)</f>
        <v>1</v>
      </c>
      <c r="H1325">
        <f>VLOOKUP(A1325,Classifications!$A:$G,7,FALSE)</f>
        <v>43</v>
      </c>
      <c r="I1325" t="s">
        <v>11</v>
      </c>
      <c r="J1325" s="2">
        <v>44202.456574074073</v>
      </c>
    </row>
    <row r="1326" spans="1:10" ht="12.75" customHeight="1" x14ac:dyDescent="0.3">
      <c r="A1326">
        <v>1342639</v>
      </c>
      <c r="B1326" t="s">
        <v>431</v>
      </c>
      <c r="C1326" t="s">
        <v>432</v>
      </c>
      <c r="D1326" t="s">
        <v>2962</v>
      </c>
      <c r="E1326" s="1" t="s">
        <v>2963</v>
      </c>
      <c r="F1326">
        <f>VLOOKUP(A1326,Classifications!$A:$E,5,FALSE)</f>
        <v>1</v>
      </c>
      <c r="G1326">
        <f>VLOOKUP(A1326,Classifications!$A:$F,6,FALSE)</f>
        <v>1</v>
      </c>
      <c r="H1326">
        <f>VLOOKUP(A1326,Classifications!$A:$G,7,FALSE)</f>
        <v>43</v>
      </c>
      <c r="I1326" t="s">
        <v>11</v>
      </c>
      <c r="J1326" s="2">
        <v>44202.44972222222</v>
      </c>
    </row>
    <row r="1327" spans="1:10" ht="12.75" customHeight="1" x14ac:dyDescent="0.3">
      <c r="A1327">
        <v>1342637</v>
      </c>
      <c r="B1327" t="s">
        <v>7</v>
      </c>
      <c r="C1327" t="s">
        <v>158</v>
      </c>
      <c r="D1327" t="s">
        <v>737</v>
      </c>
      <c r="E1327" s="1" t="s">
        <v>2964</v>
      </c>
      <c r="F1327">
        <f>VLOOKUP(A1327,Classifications!$A:$E,5,FALSE)</f>
        <v>1</v>
      </c>
      <c r="G1327">
        <f>VLOOKUP(A1327,Classifications!$A:$F,6,FALSE)</f>
        <v>1</v>
      </c>
      <c r="H1327">
        <f>VLOOKUP(A1327,Classifications!$A:$G,7,FALSE)</f>
        <v>41</v>
      </c>
      <c r="I1327" t="s">
        <v>11</v>
      </c>
      <c r="J1327" s="2">
        <v>44202.449594907404</v>
      </c>
    </row>
    <row r="1328" spans="1:10" ht="12.75" customHeight="1" x14ac:dyDescent="0.3">
      <c r="A1328">
        <v>1342635</v>
      </c>
      <c r="B1328" t="s">
        <v>431</v>
      </c>
      <c r="C1328" t="s">
        <v>432</v>
      </c>
      <c r="D1328" t="s">
        <v>2965</v>
      </c>
      <c r="E1328" s="1" t="s">
        <v>2966</v>
      </c>
      <c r="F1328">
        <f>VLOOKUP(A1328,Classifications!$A:$E,5,FALSE)</f>
        <v>1</v>
      </c>
      <c r="G1328">
        <f>VLOOKUP(A1328,Classifications!$A:$F,6,FALSE)</f>
        <v>1</v>
      </c>
      <c r="H1328">
        <f>VLOOKUP(A1328,Classifications!$A:$G,7,FALSE)</f>
        <v>41</v>
      </c>
      <c r="I1328" t="s">
        <v>11</v>
      </c>
      <c r="J1328" s="2">
        <v>44202.447928240741</v>
      </c>
    </row>
    <row r="1329" spans="1:10" ht="12.75" customHeight="1" x14ac:dyDescent="0.3">
      <c r="A1329">
        <v>1342633</v>
      </c>
      <c r="B1329" t="s">
        <v>157</v>
      </c>
      <c r="C1329" t="s">
        <v>414</v>
      </c>
      <c r="D1329" t="s">
        <v>2967</v>
      </c>
      <c r="E1329" s="1" t="s">
        <v>2968</v>
      </c>
      <c r="F1329">
        <f>VLOOKUP(A1329,Classifications!$A:$E,5,FALSE)</f>
        <v>1</v>
      </c>
      <c r="G1329">
        <f>VLOOKUP(A1329,Classifications!$A:$F,6,FALSE)</f>
        <v>1</v>
      </c>
      <c r="H1329">
        <f>VLOOKUP(A1329,Classifications!$A:$G,7,FALSE)</f>
        <v>43</v>
      </c>
      <c r="I1329" t="s">
        <v>11</v>
      </c>
      <c r="J1329" s="2">
        <v>44202.444953703707</v>
      </c>
    </row>
    <row r="1330" spans="1:10" ht="12.75" customHeight="1" x14ac:dyDescent="0.3">
      <c r="A1330">
        <v>1342626</v>
      </c>
      <c r="B1330" t="s">
        <v>36</v>
      </c>
      <c r="C1330" t="s">
        <v>2969</v>
      </c>
      <c r="D1330" t="s">
        <v>2970</v>
      </c>
      <c r="E1330" s="1" t="s">
        <v>2971</v>
      </c>
      <c r="F1330">
        <f>VLOOKUP(A1330,Classifications!$A:$E,5,FALSE)</f>
        <v>1</v>
      </c>
      <c r="G1330">
        <f>VLOOKUP(A1330,Classifications!$A:$F,6,FALSE)</f>
        <v>1</v>
      </c>
      <c r="H1330">
        <f>VLOOKUP(A1330,Classifications!$A:$G,7,FALSE)</f>
        <v>41</v>
      </c>
      <c r="I1330" t="s">
        <v>24</v>
      </c>
      <c r="J1330" s="2">
        <v>44202.441099537034</v>
      </c>
    </row>
    <row r="1331" spans="1:10" ht="12.75" customHeight="1" x14ac:dyDescent="0.3">
      <c r="A1331">
        <v>1342623</v>
      </c>
      <c r="B1331" t="s">
        <v>74</v>
      </c>
      <c r="C1331" t="s">
        <v>1374</v>
      </c>
      <c r="D1331" t="s">
        <v>2972</v>
      </c>
      <c r="E1331" s="1" t="s">
        <v>2973</v>
      </c>
      <c r="F1331">
        <f>VLOOKUP(A1331,Classifications!$A:$E,5,FALSE)</f>
        <v>2</v>
      </c>
      <c r="G1331">
        <f>VLOOKUP(A1331,Classifications!$A:$F,6,FALSE)</f>
        <v>3</v>
      </c>
      <c r="H1331">
        <f>VLOOKUP(A1331,Classifications!$A:$G,7,FALSE)</f>
        <v>43</v>
      </c>
      <c r="I1331" t="s">
        <v>11</v>
      </c>
      <c r="J1331" s="2">
        <v>44202.436180555553</v>
      </c>
    </row>
    <row r="1332" spans="1:10" ht="12.75" customHeight="1" x14ac:dyDescent="0.3">
      <c r="A1332">
        <v>1342619</v>
      </c>
      <c r="B1332" t="s">
        <v>139</v>
      </c>
      <c r="C1332" t="s">
        <v>2846</v>
      </c>
      <c r="D1332" t="s">
        <v>2974</v>
      </c>
      <c r="E1332" s="1" t="s">
        <v>2975</v>
      </c>
      <c r="F1332">
        <f>VLOOKUP(A1332,Classifications!$A:$E,5,FALSE)</f>
        <v>1</v>
      </c>
      <c r="G1332">
        <f>VLOOKUP(A1332,Classifications!$A:$F,6,FALSE)</f>
        <v>1</v>
      </c>
      <c r="H1332">
        <f>VLOOKUP(A1332,Classifications!$A:$G,7,FALSE)</f>
        <v>43</v>
      </c>
      <c r="I1332" t="s">
        <v>11</v>
      </c>
      <c r="J1332" s="2">
        <v>44202.429814814815</v>
      </c>
    </row>
    <row r="1333" spans="1:10" ht="12.75" customHeight="1" x14ac:dyDescent="0.3">
      <c r="A1333">
        <v>1342617</v>
      </c>
      <c r="B1333" t="s">
        <v>553</v>
      </c>
      <c r="C1333" t="s">
        <v>951</v>
      </c>
      <c r="D1333" t="s">
        <v>2976</v>
      </c>
      <c r="E1333" s="1" t="s">
        <v>2977</v>
      </c>
      <c r="F1333">
        <f>VLOOKUP(A1333,Classifications!$A:$E,5,FALSE)</f>
        <v>1</v>
      </c>
      <c r="G1333">
        <f>VLOOKUP(A1333,Classifications!$A:$F,6,FALSE)</f>
        <v>1</v>
      </c>
      <c r="H1333">
        <f>VLOOKUP(A1333,Classifications!$A:$G,7,FALSE)</f>
        <v>36</v>
      </c>
      <c r="I1333" t="s">
        <v>11</v>
      </c>
      <c r="J1333" s="2">
        <v>44202.426168981481</v>
      </c>
    </row>
    <row r="1334" spans="1:10" ht="12.75" customHeight="1" x14ac:dyDescent="0.3">
      <c r="A1334">
        <v>1342554</v>
      </c>
      <c r="B1334" t="s">
        <v>2978</v>
      </c>
      <c r="C1334" t="s">
        <v>2979</v>
      </c>
      <c r="D1334" t="s">
        <v>2980</v>
      </c>
      <c r="E1334" s="1" t="s">
        <v>2981</v>
      </c>
      <c r="F1334">
        <f>VLOOKUP(A1334,Classifications!$A:$E,5,FALSE)</f>
        <v>1</v>
      </c>
      <c r="G1334">
        <f>VLOOKUP(A1334,Classifications!$A:$F,6,FALSE)</f>
        <v>1</v>
      </c>
      <c r="H1334">
        <f>VLOOKUP(A1334,Classifications!$A:$G,7,FALSE)</f>
        <v>36</v>
      </c>
      <c r="I1334" t="s">
        <v>11</v>
      </c>
      <c r="J1334" s="2">
        <v>44202.400185185186</v>
      </c>
    </row>
    <row r="1335" spans="1:10" ht="12.75" customHeight="1" x14ac:dyDescent="0.3">
      <c r="A1335">
        <v>1342552</v>
      </c>
      <c r="B1335" t="s">
        <v>157</v>
      </c>
      <c r="C1335" t="s">
        <v>158</v>
      </c>
      <c r="D1335" t="s">
        <v>2982</v>
      </c>
      <c r="E1335" s="1" t="s">
        <v>2983</v>
      </c>
      <c r="F1335">
        <f>VLOOKUP(A1335,Classifications!$A:$E,5,FALSE)</f>
        <v>2</v>
      </c>
      <c r="G1335">
        <f>VLOOKUP(A1335,Classifications!$A:$F,6,FALSE)</f>
        <v>2</v>
      </c>
      <c r="H1335">
        <f>VLOOKUP(A1335,Classifications!$A:$G,7,FALSE)</f>
        <v>43</v>
      </c>
      <c r="I1335" t="s">
        <v>24</v>
      </c>
      <c r="J1335" s="2">
        <v>44202.399548611109</v>
      </c>
    </row>
    <row r="1336" spans="1:10" ht="12.75" customHeight="1" x14ac:dyDescent="0.3">
      <c r="A1336">
        <v>1342518</v>
      </c>
      <c r="B1336" t="s">
        <v>503</v>
      </c>
      <c r="D1336" t="s">
        <v>2984</v>
      </c>
      <c r="E1336" s="1" t="s">
        <v>2985</v>
      </c>
      <c r="F1336">
        <f>VLOOKUP(A1336,Classifications!$A:$E,5,FALSE)</f>
        <v>1</v>
      </c>
      <c r="G1336">
        <f>VLOOKUP(A1336,Classifications!$A:$F,6,FALSE)</f>
        <v>1</v>
      </c>
      <c r="H1336">
        <f>VLOOKUP(A1336,Classifications!$A:$G,7,FALSE)</f>
        <v>36</v>
      </c>
      <c r="I1336" t="s">
        <v>11</v>
      </c>
      <c r="J1336" s="2">
        <v>44202.36173611111</v>
      </c>
    </row>
    <row r="1337" spans="1:10" ht="12.75" customHeight="1" x14ac:dyDescent="0.3">
      <c r="A1337">
        <v>1342509</v>
      </c>
      <c r="B1337" t="s">
        <v>7</v>
      </c>
      <c r="C1337" t="s">
        <v>158</v>
      </c>
      <c r="D1337" t="s">
        <v>2986</v>
      </c>
      <c r="E1337" s="1" t="s">
        <v>2987</v>
      </c>
      <c r="F1337">
        <f>VLOOKUP(A1337,Classifications!$A:$E,5,FALSE)</f>
        <v>1</v>
      </c>
      <c r="G1337">
        <f>VLOOKUP(A1337,Classifications!$A:$F,6,FALSE)</f>
        <v>1</v>
      </c>
      <c r="H1337">
        <f>VLOOKUP(A1337,Classifications!$A:$G,7,FALSE)</f>
        <v>43</v>
      </c>
      <c r="I1337" t="s">
        <v>11</v>
      </c>
      <c r="J1337" s="2">
        <v>44202.349224537036</v>
      </c>
    </row>
    <row r="1338" spans="1:10" ht="12.75" customHeight="1" x14ac:dyDescent="0.3">
      <c r="A1338">
        <v>1342508</v>
      </c>
      <c r="B1338" t="s">
        <v>614</v>
      </c>
      <c r="C1338" t="s">
        <v>2489</v>
      </c>
      <c r="D1338" t="s">
        <v>2988</v>
      </c>
      <c r="E1338" s="1" t="s">
        <v>2989</v>
      </c>
      <c r="F1338">
        <f>VLOOKUP(A1338,Classifications!$A:$E,5,FALSE)</f>
        <v>1</v>
      </c>
      <c r="G1338">
        <f>VLOOKUP(A1338,Classifications!$A:$F,6,FALSE)</f>
        <v>1</v>
      </c>
      <c r="H1338">
        <f>VLOOKUP(A1338,Classifications!$A:$G,7,FALSE)</f>
        <v>43</v>
      </c>
      <c r="I1338" t="s">
        <v>11</v>
      </c>
      <c r="J1338" s="2">
        <v>44202.347777777781</v>
      </c>
    </row>
    <row r="1339" spans="1:10" ht="12.75" customHeight="1" x14ac:dyDescent="0.3">
      <c r="A1339">
        <v>1342504</v>
      </c>
      <c r="B1339" t="s">
        <v>87</v>
      </c>
      <c r="C1339" t="s">
        <v>2990</v>
      </c>
      <c r="D1339" t="s">
        <v>2991</v>
      </c>
      <c r="E1339" s="1" t="s">
        <v>2992</v>
      </c>
      <c r="F1339">
        <f>VLOOKUP(A1339,Classifications!$A:$E,5,FALSE)</f>
        <v>1</v>
      </c>
      <c r="G1339">
        <f>VLOOKUP(A1339,Classifications!$A:$F,6,FALSE)</f>
        <v>1</v>
      </c>
      <c r="H1339">
        <f>VLOOKUP(A1339,Classifications!$A:$G,7,FALSE)</f>
        <v>41</v>
      </c>
      <c r="I1339" t="s">
        <v>11</v>
      </c>
      <c r="J1339" s="2">
        <v>44202.341851851852</v>
      </c>
    </row>
    <row r="1340" spans="1:10" ht="12.75" customHeight="1" x14ac:dyDescent="0.3">
      <c r="A1340">
        <v>1342500</v>
      </c>
      <c r="B1340" t="s">
        <v>25</v>
      </c>
      <c r="C1340" t="s">
        <v>2026</v>
      </c>
      <c r="D1340" t="s">
        <v>2993</v>
      </c>
      <c r="E1340" s="1" t="s">
        <v>2994</v>
      </c>
      <c r="F1340">
        <f>VLOOKUP(A1340,Classifications!$A:$E,5,FALSE)</f>
        <v>1</v>
      </c>
      <c r="G1340">
        <f>VLOOKUP(A1340,Classifications!$A:$F,6,FALSE)</f>
        <v>1</v>
      </c>
      <c r="H1340">
        <f>VLOOKUP(A1340,Classifications!$A:$G,7,FALSE)</f>
        <v>41</v>
      </c>
      <c r="I1340" t="s">
        <v>11</v>
      </c>
      <c r="J1340" s="2">
        <v>44202.339363425926</v>
      </c>
    </row>
    <row r="1341" spans="1:10" ht="12.75" customHeight="1" x14ac:dyDescent="0.3">
      <c r="A1341">
        <v>1342498</v>
      </c>
      <c r="B1341" t="s">
        <v>32</v>
      </c>
      <c r="C1341" t="s">
        <v>2522</v>
      </c>
      <c r="D1341" t="s">
        <v>2995</v>
      </c>
      <c r="E1341" s="1" t="s">
        <v>2996</v>
      </c>
      <c r="F1341">
        <f>VLOOKUP(A1341,Classifications!$A:$E,5,FALSE)</f>
        <v>1</v>
      </c>
      <c r="G1341">
        <f>VLOOKUP(A1341,Classifications!$A:$F,6,FALSE)</f>
        <v>1</v>
      </c>
      <c r="H1341">
        <f>VLOOKUP(A1341,Classifications!$A:$G,7,FALSE)</f>
        <v>41</v>
      </c>
      <c r="I1341" t="s">
        <v>11</v>
      </c>
      <c r="J1341" s="2">
        <v>44202.336157407408</v>
      </c>
    </row>
    <row r="1342" spans="1:10" ht="12.75" customHeight="1" x14ac:dyDescent="0.3">
      <c r="A1342">
        <v>1342488</v>
      </c>
      <c r="B1342" t="s">
        <v>7</v>
      </c>
      <c r="C1342" t="s">
        <v>158</v>
      </c>
      <c r="D1342" t="s">
        <v>737</v>
      </c>
      <c r="E1342" s="1" t="s">
        <v>2997</v>
      </c>
      <c r="F1342">
        <f>VLOOKUP(A1342,Classifications!$A:$E,5,FALSE)</f>
        <v>1</v>
      </c>
      <c r="G1342">
        <f>VLOOKUP(A1342,Classifications!$A:$F,6,FALSE)</f>
        <v>1</v>
      </c>
      <c r="H1342">
        <f>VLOOKUP(A1342,Classifications!$A:$G,7,FALSE)</f>
        <v>41</v>
      </c>
      <c r="I1342" t="s">
        <v>11</v>
      </c>
      <c r="J1342" s="2">
        <v>44202.332824074074</v>
      </c>
    </row>
    <row r="1343" spans="1:10" ht="12.75" customHeight="1" x14ac:dyDescent="0.3">
      <c r="A1343">
        <v>1342480</v>
      </c>
      <c r="B1343" t="s">
        <v>7</v>
      </c>
      <c r="C1343" t="s">
        <v>158</v>
      </c>
      <c r="D1343" t="s">
        <v>737</v>
      </c>
      <c r="E1343" s="1" t="s">
        <v>2998</v>
      </c>
      <c r="F1343">
        <f>VLOOKUP(A1343,Classifications!$A:$E,5,FALSE)</f>
        <v>1</v>
      </c>
      <c r="G1343">
        <f>VLOOKUP(A1343,Classifications!$A:$F,6,FALSE)</f>
        <v>1</v>
      </c>
      <c r="H1343">
        <f>VLOOKUP(A1343,Classifications!$A:$G,7,FALSE)</f>
        <v>41</v>
      </c>
      <c r="I1343" t="s">
        <v>11</v>
      </c>
      <c r="J1343" s="2">
        <v>44202.306446759256</v>
      </c>
    </row>
    <row r="1344" spans="1:10" ht="12.75" customHeight="1" x14ac:dyDescent="0.3">
      <c r="A1344">
        <v>1342419</v>
      </c>
      <c r="B1344" t="s">
        <v>7</v>
      </c>
      <c r="C1344" t="s">
        <v>158</v>
      </c>
      <c r="D1344" t="s">
        <v>737</v>
      </c>
      <c r="E1344" s="1" t="s">
        <v>2999</v>
      </c>
      <c r="F1344">
        <f>VLOOKUP(A1344,Classifications!$A:$E,5,FALSE)</f>
        <v>1</v>
      </c>
      <c r="G1344">
        <f>VLOOKUP(A1344,Classifications!$A:$F,6,FALSE)</f>
        <v>1</v>
      </c>
      <c r="H1344">
        <f>VLOOKUP(A1344,Classifications!$A:$G,7,FALSE)</f>
        <v>41</v>
      </c>
      <c r="I1344" t="s">
        <v>11</v>
      </c>
      <c r="J1344" s="2">
        <v>44202.024537037039</v>
      </c>
    </row>
    <row r="1345" spans="1:10" ht="12.75" customHeight="1" x14ac:dyDescent="0.3">
      <c r="A1345">
        <v>1342405</v>
      </c>
      <c r="B1345" t="s">
        <v>2844</v>
      </c>
      <c r="C1345" t="s">
        <v>3000</v>
      </c>
      <c r="D1345" t="s">
        <v>1325</v>
      </c>
      <c r="E1345" s="1" t="s">
        <v>1326</v>
      </c>
      <c r="F1345">
        <f>VLOOKUP(A1345,Classifications!$A:$E,5,FALSE)</f>
        <v>1</v>
      </c>
      <c r="G1345">
        <f>VLOOKUP(A1345,Classifications!$A:$F,6,FALSE)</f>
        <v>1</v>
      </c>
      <c r="H1345">
        <f>VLOOKUP(A1345,Classifications!$A:$G,7,FALSE)</f>
        <v>36</v>
      </c>
      <c r="I1345" t="s">
        <v>1158</v>
      </c>
      <c r="J1345" s="2">
        <v>44202.000057870369</v>
      </c>
    </row>
    <row r="1346" spans="1:10" ht="12.75" customHeight="1" x14ac:dyDescent="0.3">
      <c r="A1346">
        <v>1342404</v>
      </c>
      <c r="B1346" t="s">
        <v>7</v>
      </c>
      <c r="C1346" t="s">
        <v>2922</v>
      </c>
      <c r="D1346" t="s">
        <v>3001</v>
      </c>
      <c r="E1346" s="1" t="s">
        <v>1157</v>
      </c>
      <c r="F1346">
        <f>VLOOKUP(A1346,Classifications!$A:$E,5,FALSE)</f>
        <v>1</v>
      </c>
      <c r="G1346">
        <f>VLOOKUP(A1346,Classifications!$A:$F,6,FALSE)</f>
        <v>1</v>
      </c>
      <c r="H1346">
        <f>VLOOKUP(A1346,Classifications!$A:$G,7,FALSE)</f>
        <v>36</v>
      </c>
      <c r="I1346" t="s">
        <v>1158</v>
      </c>
      <c r="J1346" s="2">
        <v>44202.0000462963</v>
      </c>
    </row>
    <row r="1347" spans="1:10" ht="12.75" customHeight="1" x14ac:dyDescent="0.3">
      <c r="A1347">
        <v>1342403</v>
      </c>
      <c r="B1347" t="s">
        <v>3002</v>
      </c>
      <c r="C1347" t="s">
        <v>3003</v>
      </c>
      <c r="D1347" t="s">
        <v>1429</v>
      </c>
      <c r="E1347" s="1" t="s">
        <v>1160</v>
      </c>
      <c r="F1347">
        <f>VLOOKUP(A1347,Classifications!$A:$E,5,FALSE)</f>
        <v>1</v>
      </c>
      <c r="G1347">
        <f>VLOOKUP(A1347,Classifications!$A:$F,6,FALSE)</f>
        <v>1</v>
      </c>
      <c r="H1347">
        <f>VLOOKUP(A1347,Classifications!$A:$G,7,FALSE)</f>
        <v>36</v>
      </c>
      <c r="I1347" t="s">
        <v>1158</v>
      </c>
      <c r="J1347" s="2">
        <v>44202.0000462963</v>
      </c>
    </row>
    <row r="1348" spans="1:10" ht="12.75" customHeight="1" x14ac:dyDescent="0.3">
      <c r="A1348">
        <v>1342402</v>
      </c>
      <c r="B1348" t="s">
        <v>3002</v>
      </c>
      <c r="C1348" t="s">
        <v>3003</v>
      </c>
      <c r="D1348" t="s">
        <v>1429</v>
      </c>
      <c r="E1348" s="1" t="s">
        <v>1160</v>
      </c>
      <c r="F1348">
        <f>VLOOKUP(A1348,Classifications!$A:$E,5,FALSE)</f>
        <v>1</v>
      </c>
      <c r="G1348">
        <f>VLOOKUP(A1348,Classifications!$A:$F,6,FALSE)</f>
        <v>1</v>
      </c>
      <c r="H1348">
        <f>VLOOKUP(A1348,Classifications!$A:$G,7,FALSE)</f>
        <v>36</v>
      </c>
      <c r="I1348" t="s">
        <v>1158</v>
      </c>
      <c r="J1348" s="2">
        <v>44202.000034722223</v>
      </c>
    </row>
    <row r="1349" spans="1:10" ht="12.75" customHeight="1" x14ac:dyDescent="0.3">
      <c r="A1349">
        <v>1342399</v>
      </c>
      <c r="B1349" t="s">
        <v>7</v>
      </c>
      <c r="C1349" t="s">
        <v>158</v>
      </c>
      <c r="D1349" t="s">
        <v>737</v>
      </c>
      <c r="E1349" s="1" t="s">
        <v>3004</v>
      </c>
      <c r="F1349">
        <f>VLOOKUP(A1349,Classifications!$A:$E,5,FALSE)</f>
        <v>1</v>
      </c>
      <c r="G1349">
        <f>VLOOKUP(A1349,Classifications!$A:$F,6,FALSE)</f>
        <v>1</v>
      </c>
      <c r="H1349">
        <f>VLOOKUP(A1349,Classifications!$A:$G,7,FALSE)</f>
        <v>41</v>
      </c>
      <c r="I1349" t="s">
        <v>11</v>
      </c>
      <c r="J1349" s="2">
        <v>44201.991840277777</v>
      </c>
    </row>
    <row r="1350" spans="1:10" ht="12.75" customHeight="1" x14ac:dyDescent="0.3">
      <c r="A1350">
        <v>1342083</v>
      </c>
      <c r="B1350" t="s">
        <v>2130</v>
      </c>
      <c r="C1350" t="s">
        <v>2131</v>
      </c>
      <c r="D1350" t="s">
        <v>3005</v>
      </c>
      <c r="E1350" s="1" t="s">
        <v>3006</v>
      </c>
      <c r="F1350">
        <f>VLOOKUP(A1350,Classifications!$A:$E,5,FALSE)</f>
        <v>1</v>
      </c>
      <c r="G1350">
        <f>VLOOKUP(A1350,Classifications!$A:$F,6,FALSE)</f>
        <v>1</v>
      </c>
      <c r="H1350">
        <f>VLOOKUP(A1350,Classifications!$A:$G,7,FALSE)</f>
        <v>43</v>
      </c>
      <c r="I1350" t="s">
        <v>24</v>
      </c>
      <c r="J1350" s="2">
        <v>44201.652754629627</v>
      </c>
    </row>
    <row r="1351" spans="1:10" ht="12.75" customHeight="1" x14ac:dyDescent="0.3">
      <c r="A1351">
        <v>1342065</v>
      </c>
      <c r="B1351" t="s">
        <v>95</v>
      </c>
      <c r="C1351" t="s">
        <v>3007</v>
      </c>
      <c r="D1351" t="s">
        <v>3008</v>
      </c>
      <c r="E1351" s="1" t="s">
        <v>3009</v>
      </c>
      <c r="F1351">
        <f>VLOOKUP(A1351,Classifications!$A:$E,5,FALSE)</f>
        <v>1</v>
      </c>
      <c r="G1351">
        <f>VLOOKUP(A1351,Classifications!$A:$F,6,FALSE)</f>
        <v>2</v>
      </c>
      <c r="H1351">
        <f>VLOOKUP(A1351,Classifications!$A:$G,7,FALSE)</f>
        <v>41</v>
      </c>
      <c r="I1351" t="s">
        <v>24</v>
      </c>
      <c r="J1351" s="2">
        <v>44201.617430555554</v>
      </c>
    </row>
    <row r="1352" spans="1:10" ht="12.75" customHeight="1" x14ac:dyDescent="0.3">
      <c r="A1352">
        <v>1342059</v>
      </c>
      <c r="B1352" t="s">
        <v>95</v>
      </c>
      <c r="C1352" t="s">
        <v>2148</v>
      </c>
      <c r="D1352" t="s">
        <v>3010</v>
      </c>
      <c r="E1352" s="1" t="s">
        <v>2908</v>
      </c>
      <c r="F1352">
        <f>VLOOKUP(A1352,Classifications!$A:$E,5,FALSE)</f>
        <v>1</v>
      </c>
      <c r="G1352">
        <f>VLOOKUP(A1352,Classifications!$A:$F,6,FALSE)</f>
        <v>1</v>
      </c>
      <c r="H1352">
        <f>VLOOKUP(A1352,Classifications!$A:$G,7,FALSE)</f>
        <v>41</v>
      </c>
      <c r="I1352" t="s">
        <v>11</v>
      </c>
      <c r="J1352" s="2">
        <v>44201.61377314815</v>
      </c>
    </row>
    <row r="1353" spans="1:10" ht="12.75" customHeight="1" x14ac:dyDescent="0.3">
      <c r="A1353">
        <v>1342055</v>
      </c>
      <c r="B1353" t="s">
        <v>118</v>
      </c>
      <c r="C1353" t="s">
        <v>3011</v>
      </c>
      <c r="D1353" t="s">
        <v>3012</v>
      </c>
      <c r="E1353" s="1" t="s">
        <v>3013</v>
      </c>
      <c r="F1353">
        <f>VLOOKUP(A1353,Classifications!$A:$E,5,FALSE)</f>
        <v>2</v>
      </c>
      <c r="G1353">
        <f>VLOOKUP(A1353,Classifications!$A:$F,6,FALSE)</f>
        <v>1</v>
      </c>
      <c r="H1353">
        <f>VLOOKUP(A1353,Classifications!$A:$G,7,FALSE)</f>
        <v>43</v>
      </c>
      <c r="I1353" t="s">
        <v>11</v>
      </c>
      <c r="J1353" s="2">
        <v>44201.608124999999</v>
      </c>
    </row>
    <row r="1354" spans="1:10" ht="12.75" customHeight="1" x14ac:dyDescent="0.3">
      <c r="A1354">
        <v>1342047</v>
      </c>
      <c r="B1354" t="s">
        <v>53</v>
      </c>
      <c r="C1354" t="s">
        <v>54</v>
      </c>
      <c r="D1354" t="s">
        <v>3014</v>
      </c>
      <c r="E1354" s="1" t="s">
        <v>2716</v>
      </c>
      <c r="F1354">
        <f>VLOOKUP(A1354,Classifications!$A:$E,5,FALSE)</f>
        <v>1</v>
      </c>
      <c r="G1354">
        <f>VLOOKUP(A1354,Classifications!$A:$F,6,FALSE)</f>
        <v>1</v>
      </c>
      <c r="H1354">
        <f>VLOOKUP(A1354,Classifications!$A:$G,7,FALSE)</f>
        <v>43</v>
      </c>
      <c r="I1354" t="s">
        <v>11</v>
      </c>
      <c r="J1354" s="2">
        <v>44201.595150462963</v>
      </c>
    </row>
    <row r="1355" spans="1:10" ht="12.75" customHeight="1" x14ac:dyDescent="0.3">
      <c r="A1355">
        <v>1342045</v>
      </c>
      <c r="B1355" t="s">
        <v>473</v>
      </c>
      <c r="C1355" t="s">
        <v>3015</v>
      </c>
      <c r="D1355" t="s">
        <v>3016</v>
      </c>
      <c r="E1355" s="1" t="s">
        <v>3017</v>
      </c>
      <c r="F1355">
        <f>VLOOKUP(A1355,Classifications!$A:$E,5,FALSE)</f>
        <v>2</v>
      </c>
      <c r="G1355">
        <f>VLOOKUP(A1355,Classifications!$A:$F,6,FALSE)</f>
        <v>2</v>
      </c>
      <c r="H1355">
        <f>VLOOKUP(A1355,Classifications!$A:$G,7,FALSE)</f>
        <v>41</v>
      </c>
      <c r="I1355" t="s">
        <v>11</v>
      </c>
      <c r="J1355" s="2">
        <v>44201.587604166663</v>
      </c>
    </row>
    <row r="1356" spans="1:10" ht="12.75" customHeight="1" x14ac:dyDescent="0.3">
      <c r="A1356">
        <v>1342032</v>
      </c>
      <c r="B1356" t="s">
        <v>477</v>
      </c>
      <c r="C1356" t="s">
        <v>512</v>
      </c>
      <c r="D1356" t="s">
        <v>3018</v>
      </c>
      <c r="E1356" s="1" t="s">
        <v>3019</v>
      </c>
      <c r="F1356">
        <f>VLOOKUP(A1356,Classifications!$A:$E,5,FALSE)</f>
        <v>1</v>
      </c>
      <c r="G1356">
        <f>VLOOKUP(A1356,Classifications!$A:$F,6,FALSE)</f>
        <v>1</v>
      </c>
      <c r="H1356">
        <f>VLOOKUP(A1356,Classifications!$A:$G,7,FALSE)</f>
        <v>43</v>
      </c>
      <c r="I1356" t="s">
        <v>11</v>
      </c>
      <c r="J1356" s="2">
        <v>44201.550115740742</v>
      </c>
    </row>
    <row r="1357" spans="1:10" ht="12.75" customHeight="1" x14ac:dyDescent="0.3">
      <c r="A1357">
        <v>1342024</v>
      </c>
      <c r="B1357" t="s">
        <v>70</v>
      </c>
      <c r="C1357" t="s">
        <v>660</v>
      </c>
      <c r="D1357" t="s">
        <v>3020</v>
      </c>
      <c r="E1357" s="1" t="s">
        <v>3021</v>
      </c>
      <c r="F1357">
        <f>VLOOKUP(A1357,Classifications!$A:$E,5,FALSE)</f>
        <v>1</v>
      </c>
      <c r="G1357">
        <f>VLOOKUP(A1357,Classifications!$A:$F,6,FALSE)</f>
        <v>1</v>
      </c>
      <c r="H1357">
        <f>VLOOKUP(A1357,Classifications!$A:$G,7,FALSE)</f>
        <v>43</v>
      </c>
      <c r="I1357" t="s">
        <v>11</v>
      </c>
      <c r="J1357" s="2">
        <v>44201.53429398148</v>
      </c>
    </row>
    <row r="1358" spans="1:10" ht="12.75" customHeight="1" x14ac:dyDescent="0.3">
      <c r="A1358">
        <v>1342019</v>
      </c>
      <c r="B1358" t="s">
        <v>281</v>
      </c>
      <c r="C1358" t="s">
        <v>3022</v>
      </c>
      <c r="D1358" t="s">
        <v>3023</v>
      </c>
      <c r="E1358" s="1" t="s">
        <v>3024</v>
      </c>
      <c r="F1358">
        <f>VLOOKUP(A1358,Classifications!$A:$E,5,FALSE)</f>
        <v>1</v>
      </c>
      <c r="G1358">
        <f>VLOOKUP(A1358,Classifications!$A:$F,6,FALSE)</f>
        <v>2</v>
      </c>
      <c r="H1358">
        <f>VLOOKUP(A1358,Classifications!$A:$G,7,FALSE)</f>
        <v>41</v>
      </c>
      <c r="I1358" t="s">
        <v>11</v>
      </c>
      <c r="J1358" s="2">
        <v>44201.530775462961</v>
      </c>
    </row>
    <row r="1359" spans="1:10" ht="12.75" customHeight="1" x14ac:dyDescent="0.3">
      <c r="A1359">
        <v>1342018</v>
      </c>
      <c r="B1359" t="s">
        <v>749</v>
      </c>
      <c r="C1359" t="s">
        <v>1041</v>
      </c>
      <c r="D1359" t="s">
        <v>3025</v>
      </c>
      <c r="E1359" s="1" t="s">
        <v>3026</v>
      </c>
      <c r="F1359">
        <f>VLOOKUP(A1359,Classifications!$A:$E,5,FALSE)</f>
        <v>1</v>
      </c>
      <c r="G1359">
        <f>VLOOKUP(A1359,Classifications!$A:$F,6,FALSE)</f>
        <v>1</v>
      </c>
      <c r="H1359">
        <f>VLOOKUP(A1359,Classifications!$A:$G,7,FALSE)</f>
        <v>36</v>
      </c>
      <c r="I1359" t="s">
        <v>11</v>
      </c>
      <c r="J1359" s="2">
        <v>44201.529108796298</v>
      </c>
    </row>
    <row r="1360" spans="1:10" ht="12.75" customHeight="1" x14ac:dyDescent="0.3">
      <c r="A1360">
        <v>1342015</v>
      </c>
      <c r="B1360" t="s">
        <v>3027</v>
      </c>
      <c r="C1360" t="s">
        <v>3028</v>
      </c>
      <c r="D1360" t="s">
        <v>2721</v>
      </c>
      <c r="E1360" s="1" t="s">
        <v>3029</v>
      </c>
      <c r="F1360">
        <f>VLOOKUP(A1360,Classifications!$A:$E,5,FALSE)</f>
        <v>1</v>
      </c>
      <c r="G1360">
        <f>VLOOKUP(A1360,Classifications!$A:$F,6,FALSE)</f>
        <v>1</v>
      </c>
      <c r="H1360">
        <f>VLOOKUP(A1360,Classifications!$A:$G,7,FALSE)</f>
        <v>36</v>
      </c>
      <c r="I1360" t="s">
        <v>24</v>
      </c>
      <c r="J1360" s="2">
        <v>44201.517314814817</v>
      </c>
    </row>
    <row r="1361" spans="1:10" ht="12.75" customHeight="1" x14ac:dyDescent="0.3">
      <c r="A1361">
        <v>1342008</v>
      </c>
      <c r="B1361" t="s">
        <v>36</v>
      </c>
      <c r="C1361" t="s">
        <v>2387</v>
      </c>
      <c r="D1361" t="s">
        <v>3030</v>
      </c>
      <c r="E1361" s="1" t="s">
        <v>3031</v>
      </c>
      <c r="F1361">
        <f>VLOOKUP(A1361,Classifications!$A:$E,5,FALSE)</f>
        <v>1</v>
      </c>
      <c r="G1361">
        <f>VLOOKUP(A1361,Classifications!$A:$F,6,FALSE)</f>
        <v>1</v>
      </c>
      <c r="H1361">
        <f>VLOOKUP(A1361,Classifications!$A:$G,7,FALSE)</f>
        <v>43</v>
      </c>
      <c r="I1361" t="s">
        <v>24</v>
      </c>
      <c r="J1361" s="2">
        <v>44201.508599537039</v>
      </c>
    </row>
    <row r="1362" spans="1:10" ht="12.75" customHeight="1" x14ac:dyDescent="0.3">
      <c r="A1362">
        <v>1342000</v>
      </c>
      <c r="B1362" t="s">
        <v>230</v>
      </c>
      <c r="C1362" t="s">
        <v>158</v>
      </c>
      <c r="D1362" t="s">
        <v>3032</v>
      </c>
      <c r="E1362" s="1" t="s">
        <v>3033</v>
      </c>
      <c r="F1362">
        <f>VLOOKUP(A1362,Classifications!$A:$E,5,FALSE)</f>
        <v>1</v>
      </c>
      <c r="G1362">
        <f>VLOOKUP(A1362,Classifications!$A:$F,6,FALSE)</f>
        <v>1</v>
      </c>
      <c r="H1362">
        <f>VLOOKUP(A1362,Classifications!$A:$G,7,FALSE)</f>
        <v>36</v>
      </c>
      <c r="I1362" t="s">
        <v>24</v>
      </c>
      <c r="J1362" s="2">
        <v>44201.498136574075</v>
      </c>
    </row>
    <row r="1363" spans="1:10" ht="12.75" customHeight="1" x14ac:dyDescent="0.3">
      <c r="A1363">
        <v>1341997</v>
      </c>
      <c r="B1363" t="s">
        <v>36</v>
      </c>
      <c r="C1363" t="s">
        <v>2387</v>
      </c>
      <c r="D1363" t="s">
        <v>3034</v>
      </c>
      <c r="E1363" s="1" t="s">
        <v>3035</v>
      </c>
      <c r="F1363">
        <f>VLOOKUP(A1363,Classifications!$A:$E,5,FALSE)</f>
        <v>1</v>
      </c>
      <c r="G1363">
        <f>VLOOKUP(A1363,Classifications!$A:$F,6,FALSE)</f>
        <v>1</v>
      </c>
      <c r="H1363">
        <f>VLOOKUP(A1363,Classifications!$A:$G,7,FALSE)</f>
        <v>43</v>
      </c>
      <c r="I1363" t="s">
        <v>24</v>
      </c>
      <c r="J1363" s="2">
        <v>44201.494710648149</v>
      </c>
    </row>
    <row r="1364" spans="1:10" ht="12.75" customHeight="1" x14ac:dyDescent="0.3">
      <c r="A1364">
        <v>1341996</v>
      </c>
      <c r="B1364" t="s">
        <v>230</v>
      </c>
      <c r="C1364" t="s">
        <v>158</v>
      </c>
      <c r="D1364" t="s">
        <v>3036</v>
      </c>
      <c r="E1364" s="1" t="s">
        <v>3037</v>
      </c>
      <c r="F1364">
        <f>VLOOKUP(A1364,Classifications!$A:$E,5,FALSE)</f>
        <v>1</v>
      </c>
      <c r="G1364">
        <f>VLOOKUP(A1364,Classifications!$A:$F,6,FALSE)</f>
        <v>1</v>
      </c>
      <c r="H1364">
        <f>VLOOKUP(A1364,Classifications!$A:$G,7,FALSE)</f>
        <v>43</v>
      </c>
      <c r="I1364" t="s">
        <v>24</v>
      </c>
      <c r="J1364" s="2">
        <v>44201.492326388892</v>
      </c>
    </row>
    <row r="1365" spans="1:10" ht="12.75" customHeight="1" x14ac:dyDescent="0.3">
      <c r="A1365">
        <v>1341991</v>
      </c>
      <c r="B1365" t="s">
        <v>230</v>
      </c>
      <c r="C1365" t="s">
        <v>158</v>
      </c>
      <c r="D1365" t="s">
        <v>3038</v>
      </c>
      <c r="E1365" s="1" t="s">
        <v>3039</v>
      </c>
      <c r="F1365">
        <f>VLOOKUP(A1365,Classifications!$A:$E,5,FALSE)</f>
        <v>1</v>
      </c>
      <c r="G1365">
        <f>VLOOKUP(A1365,Classifications!$A:$F,6,FALSE)</f>
        <v>1</v>
      </c>
      <c r="H1365">
        <f>VLOOKUP(A1365,Classifications!$A:$G,7,FALSE)</f>
        <v>43</v>
      </c>
      <c r="I1365" t="s">
        <v>24</v>
      </c>
      <c r="J1365" s="2">
        <v>44201.487928240742</v>
      </c>
    </row>
    <row r="1366" spans="1:10" ht="12.75" customHeight="1" x14ac:dyDescent="0.3">
      <c r="A1366">
        <v>1341987</v>
      </c>
      <c r="B1366" t="s">
        <v>191</v>
      </c>
      <c r="C1366" t="s">
        <v>192</v>
      </c>
      <c r="D1366" t="s">
        <v>3040</v>
      </c>
      <c r="E1366" s="1" t="s">
        <v>3041</v>
      </c>
      <c r="F1366">
        <f>VLOOKUP(A1366,Classifications!$A:$E,5,FALSE)</f>
        <v>1</v>
      </c>
      <c r="G1366">
        <f>VLOOKUP(A1366,Classifications!$A:$F,6,FALSE)</f>
        <v>1</v>
      </c>
      <c r="H1366">
        <f>VLOOKUP(A1366,Classifications!$A:$G,7,FALSE)</f>
        <v>43</v>
      </c>
      <c r="I1366" t="s">
        <v>11</v>
      </c>
      <c r="J1366" s="2">
        <v>44201.482199074075</v>
      </c>
    </row>
    <row r="1367" spans="1:10" ht="12.75" customHeight="1" x14ac:dyDescent="0.3">
      <c r="A1367">
        <v>1341977</v>
      </c>
      <c r="B1367" t="s">
        <v>157</v>
      </c>
      <c r="C1367" t="s">
        <v>1188</v>
      </c>
      <c r="D1367" t="s">
        <v>3042</v>
      </c>
      <c r="E1367" s="1" t="s">
        <v>3043</v>
      </c>
      <c r="F1367">
        <f>VLOOKUP(A1367,Classifications!$A:$E,5,FALSE)</f>
        <v>1</v>
      </c>
      <c r="G1367">
        <f>VLOOKUP(A1367,Classifications!$A:$F,6,FALSE)</f>
        <v>1</v>
      </c>
      <c r="H1367">
        <f>VLOOKUP(A1367,Classifications!$A:$G,7,FALSE)</f>
        <v>43</v>
      </c>
      <c r="I1367" t="s">
        <v>24</v>
      </c>
      <c r="J1367" s="2">
        <v>44201.468217592592</v>
      </c>
    </row>
    <row r="1368" spans="1:10" ht="12.75" customHeight="1" x14ac:dyDescent="0.3">
      <c r="A1368">
        <v>1341965</v>
      </c>
      <c r="B1368" t="s">
        <v>32</v>
      </c>
      <c r="C1368" t="s">
        <v>33</v>
      </c>
      <c r="D1368" t="s">
        <v>3044</v>
      </c>
      <c r="E1368" s="1" t="s">
        <v>3045</v>
      </c>
      <c r="F1368">
        <f>VLOOKUP(A1368,Classifications!$A:$E,5,FALSE)</f>
        <v>1</v>
      </c>
      <c r="G1368">
        <f>VLOOKUP(A1368,Classifications!$A:$F,6,FALSE)</f>
        <v>1</v>
      </c>
      <c r="H1368">
        <f>VLOOKUP(A1368,Classifications!$A:$G,7,FALSE)</f>
        <v>43</v>
      </c>
      <c r="I1368" t="s">
        <v>11</v>
      </c>
      <c r="J1368" s="2">
        <v>44201.447997685187</v>
      </c>
    </row>
    <row r="1369" spans="1:10" ht="12.75" customHeight="1" x14ac:dyDescent="0.3">
      <c r="A1369">
        <v>1341959</v>
      </c>
      <c r="B1369" t="s">
        <v>297</v>
      </c>
      <c r="C1369" t="s">
        <v>3046</v>
      </c>
      <c r="D1369" t="s">
        <v>3047</v>
      </c>
      <c r="E1369" s="1" t="s">
        <v>3048</v>
      </c>
      <c r="F1369">
        <f>VLOOKUP(A1369,Classifications!$A:$E,5,FALSE)</f>
        <v>1</v>
      </c>
      <c r="G1369">
        <f>VLOOKUP(A1369,Classifications!$A:$F,6,FALSE)</f>
        <v>1</v>
      </c>
      <c r="H1369">
        <f>VLOOKUP(A1369,Classifications!$A:$G,7,FALSE)</f>
        <v>43</v>
      </c>
      <c r="I1369" t="s">
        <v>11</v>
      </c>
      <c r="J1369" s="2">
        <v>44201.445277777777</v>
      </c>
    </row>
    <row r="1370" spans="1:10" ht="12.75" customHeight="1" x14ac:dyDescent="0.3">
      <c r="A1370">
        <v>1341952</v>
      </c>
      <c r="B1370" t="s">
        <v>3049</v>
      </c>
      <c r="C1370" t="s">
        <v>3050</v>
      </c>
      <c r="D1370" t="s">
        <v>3051</v>
      </c>
      <c r="E1370" s="1" t="s">
        <v>3052</v>
      </c>
      <c r="F1370">
        <f>VLOOKUP(A1370,Classifications!$A:$E,5,FALSE)</f>
        <v>1</v>
      </c>
      <c r="G1370">
        <f>VLOOKUP(A1370,Classifications!$A:$F,6,FALSE)</f>
        <v>1</v>
      </c>
      <c r="H1370">
        <f>VLOOKUP(A1370,Classifications!$A:$G,7,FALSE)</f>
        <v>43</v>
      </c>
      <c r="I1370" t="s">
        <v>188</v>
      </c>
      <c r="J1370" s="2">
        <v>44201.440497685187</v>
      </c>
    </row>
    <row r="1371" spans="1:10" ht="12.75" customHeight="1" x14ac:dyDescent="0.3">
      <c r="A1371">
        <v>1341941</v>
      </c>
      <c r="B1371" t="s">
        <v>431</v>
      </c>
      <c r="C1371" t="s">
        <v>3053</v>
      </c>
      <c r="D1371" t="s">
        <v>3054</v>
      </c>
      <c r="E1371" s="1" t="s">
        <v>3055</v>
      </c>
      <c r="F1371">
        <f>VLOOKUP(A1371,Classifications!$A:$E,5,FALSE)</f>
        <v>1</v>
      </c>
      <c r="G1371">
        <f>VLOOKUP(A1371,Classifications!$A:$F,6,FALSE)</f>
        <v>1</v>
      </c>
      <c r="H1371">
        <f>VLOOKUP(A1371,Classifications!$A:$G,7,FALSE)</f>
        <v>41</v>
      </c>
      <c r="I1371" t="s">
        <v>11</v>
      </c>
      <c r="J1371" s="2">
        <v>44201.419074074074</v>
      </c>
    </row>
    <row r="1372" spans="1:10" ht="12.75" customHeight="1" x14ac:dyDescent="0.3">
      <c r="A1372">
        <v>1341912</v>
      </c>
      <c r="B1372" t="s">
        <v>503</v>
      </c>
      <c r="D1372" t="s">
        <v>3056</v>
      </c>
      <c r="E1372" s="1" t="s">
        <v>3057</v>
      </c>
      <c r="F1372">
        <f>VLOOKUP(A1372,Classifications!$A:$E,5,FALSE)</f>
        <v>1</v>
      </c>
      <c r="G1372">
        <f>VLOOKUP(A1372,Classifications!$A:$F,6,FALSE)</f>
        <v>1</v>
      </c>
      <c r="H1372">
        <f>VLOOKUP(A1372,Classifications!$A:$G,7,FALSE)</f>
        <v>36</v>
      </c>
      <c r="I1372" t="s">
        <v>11</v>
      </c>
      <c r="J1372" s="2">
        <v>44201.414270833331</v>
      </c>
    </row>
    <row r="1373" spans="1:10" ht="12.75" customHeight="1" x14ac:dyDescent="0.3">
      <c r="A1373">
        <v>1341910</v>
      </c>
      <c r="B1373" t="s">
        <v>503</v>
      </c>
      <c r="D1373" t="s">
        <v>3058</v>
      </c>
      <c r="E1373" s="1" t="s">
        <v>3059</v>
      </c>
      <c r="F1373">
        <f>VLOOKUP(A1373,Classifications!$A:$E,5,FALSE)</f>
        <v>1</v>
      </c>
      <c r="G1373">
        <f>VLOOKUP(A1373,Classifications!$A:$F,6,FALSE)</f>
        <v>1</v>
      </c>
      <c r="H1373">
        <f>VLOOKUP(A1373,Classifications!$A:$G,7,FALSE)</f>
        <v>36</v>
      </c>
      <c r="I1373" t="s">
        <v>11</v>
      </c>
      <c r="J1373" s="2">
        <v>44201.413553240738</v>
      </c>
    </row>
    <row r="1374" spans="1:10" ht="12.75" customHeight="1" x14ac:dyDescent="0.3">
      <c r="A1374">
        <v>1341889</v>
      </c>
      <c r="B1374" t="s">
        <v>32</v>
      </c>
      <c r="C1374" t="s">
        <v>158</v>
      </c>
      <c r="D1374" t="s">
        <v>3060</v>
      </c>
      <c r="E1374" s="1" t="s">
        <v>3061</v>
      </c>
      <c r="F1374">
        <f>VLOOKUP(A1374,Classifications!$A:$E,5,FALSE)</f>
        <v>3</v>
      </c>
      <c r="G1374">
        <f>VLOOKUP(A1374,Classifications!$A:$F,6,FALSE)</f>
        <v>2</v>
      </c>
      <c r="H1374">
        <f>VLOOKUP(A1374,Classifications!$A:$G,7,FALSE)</f>
        <v>41</v>
      </c>
      <c r="I1374" t="s">
        <v>11</v>
      </c>
      <c r="J1374" s="2">
        <v>44201.405046296299</v>
      </c>
    </row>
    <row r="1375" spans="1:10" ht="12.75" customHeight="1" x14ac:dyDescent="0.3">
      <c r="A1375">
        <v>1341860</v>
      </c>
      <c r="B1375" t="s">
        <v>7</v>
      </c>
      <c r="C1375" t="s">
        <v>3062</v>
      </c>
      <c r="D1375" t="s">
        <v>3063</v>
      </c>
      <c r="E1375" s="1" t="s">
        <v>3064</v>
      </c>
      <c r="F1375">
        <f>VLOOKUP(A1375,Classifications!$A:$E,5,FALSE)</f>
        <v>2</v>
      </c>
      <c r="G1375">
        <f>VLOOKUP(A1375,Classifications!$A:$F,6,FALSE)</f>
        <v>2</v>
      </c>
      <c r="H1375">
        <f>VLOOKUP(A1375,Classifications!$A:$G,7,FALSE)</f>
        <v>41</v>
      </c>
      <c r="I1375" t="s">
        <v>11</v>
      </c>
      <c r="J1375" s="2">
        <v>44201.389988425923</v>
      </c>
    </row>
    <row r="1376" spans="1:10" ht="12.75" customHeight="1" x14ac:dyDescent="0.3">
      <c r="A1376">
        <v>1341853</v>
      </c>
      <c r="B1376" t="s">
        <v>20</v>
      </c>
      <c r="C1376" t="s">
        <v>2177</v>
      </c>
      <c r="D1376" t="s">
        <v>3065</v>
      </c>
      <c r="E1376" s="1" t="s">
        <v>3066</v>
      </c>
      <c r="F1376">
        <f>VLOOKUP(A1376,Classifications!$A:$E,5,FALSE)</f>
        <v>1</v>
      </c>
      <c r="G1376">
        <f>VLOOKUP(A1376,Classifications!$A:$F,6,FALSE)</f>
        <v>1</v>
      </c>
      <c r="H1376">
        <f>VLOOKUP(A1376,Classifications!$A:$G,7,FALSE)</f>
        <v>43</v>
      </c>
      <c r="I1376" t="s">
        <v>11</v>
      </c>
      <c r="J1376" s="2">
        <v>44201.381435185183</v>
      </c>
    </row>
    <row r="1377" spans="1:10" ht="12.75" customHeight="1" x14ac:dyDescent="0.3">
      <c r="A1377">
        <v>1341850</v>
      </c>
      <c r="B1377" t="s">
        <v>16</v>
      </c>
      <c r="C1377" t="s">
        <v>181</v>
      </c>
      <c r="D1377" t="s">
        <v>3067</v>
      </c>
      <c r="E1377" s="1" t="s">
        <v>3068</v>
      </c>
      <c r="F1377">
        <f>VLOOKUP(A1377,Classifications!$A:$E,5,FALSE)</f>
        <v>1</v>
      </c>
      <c r="G1377">
        <f>VLOOKUP(A1377,Classifications!$A:$F,6,FALSE)</f>
        <v>1</v>
      </c>
      <c r="H1377">
        <f>VLOOKUP(A1377,Classifications!$A:$G,7,FALSE)</f>
        <v>43</v>
      </c>
      <c r="I1377" t="s">
        <v>11</v>
      </c>
      <c r="J1377" s="2">
        <v>44201.376446759263</v>
      </c>
    </row>
    <row r="1378" spans="1:10" ht="12.75" customHeight="1" x14ac:dyDescent="0.3">
      <c r="A1378">
        <v>1341839</v>
      </c>
      <c r="B1378" t="s">
        <v>20</v>
      </c>
      <c r="C1378" t="s">
        <v>136</v>
      </c>
      <c r="D1378" t="s">
        <v>3069</v>
      </c>
      <c r="E1378" s="1" t="s">
        <v>3070</v>
      </c>
      <c r="F1378">
        <f>VLOOKUP(A1378,Classifications!$A:$E,5,FALSE)</f>
        <v>1</v>
      </c>
      <c r="G1378">
        <f>VLOOKUP(A1378,Classifications!$A:$F,6,FALSE)</f>
        <v>1</v>
      </c>
      <c r="H1378">
        <f>VLOOKUP(A1378,Classifications!$A:$G,7,FALSE)</f>
        <v>43</v>
      </c>
      <c r="I1378" t="s">
        <v>11</v>
      </c>
      <c r="J1378" s="2">
        <v>44201.363159722219</v>
      </c>
    </row>
    <row r="1379" spans="1:10" ht="12.75" customHeight="1" x14ac:dyDescent="0.3">
      <c r="A1379">
        <v>1341827</v>
      </c>
      <c r="B1379" t="s">
        <v>318</v>
      </c>
      <c r="C1379" t="s">
        <v>3071</v>
      </c>
      <c r="D1379" t="s">
        <v>3072</v>
      </c>
      <c r="E1379" s="1" t="s">
        <v>3073</v>
      </c>
      <c r="F1379">
        <f>VLOOKUP(A1379,Classifications!$A:$E,5,FALSE)</f>
        <v>1</v>
      </c>
      <c r="G1379">
        <f>VLOOKUP(A1379,Classifications!$A:$F,6,FALSE)</f>
        <v>1</v>
      </c>
      <c r="H1379">
        <f>VLOOKUP(A1379,Classifications!$A:$G,7,FALSE)</f>
        <v>43</v>
      </c>
      <c r="I1379" t="s">
        <v>11</v>
      </c>
      <c r="J1379" s="2">
        <v>44201.341944444444</v>
      </c>
    </row>
    <row r="1380" spans="1:10" ht="12.75" customHeight="1" x14ac:dyDescent="0.3">
      <c r="A1380">
        <v>1341748</v>
      </c>
      <c r="B1380" t="s">
        <v>36</v>
      </c>
      <c r="C1380" t="s">
        <v>700</v>
      </c>
      <c r="D1380" t="s">
        <v>3074</v>
      </c>
      <c r="E1380" s="1" t="s">
        <v>3075</v>
      </c>
      <c r="F1380">
        <f>VLOOKUP(A1380,Classifications!$A:$E,5,FALSE)</f>
        <v>2</v>
      </c>
      <c r="G1380">
        <f>VLOOKUP(A1380,Classifications!$A:$F,6,FALSE)</f>
        <v>2</v>
      </c>
      <c r="H1380">
        <f>VLOOKUP(A1380,Classifications!$A:$G,7,FALSE)</f>
        <v>41</v>
      </c>
      <c r="I1380" t="s">
        <v>24</v>
      </c>
      <c r="J1380" s="2">
        <v>44201.303113425929</v>
      </c>
    </row>
    <row r="1381" spans="1:10" ht="12.75" customHeight="1" x14ac:dyDescent="0.3">
      <c r="A1381">
        <v>1341743</v>
      </c>
      <c r="B1381" t="s">
        <v>36</v>
      </c>
      <c r="C1381" t="s">
        <v>2019</v>
      </c>
      <c r="D1381" t="s">
        <v>3076</v>
      </c>
      <c r="E1381" s="1" t="s">
        <v>3077</v>
      </c>
      <c r="F1381">
        <f>VLOOKUP(A1381,Classifications!$A:$E,5,FALSE)</f>
        <v>2</v>
      </c>
      <c r="G1381">
        <f>VLOOKUP(A1381,Classifications!$A:$F,6,FALSE)</f>
        <v>2</v>
      </c>
      <c r="H1381">
        <f>VLOOKUP(A1381,Classifications!$A:$G,7,FALSE)</f>
        <v>41</v>
      </c>
      <c r="I1381" t="s">
        <v>24</v>
      </c>
      <c r="J1381" s="2">
        <v>44201.299837962964</v>
      </c>
    </row>
    <row r="1382" spans="1:10" ht="12.75" customHeight="1" x14ac:dyDescent="0.3">
      <c r="A1382">
        <v>1341624</v>
      </c>
      <c r="B1382" t="s">
        <v>331</v>
      </c>
      <c r="C1382" t="s">
        <v>3078</v>
      </c>
      <c r="D1382" t="s">
        <v>3079</v>
      </c>
      <c r="E1382" t="s">
        <v>1324</v>
      </c>
      <c r="F1382">
        <f>VLOOKUP(A1382,Classifications!$A:$E,5,FALSE)</f>
        <v>1</v>
      </c>
      <c r="G1382">
        <f>VLOOKUP(A1382,Classifications!$A:$F,6,FALSE)</f>
        <v>1</v>
      </c>
      <c r="H1382">
        <f>VLOOKUP(A1382,Classifications!$A:$G,7,FALSE)</f>
        <v>36</v>
      </c>
      <c r="I1382" t="s">
        <v>1158</v>
      </c>
      <c r="J1382" s="2">
        <v>44201.0000462963</v>
      </c>
    </row>
    <row r="1383" spans="1:10" ht="12.75" customHeight="1" x14ac:dyDescent="0.3">
      <c r="A1383">
        <v>1341623</v>
      </c>
      <c r="B1383" t="s">
        <v>1052</v>
      </c>
      <c r="C1383" t="s">
        <v>1053</v>
      </c>
      <c r="D1383" t="s">
        <v>1429</v>
      </c>
      <c r="E1383" s="1" t="s">
        <v>1160</v>
      </c>
      <c r="F1383">
        <f>VLOOKUP(A1383,Classifications!$A:$E,5,FALSE)</f>
        <v>1</v>
      </c>
      <c r="G1383">
        <f>VLOOKUP(A1383,Classifications!$A:$F,6,FALSE)</f>
        <v>1</v>
      </c>
      <c r="H1383">
        <f>VLOOKUP(A1383,Classifications!$A:$G,7,FALSE)</f>
        <v>36</v>
      </c>
      <c r="I1383" t="s">
        <v>1158</v>
      </c>
      <c r="J1383" s="2">
        <v>44201.000023148146</v>
      </c>
    </row>
    <row r="1384" spans="1:10" ht="12.75" customHeight="1" x14ac:dyDescent="0.3">
      <c r="A1384">
        <v>1341355</v>
      </c>
      <c r="B1384" t="s">
        <v>7</v>
      </c>
      <c r="C1384" t="s">
        <v>158</v>
      </c>
      <c r="D1384" t="s">
        <v>737</v>
      </c>
      <c r="E1384" s="1" t="s">
        <v>3080</v>
      </c>
      <c r="F1384">
        <f>VLOOKUP(A1384,Classifications!$A:$E,5,FALSE)</f>
        <v>1</v>
      </c>
      <c r="G1384">
        <f>VLOOKUP(A1384,Classifications!$A:$F,6,FALSE)</f>
        <v>1</v>
      </c>
      <c r="H1384">
        <f>VLOOKUP(A1384,Classifications!$A:$G,7,FALSE)</f>
        <v>41</v>
      </c>
      <c r="I1384" t="s">
        <v>11</v>
      </c>
      <c r="J1384" s="2">
        <v>44200.716145833336</v>
      </c>
    </row>
    <row r="1385" spans="1:10" ht="12.75" customHeight="1" x14ac:dyDescent="0.3">
      <c r="A1385">
        <v>1341326</v>
      </c>
      <c r="B1385" t="s">
        <v>87</v>
      </c>
      <c r="C1385" t="s">
        <v>3081</v>
      </c>
      <c r="D1385" t="s">
        <v>3082</v>
      </c>
      <c r="E1385" s="1" t="s">
        <v>3083</v>
      </c>
      <c r="F1385">
        <f>VLOOKUP(A1385,Classifications!$A:$E,5,FALSE)</f>
        <v>1</v>
      </c>
      <c r="G1385">
        <f>VLOOKUP(A1385,Classifications!$A:$F,6,FALSE)</f>
        <v>2</v>
      </c>
      <c r="H1385">
        <f>VLOOKUP(A1385,Classifications!$A:$G,7,FALSE)</f>
        <v>43</v>
      </c>
      <c r="I1385" t="s">
        <v>11</v>
      </c>
      <c r="J1385" s="2">
        <v>44200.689062500001</v>
      </c>
    </row>
    <row r="1386" spans="1:10" ht="12.75" customHeight="1" x14ac:dyDescent="0.3">
      <c r="A1386">
        <v>1341325</v>
      </c>
      <c r="B1386" t="s">
        <v>7</v>
      </c>
      <c r="C1386" t="s">
        <v>107</v>
      </c>
      <c r="D1386" t="s">
        <v>3084</v>
      </c>
      <c r="E1386" s="1" t="s">
        <v>3085</v>
      </c>
      <c r="F1386">
        <f>VLOOKUP(A1386,Classifications!$A:$E,5,FALSE)</f>
        <v>3</v>
      </c>
      <c r="G1386">
        <f>VLOOKUP(A1386,Classifications!$A:$F,6,FALSE)</f>
        <v>3</v>
      </c>
      <c r="H1386">
        <f>VLOOKUP(A1386,Classifications!$A:$G,7,FALSE)</f>
        <v>43</v>
      </c>
      <c r="I1386" t="s">
        <v>11</v>
      </c>
      <c r="J1386" s="2">
        <v>44200.687754629631</v>
      </c>
    </row>
    <row r="1387" spans="1:10" ht="12.75" customHeight="1" x14ac:dyDescent="0.3">
      <c r="A1387">
        <v>1341318</v>
      </c>
      <c r="B1387" t="s">
        <v>20</v>
      </c>
      <c r="C1387" t="s">
        <v>565</v>
      </c>
      <c r="D1387" t="s">
        <v>3086</v>
      </c>
      <c r="E1387" s="1" t="s">
        <v>3087</v>
      </c>
      <c r="F1387">
        <f>VLOOKUP(A1387,Classifications!$A:$E,5,FALSE)</f>
        <v>1</v>
      </c>
      <c r="G1387">
        <f>VLOOKUP(A1387,Classifications!$A:$F,6,FALSE)</f>
        <v>1</v>
      </c>
      <c r="H1387">
        <f>VLOOKUP(A1387,Classifications!$A:$G,7,FALSE)</f>
        <v>43</v>
      </c>
      <c r="I1387" t="s">
        <v>24</v>
      </c>
      <c r="J1387" s="2">
        <v>44200.679872685185</v>
      </c>
    </row>
    <row r="1388" spans="1:10" ht="12.75" customHeight="1" x14ac:dyDescent="0.3">
      <c r="A1388">
        <v>1341310</v>
      </c>
      <c r="B1388" t="s">
        <v>1013</v>
      </c>
      <c r="C1388" t="s">
        <v>1014</v>
      </c>
      <c r="D1388" t="s">
        <v>3088</v>
      </c>
      <c r="E1388" s="1" t="s">
        <v>3089</v>
      </c>
      <c r="F1388">
        <f>VLOOKUP(A1388,Classifications!$A:$E,5,FALSE)</f>
        <v>2</v>
      </c>
      <c r="G1388">
        <f>VLOOKUP(A1388,Classifications!$A:$F,6,FALSE)</f>
        <v>2</v>
      </c>
      <c r="H1388">
        <f>VLOOKUP(A1388,Classifications!$A:$G,7,FALSE)</f>
        <v>43</v>
      </c>
      <c r="I1388" t="s">
        <v>11</v>
      </c>
      <c r="J1388" s="2">
        <v>44200.67015046296</v>
      </c>
    </row>
    <row r="1389" spans="1:10" ht="12.75" customHeight="1" x14ac:dyDescent="0.3">
      <c r="A1389">
        <v>1341302</v>
      </c>
      <c r="B1389" t="s">
        <v>7</v>
      </c>
      <c r="C1389" t="s">
        <v>3090</v>
      </c>
      <c r="D1389" t="s">
        <v>3091</v>
      </c>
      <c r="E1389" s="1" t="s">
        <v>3092</v>
      </c>
      <c r="F1389">
        <f>VLOOKUP(A1389,Classifications!$A:$E,5,FALSE)</f>
        <v>1</v>
      </c>
      <c r="G1389">
        <f>VLOOKUP(A1389,Classifications!$A:$F,6,FALSE)</f>
        <v>2</v>
      </c>
      <c r="H1389">
        <f>VLOOKUP(A1389,Classifications!$A:$G,7,FALSE)</f>
        <v>41</v>
      </c>
      <c r="I1389" t="s">
        <v>24</v>
      </c>
      <c r="J1389" s="2">
        <v>44200.664050925923</v>
      </c>
    </row>
    <row r="1390" spans="1:10" ht="12.75" customHeight="1" x14ac:dyDescent="0.3">
      <c r="A1390">
        <v>1341301</v>
      </c>
      <c r="B1390" t="s">
        <v>503</v>
      </c>
      <c r="D1390" t="s">
        <v>3093</v>
      </c>
      <c r="E1390" s="1" t="s">
        <v>3094</v>
      </c>
      <c r="F1390">
        <f>VLOOKUP(A1390,Classifications!$A:$E,5,FALSE)</f>
        <v>1</v>
      </c>
      <c r="G1390">
        <f>VLOOKUP(A1390,Classifications!$A:$F,6,FALSE)</f>
        <v>1</v>
      </c>
      <c r="H1390">
        <f>VLOOKUP(A1390,Classifications!$A:$G,7,FALSE)</f>
        <v>36</v>
      </c>
      <c r="I1390" t="s">
        <v>11</v>
      </c>
      <c r="J1390" s="2">
        <v>44200.663993055554</v>
      </c>
    </row>
    <row r="1391" spans="1:10" ht="12.75" customHeight="1" x14ac:dyDescent="0.3">
      <c r="A1391">
        <v>1341291</v>
      </c>
      <c r="B1391" t="s">
        <v>545</v>
      </c>
      <c r="C1391" t="s">
        <v>1769</v>
      </c>
      <c r="D1391" t="s">
        <v>3095</v>
      </c>
      <c r="E1391" s="1" t="s">
        <v>3096</v>
      </c>
      <c r="F1391">
        <f>VLOOKUP(A1391,Classifications!$A:$E,5,FALSE)</f>
        <v>2</v>
      </c>
      <c r="G1391">
        <f>VLOOKUP(A1391,Classifications!$A:$F,6,FALSE)</f>
        <v>2</v>
      </c>
      <c r="H1391">
        <f>VLOOKUP(A1391,Classifications!$A:$G,7,FALSE)</f>
        <v>43</v>
      </c>
      <c r="I1391" t="s">
        <v>11</v>
      </c>
      <c r="J1391" s="2">
        <v>44200.652546296296</v>
      </c>
    </row>
    <row r="1392" spans="1:10" ht="12.75" customHeight="1" x14ac:dyDescent="0.3">
      <c r="A1392">
        <v>1341270</v>
      </c>
      <c r="B1392" t="s">
        <v>70</v>
      </c>
      <c r="C1392" t="s">
        <v>660</v>
      </c>
      <c r="D1392" t="s">
        <v>3097</v>
      </c>
      <c r="E1392" s="1" t="s">
        <v>3098</v>
      </c>
      <c r="F1392">
        <f>VLOOKUP(A1392,Classifications!$A:$E,5,FALSE)</f>
        <v>2</v>
      </c>
      <c r="G1392">
        <f>VLOOKUP(A1392,Classifications!$A:$F,6,FALSE)</f>
        <v>2</v>
      </c>
      <c r="H1392">
        <f>VLOOKUP(A1392,Classifications!$A:$G,7,FALSE)</f>
        <v>43</v>
      </c>
      <c r="I1392" t="s">
        <v>11</v>
      </c>
      <c r="J1392" s="2">
        <v>44200.623854166668</v>
      </c>
    </row>
    <row r="1393" spans="1:10" ht="12.75" customHeight="1" x14ac:dyDescent="0.3">
      <c r="A1393">
        <v>1341262</v>
      </c>
      <c r="B1393" t="s">
        <v>3099</v>
      </c>
      <c r="C1393" t="s">
        <v>3100</v>
      </c>
      <c r="D1393" t="s">
        <v>3101</v>
      </c>
      <c r="E1393" s="1" t="s">
        <v>3102</v>
      </c>
      <c r="F1393">
        <f>VLOOKUP(A1393,Classifications!$A:$E,5,FALSE)</f>
        <v>1</v>
      </c>
      <c r="G1393">
        <f>VLOOKUP(A1393,Classifications!$A:$F,6,FALSE)</f>
        <v>1</v>
      </c>
      <c r="H1393">
        <f>VLOOKUP(A1393,Classifications!$A:$G,7,FALSE)</f>
        <v>43</v>
      </c>
      <c r="I1393" t="s">
        <v>24</v>
      </c>
      <c r="J1393" s="2">
        <v>44200.612083333333</v>
      </c>
    </row>
    <row r="1394" spans="1:10" ht="12.75" customHeight="1" x14ac:dyDescent="0.3">
      <c r="A1394">
        <v>1341250</v>
      </c>
      <c r="B1394" t="s">
        <v>184</v>
      </c>
      <c r="D1394" t="s">
        <v>3103</v>
      </c>
      <c r="E1394" s="1" t="s">
        <v>3104</v>
      </c>
      <c r="F1394">
        <f>VLOOKUP(A1394,Classifications!$A:$E,5,FALSE)</f>
        <v>1</v>
      </c>
      <c r="G1394">
        <f>VLOOKUP(A1394,Classifications!$A:$F,6,FALSE)</f>
        <v>1</v>
      </c>
      <c r="H1394">
        <f>VLOOKUP(A1394,Classifications!$A:$G,7,FALSE)</f>
        <v>43</v>
      </c>
      <c r="I1394" t="s">
        <v>11</v>
      </c>
      <c r="J1394" s="2">
        <v>44200.5859837963</v>
      </c>
    </row>
    <row r="1395" spans="1:10" ht="12.75" customHeight="1" x14ac:dyDescent="0.3">
      <c r="A1395">
        <v>1341244</v>
      </c>
      <c r="B1395" t="s">
        <v>63</v>
      </c>
      <c r="C1395" t="s">
        <v>1524</v>
      </c>
      <c r="D1395" t="s">
        <v>3105</v>
      </c>
      <c r="E1395" s="1" t="s">
        <v>3106</v>
      </c>
      <c r="F1395">
        <f>VLOOKUP(A1395,Classifications!$A:$E,5,FALSE)</f>
        <v>1</v>
      </c>
      <c r="G1395">
        <f>VLOOKUP(A1395,Classifications!$A:$F,6,FALSE)</f>
        <v>1</v>
      </c>
      <c r="H1395">
        <f>VLOOKUP(A1395,Classifications!$A:$G,7,FALSE)</f>
        <v>41</v>
      </c>
      <c r="I1395" t="s">
        <v>11</v>
      </c>
      <c r="J1395" s="2">
        <v>44200.572395833333</v>
      </c>
    </row>
    <row r="1396" spans="1:10" ht="12.75" customHeight="1" x14ac:dyDescent="0.3">
      <c r="A1396">
        <v>1341242</v>
      </c>
      <c r="B1396" t="s">
        <v>12</v>
      </c>
      <c r="C1396" t="s">
        <v>2346</v>
      </c>
      <c r="D1396" t="s">
        <v>3107</v>
      </c>
      <c r="E1396" s="1" t="s">
        <v>3108</v>
      </c>
      <c r="F1396">
        <f>VLOOKUP(A1396,Classifications!$A:$E,5,FALSE)</f>
        <v>1</v>
      </c>
      <c r="G1396">
        <f>VLOOKUP(A1396,Classifications!$A:$F,6,FALSE)</f>
        <v>1</v>
      </c>
      <c r="H1396">
        <f>VLOOKUP(A1396,Classifications!$A:$G,7,FALSE)</f>
        <v>43</v>
      </c>
      <c r="I1396" t="s">
        <v>11</v>
      </c>
      <c r="J1396" s="2">
        <v>44200.568379629629</v>
      </c>
    </row>
    <row r="1397" spans="1:10" ht="12.75" customHeight="1" x14ac:dyDescent="0.3">
      <c r="A1397">
        <v>1341215</v>
      </c>
      <c r="B1397" t="s">
        <v>1137</v>
      </c>
      <c r="C1397" t="s">
        <v>3109</v>
      </c>
      <c r="D1397" t="s">
        <v>3110</v>
      </c>
      <c r="E1397" s="1" t="s">
        <v>3111</v>
      </c>
      <c r="F1397">
        <f>VLOOKUP(A1397,Classifications!$A:$E,5,FALSE)</f>
        <v>1</v>
      </c>
      <c r="G1397">
        <f>VLOOKUP(A1397,Classifications!$A:$F,6,FALSE)</f>
        <v>1</v>
      </c>
      <c r="H1397">
        <f>VLOOKUP(A1397,Classifications!$A:$G,7,FALSE)</f>
        <v>43</v>
      </c>
      <c r="I1397" t="s">
        <v>11</v>
      </c>
      <c r="J1397" s="2">
        <v>44200.537708333337</v>
      </c>
    </row>
    <row r="1398" spans="1:10" ht="12.75" customHeight="1" x14ac:dyDescent="0.3">
      <c r="A1398">
        <v>1341214</v>
      </c>
      <c r="B1398" t="s">
        <v>1038</v>
      </c>
      <c r="C1398" t="s">
        <v>1039</v>
      </c>
      <c r="D1398" t="s">
        <v>3112</v>
      </c>
      <c r="E1398" s="1" t="s">
        <v>3113</v>
      </c>
      <c r="F1398">
        <f>VLOOKUP(A1398,Classifications!$A:$E,5,FALSE)</f>
        <v>1</v>
      </c>
      <c r="G1398">
        <f>VLOOKUP(A1398,Classifications!$A:$F,6,FALSE)</f>
        <v>1</v>
      </c>
      <c r="H1398">
        <f>VLOOKUP(A1398,Classifications!$A:$G,7,FALSE)</f>
        <v>43</v>
      </c>
      <c r="I1398" t="s">
        <v>11</v>
      </c>
      <c r="J1398" s="2">
        <v>44200.537465277775</v>
      </c>
    </row>
    <row r="1399" spans="1:10" ht="12.75" customHeight="1" x14ac:dyDescent="0.3">
      <c r="A1399">
        <v>1341207</v>
      </c>
      <c r="B1399" t="s">
        <v>489</v>
      </c>
      <c r="C1399" t="s">
        <v>3114</v>
      </c>
      <c r="D1399" t="s">
        <v>3115</v>
      </c>
      <c r="E1399" s="1" t="s">
        <v>3116</v>
      </c>
      <c r="F1399">
        <f>VLOOKUP(A1399,Classifications!$A:$E,5,FALSE)</f>
        <v>1</v>
      </c>
      <c r="G1399">
        <f>VLOOKUP(A1399,Classifications!$A:$F,6,FALSE)</f>
        <v>3</v>
      </c>
      <c r="H1399">
        <f>VLOOKUP(A1399,Classifications!$A:$G,7,FALSE)</f>
        <v>41</v>
      </c>
      <c r="I1399" t="s">
        <v>11</v>
      </c>
      <c r="J1399" s="2">
        <v>44200.530243055553</v>
      </c>
    </row>
    <row r="1400" spans="1:10" ht="12.75" customHeight="1" x14ac:dyDescent="0.3">
      <c r="A1400">
        <v>1341199</v>
      </c>
      <c r="B1400" t="s">
        <v>2635</v>
      </c>
      <c r="C1400" t="s">
        <v>2636</v>
      </c>
      <c r="D1400" t="s">
        <v>3117</v>
      </c>
      <c r="E1400" s="1" t="s">
        <v>3118</v>
      </c>
      <c r="F1400">
        <f>VLOOKUP(A1400,Classifications!$A:$E,5,FALSE)</f>
        <v>1</v>
      </c>
      <c r="G1400">
        <f>VLOOKUP(A1400,Classifications!$A:$F,6,FALSE)</f>
        <v>1</v>
      </c>
      <c r="H1400">
        <f>VLOOKUP(A1400,Classifications!$A:$G,7,FALSE)</f>
        <v>36</v>
      </c>
      <c r="I1400" t="s">
        <v>11</v>
      </c>
      <c r="J1400" s="2">
        <v>44200.517141203702</v>
      </c>
    </row>
    <row r="1401" spans="1:10" ht="12.75" customHeight="1" x14ac:dyDescent="0.3">
      <c r="A1401">
        <v>1341188</v>
      </c>
      <c r="B1401" t="s">
        <v>435</v>
      </c>
      <c r="C1401" t="s">
        <v>436</v>
      </c>
      <c r="D1401" t="s">
        <v>3119</v>
      </c>
      <c r="E1401" s="1" t="s">
        <v>3120</v>
      </c>
      <c r="F1401">
        <f>VLOOKUP(A1401,Classifications!$A:$E,5,FALSE)</f>
        <v>1</v>
      </c>
      <c r="G1401">
        <f>VLOOKUP(A1401,Classifications!$A:$F,6,FALSE)</f>
        <v>1</v>
      </c>
      <c r="H1401">
        <f>VLOOKUP(A1401,Classifications!$A:$G,7,FALSE)</f>
        <v>43</v>
      </c>
      <c r="I1401" t="s">
        <v>11</v>
      </c>
      <c r="J1401" s="2">
        <v>44200.497708333336</v>
      </c>
    </row>
    <row r="1402" spans="1:10" ht="12.75" customHeight="1" x14ac:dyDescent="0.3">
      <c r="A1402">
        <v>1341181</v>
      </c>
      <c r="B1402" t="s">
        <v>12</v>
      </c>
      <c r="C1402" t="s">
        <v>2727</v>
      </c>
      <c r="D1402" t="s">
        <v>3121</v>
      </c>
      <c r="E1402" s="1" t="s">
        <v>3122</v>
      </c>
      <c r="F1402">
        <f>VLOOKUP(A1402,Classifications!$A:$E,5,FALSE)</f>
        <v>2</v>
      </c>
      <c r="G1402">
        <f>VLOOKUP(A1402,Classifications!$A:$F,6,FALSE)</f>
        <v>2</v>
      </c>
      <c r="H1402">
        <f>VLOOKUP(A1402,Classifications!$A:$G,7,FALSE)</f>
        <v>41</v>
      </c>
      <c r="I1402" t="s">
        <v>24</v>
      </c>
      <c r="J1402" s="2">
        <v>44200.494432870371</v>
      </c>
    </row>
    <row r="1403" spans="1:10" ht="12.75" customHeight="1" x14ac:dyDescent="0.3">
      <c r="A1403">
        <v>1341180</v>
      </c>
      <c r="B1403" t="s">
        <v>53</v>
      </c>
      <c r="C1403" t="s">
        <v>54</v>
      </c>
      <c r="D1403" t="s">
        <v>3123</v>
      </c>
      <c r="E1403" s="1" t="s">
        <v>3124</v>
      </c>
      <c r="F1403">
        <f>VLOOKUP(A1403,Classifications!$A:$E,5,FALSE)</f>
        <v>2</v>
      </c>
      <c r="G1403">
        <f>VLOOKUP(A1403,Classifications!$A:$F,6,FALSE)</f>
        <v>2</v>
      </c>
      <c r="H1403">
        <f>VLOOKUP(A1403,Classifications!$A:$G,7,FALSE)</f>
        <v>43</v>
      </c>
      <c r="I1403" t="s">
        <v>11</v>
      </c>
      <c r="J1403" s="2">
        <v>44200.492962962962</v>
      </c>
    </row>
    <row r="1404" spans="1:10" ht="12.75" customHeight="1" x14ac:dyDescent="0.3">
      <c r="A1404">
        <v>1341175</v>
      </c>
      <c r="B1404" t="s">
        <v>746</v>
      </c>
      <c r="C1404" t="s">
        <v>3125</v>
      </c>
      <c r="D1404" t="s">
        <v>3126</v>
      </c>
      <c r="E1404" s="1" t="s">
        <v>3127</v>
      </c>
      <c r="F1404">
        <f>VLOOKUP(A1404,Classifications!$A:$E,5,FALSE)</f>
        <v>1</v>
      </c>
      <c r="G1404">
        <f>VLOOKUP(A1404,Classifications!$A:$F,6,FALSE)</f>
        <v>3</v>
      </c>
      <c r="H1404">
        <f>VLOOKUP(A1404,Classifications!$A:$G,7,FALSE)</f>
        <v>41</v>
      </c>
      <c r="I1404" t="s">
        <v>11</v>
      </c>
      <c r="J1404" s="2">
        <v>44200.489548611113</v>
      </c>
    </row>
    <row r="1405" spans="1:10" ht="12.75" customHeight="1" x14ac:dyDescent="0.3">
      <c r="A1405">
        <v>1341154</v>
      </c>
      <c r="B1405" t="s">
        <v>746</v>
      </c>
      <c r="C1405" t="s">
        <v>1982</v>
      </c>
      <c r="D1405" t="s">
        <v>3128</v>
      </c>
      <c r="E1405" s="1" t="s">
        <v>3129</v>
      </c>
      <c r="F1405">
        <f>VLOOKUP(A1405,Classifications!$A:$E,5,FALSE)</f>
        <v>1</v>
      </c>
      <c r="G1405">
        <f>VLOOKUP(A1405,Classifications!$A:$F,6,FALSE)</f>
        <v>2</v>
      </c>
      <c r="H1405">
        <f>VLOOKUP(A1405,Classifications!$A:$G,7,FALSE)</f>
        <v>41</v>
      </c>
      <c r="I1405" t="s">
        <v>11</v>
      </c>
      <c r="J1405" s="2">
        <v>44200.466296296298</v>
      </c>
    </row>
    <row r="1406" spans="1:10" ht="12.75" customHeight="1" x14ac:dyDescent="0.3">
      <c r="A1406">
        <v>1341152</v>
      </c>
      <c r="B1406" t="s">
        <v>16</v>
      </c>
      <c r="C1406" t="s">
        <v>1217</v>
      </c>
      <c r="D1406" t="s">
        <v>3130</v>
      </c>
      <c r="E1406" s="1" t="s">
        <v>3131</v>
      </c>
      <c r="F1406">
        <f>VLOOKUP(A1406,Classifications!$A:$E,5,FALSE)</f>
        <v>1</v>
      </c>
      <c r="G1406">
        <f>VLOOKUP(A1406,Classifications!$A:$F,6,FALSE)</f>
        <v>1</v>
      </c>
      <c r="H1406">
        <f>VLOOKUP(A1406,Classifications!$A:$G,7,FALSE)</f>
        <v>43</v>
      </c>
      <c r="I1406" t="s">
        <v>11</v>
      </c>
      <c r="J1406" s="2">
        <v>44200.461678240739</v>
      </c>
    </row>
    <row r="1407" spans="1:10" ht="12.75" customHeight="1" x14ac:dyDescent="0.3">
      <c r="A1407">
        <v>1341151</v>
      </c>
      <c r="B1407" t="s">
        <v>7</v>
      </c>
      <c r="C1407" t="s">
        <v>158</v>
      </c>
      <c r="D1407" t="s">
        <v>737</v>
      </c>
      <c r="E1407" s="1" t="s">
        <v>3132</v>
      </c>
      <c r="F1407">
        <f>VLOOKUP(A1407,Classifications!$A:$E,5,FALSE)</f>
        <v>1</v>
      </c>
      <c r="G1407">
        <f>VLOOKUP(A1407,Classifications!$A:$F,6,FALSE)</f>
        <v>1</v>
      </c>
      <c r="H1407">
        <f>VLOOKUP(A1407,Classifications!$A:$G,7,FALSE)</f>
        <v>41</v>
      </c>
      <c r="I1407" t="s">
        <v>11</v>
      </c>
      <c r="J1407" s="2">
        <v>44200.459872685184</v>
      </c>
    </row>
    <row r="1408" spans="1:10" ht="12.75" customHeight="1" x14ac:dyDescent="0.3">
      <c r="A1408">
        <v>1341150</v>
      </c>
      <c r="B1408" t="s">
        <v>7</v>
      </c>
      <c r="C1408" t="s">
        <v>158</v>
      </c>
      <c r="D1408" t="s">
        <v>737</v>
      </c>
      <c r="E1408" s="1" t="s">
        <v>3133</v>
      </c>
      <c r="F1408">
        <f>VLOOKUP(A1408,Classifications!$A:$E,5,FALSE)</f>
        <v>1</v>
      </c>
      <c r="G1408">
        <f>VLOOKUP(A1408,Classifications!$A:$F,6,FALSE)</f>
        <v>1</v>
      </c>
      <c r="H1408">
        <f>VLOOKUP(A1408,Classifications!$A:$G,7,FALSE)</f>
        <v>41</v>
      </c>
      <c r="I1408" t="s">
        <v>11</v>
      </c>
      <c r="J1408" s="2">
        <v>44200.459282407406</v>
      </c>
    </row>
    <row r="1409" spans="1:10" ht="12.75" customHeight="1" x14ac:dyDescent="0.3">
      <c r="A1409">
        <v>1341148</v>
      </c>
      <c r="B1409" t="s">
        <v>7</v>
      </c>
      <c r="C1409" t="s">
        <v>158</v>
      </c>
      <c r="D1409" t="s">
        <v>737</v>
      </c>
      <c r="E1409" s="1" t="s">
        <v>3134</v>
      </c>
      <c r="F1409">
        <f>VLOOKUP(A1409,Classifications!$A:$E,5,FALSE)</f>
        <v>1</v>
      </c>
      <c r="G1409">
        <f>VLOOKUP(A1409,Classifications!$A:$F,6,FALSE)</f>
        <v>1</v>
      </c>
      <c r="H1409">
        <f>VLOOKUP(A1409,Classifications!$A:$G,7,FALSE)</f>
        <v>41</v>
      </c>
      <c r="I1409" t="s">
        <v>11</v>
      </c>
      <c r="J1409" s="2">
        <v>44200.458784722221</v>
      </c>
    </row>
    <row r="1410" spans="1:10" ht="12.75" customHeight="1" x14ac:dyDescent="0.3">
      <c r="A1410">
        <v>1341143</v>
      </c>
      <c r="B1410" t="s">
        <v>157</v>
      </c>
      <c r="C1410" t="s">
        <v>3135</v>
      </c>
      <c r="D1410" t="s">
        <v>2769</v>
      </c>
      <c r="E1410" s="1" t="s">
        <v>3136</v>
      </c>
      <c r="F1410">
        <f>VLOOKUP(A1410,Classifications!$A:$E,5,FALSE)</f>
        <v>1</v>
      </c>
      <c r="G1410">
        <f>VLOOKUP(A1410,Classifications!$A:$F,6,FALSE)</f>
        <v>1</v>
      </c>
      <c r="H1410">
        <f>VLOOKUP(A1410,Classifications!$A:$G,7,FALSE)</f>
        <v>41</v>
      </c>
      <c r="I1410" t="s">
        <v>11</v>
      </c>
      <c r="J1410" s="2">
        <v>44200.446377314816</v>
      </c>
    </row>
    <row r="1411" spans="1:10" ht="12.75" customHeight="1" x14ac:dyDescent="0.3">
      <c r="A1411">
        <v>1341132</v>
      </c>
      <c r="B1411" t="s">
        <v>503</v>
      </c>
      <c r="D1411" t="s">
        <v>3137</v>
      </c>
      <c r="E1411" s="1" t="s">
        <v>3138</v>
      </c>
      <c r="F1411">
        <f>VLOOKUP(A1411,Classifications!$A:$E,5,FALSE)</f>
        <v>1</v>
      </c>
      <c r="G1411">
        <f>VLOOKUP(A1411,Classifications!$A:$F,6,FALSE)</f>
        <v>1</v>
      </c>
      <c r="H1411">
        <f>VLOOKUP(A1411,Classifications!$A:$G,7,FALSE)</f>
        <v>36</v>
      </c>
      <c r="I1411" t="s">
        <v>11</v>
      </c>
      <c r="J1411" s="2">
        <v>44200.443206018521</v>
      </c>
    </row>
    <row r="1412" spans="1:10" ht="12.75" customHeight="1" x14ac:dyDescent="0.3">
      <c r="A1412">
        <v>1341115</v>
      </c>
      <c r="B1412" t="s">
        <v>20</v>
      </c>
      <c r="C1412" t="s">
        <v>3139</v>
      </c>
      <c r="D1412" t="s">
        <v>3140</v>
      </c>
      <c r="E1412" s="1" t="s">
        <v>3141</v>
      </c>
      <c r="F1412">
        <f>VLOOKUP(A1412,Classifications!$A:$E,5,FALSE)</f>
        <v>1</v>
      </c>
      <c r="G1412">
        <f>VLOOKUP(A1412,Classifications!$A:$F,6,FALSE)</f>
        <v>1</v>
      </c>
      <c r="H1412">
        <f>VLOOKUP(A1412,Classifications!$A:$G,7,FALSE)</f>
        <v>43</v>
      </c>
      <c r="I1412" t="s">
        <v>11</v>
      </c>
      <c r="J1412" s="2">
        <v>44200.427824074075</v>
      </c>
    </row>
    <row r="1413" spans="1:10" ht="12.75" customHeight="1" x14ac:dyDescent="0.3">
      <c r="A1413">
        <v>1341107</v>
      </c>
      <c r="B1413" t="s">
        <v>16</v>
      </c>
      <c r="C1413" t="s">
        <v>3142</v>
      </c>
      <c r="D1413" t="s">
        <v>3143</v>
      </c>
      <c r="E1413" s="1" t="s">
        <v>3144</v>
      </c>
      <c r="F1413">
        <f>VLOOKUP(A1413,Classifications!$A:$E,5,FALSE)</f>
        <v>1</v>
      </c>
      <c r="G1413">
        <f>VLOOKUP(A1413,Classifications!$A:$F,6,FALSE)</f>
        <v>1</v>
      </c>
      <c r="H1413">
        <f>VLOOKUP(A1413,Classifications!$A:$G,7,FALSE)</f>
        <v>43</v>
      </c>
      <c r="I1413" t="s">
        <v>24</v>
      </c>
      <c r="J1413" s="2">
        <v>44200.422476851854</v>
      </c>
    </row>
    <row r="1414" spans="1:10" ht="12.75" customHeight="1" x14ac:dyDescent="0.3">
      <c r="A1414">
        <v>1341041</v>
      </c>
      <c r="B1414" t="s">
        <v>1275</v>
      </c>
      <c r="C1414" t="s">
        <v>1276</v>
      </c>
      <c r="D1414" t="s">
        <v>3145</v>
      </c>
      <c r="E1414" s="1" t="s">
        <v>3146</v>
      </c>
      <c r="F1414">
        <f>VLOOKUP(A1414,Classifications!$A:$E,5,FALSE)</f>
        <v>1</v>
      </c>
      <c r="G1414">
        <f>VLOOKUP(A1414,Classifications!$A:$F,6,FALSE)</f>
        <v>3</v>
      </c>
      <c r="H1414">
        <f>VLOOKUP(A1414,Classifications!$A:$G,7,FALSE)</f>
        <v>41</v>
      </c>
      <c r="I1414" t="s">
        <v>11</v>
      </c>
      <c r="J1414" s="2">
        <v>44200.401053240741</v>
      </c>
    </row>
    <row r="1415" spans="1:10" ht="12.75" customHeight="1" x14ac:dyDescent="0.3">
      <c r="A1415">
        <v>1341025</v>
      </c>
      <c r="B1415" t="s">
        <v>16</v>
      </c>
      <c r="C1415" t="s">
        <v>2749</v>
      </c>
      <c r="D1415" t="s">
        <v>3147</v>
      </c>
      <c r="E1415" s="1" t="s">
        <v>3148</v>
      </c>
      <c r="F1415">
        <f>VLOOKUP(A1415,Classifications!$A:$E,5,FALSE)</f>
        <v>1</v>
      </c>
      <c r="G1415">
        <f>VLOOKUP(A1415,Classifications!$A:$F,6,FALSE)</f>
        <v>2</v>
      </c>
      <c r="H1415">
        <f>VLOOKUP(A1415,Classifications!$A:$G,7,FALSE)</f>
        <v>41</v>
      </c>
      <c r="I1415" t="s">
        <v>11</v>
      </c>
      <c r="J1415" s="2">
        <v>44200.396284722221</v>
      </c>
    </row>
    <row r="1416" spans="1:10" ht="12.75" customHeight="1" x14ac:dyDescent="0.3">
      <c r="A1416">
        <v>1341017</v>
      </c>
      <c r="B1416" t="s">
        <v>20</v>
      </c>
      <c r="C1416" t="s">
        <v>101</v>
      </c>
      <c r="D1416" t="s">
        <v>3149</v>
      </c>
      <c r="E1416" s="1" t="s">
        <v>3150</v>
      </c>
      <c r="F1416">
        <f>VLOOKUP(A1416,Classifications!$A:$E,5,FALSE)</f>
        <v>1</v>
      </c>
      <c r="G1416">
        <f>VLOOKUP(A1416,Classifications!$A:$F,6,FALSE)</f>
        <v>2</v>
      </c>
      <c r="H1416">
        <f>VLOOKUP(A1416,Classifications!$A:$G,7,FALSE)</f>
        <v>43</v>
      </c>
      <c r="I1416" t="s">
        <v>11</v>
      </c>
      <c r="J1416" s="2">
        <v>44200.39166666667</v>
      </c>
    </row>
    <row r="1417" spans="1:10" ht="12.75" customHeight="1" x14ac:dyDescent="0.3">
      <c r="A1417">
        <v>1341016</v>
      </c>
      <c r="B1417" t="s">
        <v>36</v>
      </c>
      <c r="C1417" t="s">
        <v>2199</v>
      </c>
      <c r="D1417" t="s">
        <v>3151</v>
      </c>
      <c r="E1417" s="1" t="s">
        <v>3152</v>
      </c>
      <c r="F1417">
        <f>VLOOKUP(A1417,Classifications!$A:$E,5,FALSE)</f>
        <v>1</v>
      </c>
      <c r="G1417">
        <f>VLOOKUP(A1417,Classifications!$A:$F,6,FALSE)</f>
        <v>1</v>
      </c>
      <c r="H1417">
        <f>VLOOKUP(A1417,Classifications!$A:$G,7,FALSE)</f>
        <v>36</v>
      </c>
      <c r="I1417" t="s">
        <v>11</v>
      </c>
      <c r="J1417" s="2">
        <v>44200.390127314815</v>
      </c>
    </row>
    <row r="1418" spans="1:10" ht="12.75" customHeight="1" x14ac:dyDescent="0.3">
      <c r="A1418">
        <v>1340986</v>
      </c>
      <c r="B1418" t="s">
        <v>157</v>
      </c>
      <c r="C1418" t="s">
        <v>3153</v>
      </c>
      <c r="D1418" t="s">
        <v>3154</v>
      </c>
      <c r="E1418" s="1" t="s">
        <v>3155</v>
      </c>
      <c r="F1418">
        <f>VLOOKUP(A1418,Classifications!$A:$E,5,FALSE)</f>
        <v>1</v>
      </c>
      <c r="G1418">
        <f>VLOOKUP(A1418,Classifications!$A:$F,6,FALSE)</f>
        <v>3</v>
      </c>
      <c r="H1418">
        <f>VLOOKUP(A1418,Classifications!$A:$G,7,FALSE)</f>
        <v>41</v>
      </c>
      <c r="I1418" t="s">
        <v>11</v>
      </c>
      <c r="J1418" s="2">
        <v>44200.363310185188</v>
      </c>
    </row>
    <row r="1419" spans="1:10" ht="12.75" customHeight="1" x14ac:dyDescent="0.3">
      <c r="A1419">
        <v>1340977</v>
      </c>
      <c r="B1419" t="s">
        <v>16</v>
      </c>
      <c r="C1419" t="s">
        <v>394</v>
      </c>
      <c r="D1419" t="s">
        <v>3156</v>
      </c>
      <c r="E1419" s="1" t="s">
        <v>3157</v>
      </c>
      <c r="F1419">
        <f>VLOOKUP(A1419,Classifications!$A:$E,5,FALSE)</f>
        <v>1</v>
      </c>
      <c r="G1419">
        <f>VLOOKUP(A1419,Classifications!$A:$F,6,FALSE)</f>
        <v>1</v>
      </c>
      <c r="H1419">
        <f>VLOOKUP(A1419,Classifications!$A:$G,7,FALSE)</f>
        <v>43</v>
      </c>
      <c r="I1419" t="s">
        <v>11</v>
      </c>
      <c r="J1419" s="2">
        <v>44200.3590625</v>
      </c>
    </row>
    <row r="1420" spans="1:10" ht="12.75" customHeight="1" x14ac:dyDescent="0.3">
      <c r="A1420">
        <v>1340976</v>
      </c>
      <c r="B1420" t="s">
        <v>16</v>
      </c>
      <c r="C1420" t="s">
        <v>3158</v>
      </c>
      <c r="D1420" t="s">
        <v>3159</v>
      </c>
      <c r="E1420" s="1" t="s">
        <v>3160</v>
      </c>
      <c r="F1420">
        <f>VLOOKUP(A1420,Classifications!$A:$E,5,FALSE)</f>
        <v>1</v>
      </c>
      <c r="G1420">
        <f>VLOOKUP(A1420,Classifications!$A:$F,6,FALSE)</f>
        <v>1</v>
      </c>
      <c r="H1420">
        <f>VLOOKUP(A1420,Classifications!$A:$G,7,FALSE)</f>
        <v>43</v>
      </c>
      <c r="I1420" t="s">
        <v>11</v>
      </c>
      <c r="J1420" s="2">
        <v>44200.357997685183</v>
      </c>
    </row>
    <row r="1421" spans="1:10" ht="12.75" customHeight="1" x14ac:dyDescent="0.3">
      <c r="A1421">
        <v>1340967</v>
      </c>
      <c r="B1421" t="s">
        <v>95</v>
      </c>
      <c r="C1421" t="s">
        <v>129</v>
      </c>
      <c r="D1421" t="s">
        <v>3161</v>
      </c>
      <c r="E1421" s="1" t="s">
        <v>3162</v>
      </c>
      <c r="F1421">
        <f>VLOOKUP(A1421,Classifications!$A:$E,5,FALSE)</f>
        <v>1</v>
      </c>
      <c r="G1421">
        <f>VLOOKUP(A1421,Classifications!$A:$F,6,FALSE)</f>
        <v>1</v>
      </c>
      <c r="H1421">
        <f>VLOOKUP(A1421,Classifications!$A:$G,7,FALSE)</f>
        <v>41</v>
      </c>
      <c r="I1421" t="s">
        <v>11</v>
      </c>
      <c r="J1421" s="2">
        <v>44200.349641203706</v>
      </c>
    </row>
    <row r="1422" spans="1:10" ht="12.75" customHeight="1" x14ac:dyDescent="0.3">
      <c r="A1422">
        <v>1340876</v>
      </c>
      <c r="B1422" t="s">
        <v>36</v>
      </c>
      <c r="C1422" t="s">
        <v>3163</v>
      </c>
      <c r="D1422" t="s">
        <v>3164</v>
      </c>
      <c r="E1422" s="1" t="s">
        <v>3165</v>
      </c>
      <c r="F1422">
        <f>VLOOKUP(A1422,Classifications!$A:$E,5,FALSE)</f>
        <v>1</v>
      </c>
      <c r="G1422">
        <f>VLOOKUP(A1422,Classifications!$A:$F,6,FALSE)</f>
        <v>2</v>
      </c>
      <c r="H1422">
        <f>VLOOKUP(A1422,Classifications!$A:$G,7,FALSE)</f>
        <v>41</v>
      </c>
      <c r="I1422" t="s">
        <v>24</v>
      </c>
      <c r="J1422" s="2">
        <v>44200.32912037037</v>
      </c>
    </row>
    <row r="1423" spans="1:10" ht="12.75" customHeight="1" x14ac:dyDescent="0.3">
      <c r="A1423">
        <v>1340863</v>
      </c>
      <c r="B1423" t="s">
        <v>32</v>
      </c>
      <c r="C1423" t="s">
        <v>1257</v>
      </c>
      <c r="D1423" t="s">
        <v>3166</v>
      </c>
      <c r="E1423" s="1" t="s">
        <v>3167</v>
      </c>
      <c r="F1423">
        <f>VLOOKUP(A1423,Classifications!$A:$E,5,FALSE)</f>
        <v>1</v>
      </c>
      <c r="G1423">
        <f>VLOOKUP(A1423,Classifications!$A:$F,6,FALSE)</f>
        <v>1</v>
      </c>
      <c r="H1423">
        <f>VLOOKUP(A1423,Classifications!$A:$G,7,FALSE)</f>
        <v>43</v>
      </c>
      <c r="I1423" t="s">
        <v>24</v>
      </c>
      <c r="J1423" s="2">
        <v>44200.304652777777</v>
      </c>
    </row>
    <row r="1424" spans="1:10" ht="12.75" customHeight="1" x14ac:dyDescent="0.3">
      <c r="A1424">
        <v>1340860</v>
      </c>
      <c r="B1424" t="s">
        <v>32</v>
      </c>
      <c r="C1424" t="s">
        <v>1257</v>
      </c>
      <c r="D1424" t="s">
        <v>3168</v>
      </c>
      <c r="E1424" s="1" t="s">
        <v>3169</v>
      </c>
      <c r="F1424">
        <f>VLOOKUP(A1424,Classifications!$A:$E,5,FALSE)</f>
        <v>1</v>
      </c>
      <c r="G1424">
        <f>VLOOKUP(A1424,Classifications!$A:$F,6,FALSE)</f>
        <v>1</v>
      </c>
      <c r="H1424">
        <f>VLOOKUP(A1424,Classifications!$A:$G,7,FALSE)</f>
        <v>43</v>
      </c>
      <c r="I1424" t="s">
        <v>24</v>
      </c>
      <c r="J1424" s="2">
        <v>44200.299421296295</v>
      </c>
    </row>
    <row r="1425" spans="1:10" ht="12.75" customHeight="1" x14ac:dyDescent="0.3">
      <c r="A1425">
        <v>1340705</v>
      </c>
      <c r="B1425" t="s">
        <v>95</v>
      </c>
      <c r="C1425" t="s">
        <v>668</v>
      </c>
      <c r="D1425" t="s">
        <v>1323</v>
      </c>
      <c r="E1425" t="s">
        <v>1324</v>
      </c>
      <c r="F1425">
        <f>VLOOKUP(A1425,Classifications!$A:$E,5,FALSE)</f>
        <v>1</v>
      </c>
      <c r="G1425">
        <f>VLOOKUP(A1425,Classifications!$A:$F,6,FALSE)</f>
        <v>1</v>
      </c>
      <c r="H1425">
        <f>VLOOKUP(A1425,Classifications!$A:$G,7,FALSE)</f>
        <v>36</v>
      </c>
      <c r="I1425" t="s">
        <v>1158</v>
      </c>
      <c r="J1425" s="2">
        <v>44200.0000462963</v>
      </c>
    </row>
    <row r="1426" spans="1:10" ht="12.75" customHeight="1" x14ac:dyDescent="0.3">
      <c r="A1426">
        <v>1340704</v>
      </c>
      <c r="B1426" t="s">
        <v>95</v>
      </c>
      <c r="C1426" t="s">
        <v>668</v>
      </c>
      <c r="D1426" t="s">
        <v>3170</v>
      </c>
      <c r="E1426" s="1" t="s">
        <v>1326</v>
      </c>
      <c r="F1426">
        <f>VLOOKUP(A1426,Classifications!$A:$E,5,FALSE)</f>
        <v>1</v>
      </c>
      <c r="G1426">
        <f>VLOOKUP(A1426,Classifications!$A:$F,6,FALSE)</f>
        <v>1</v>
      </c>
      <c r="H1426">
        <f>VLOOKUP(A1426,Classifications!$A:$G,7,FALSE)</f>
        <v>36</v>
      </c>
      <c r="I1426" t="s">
        <v>1158</v>
      </c>
      <c r="J1426" s="2">
        <v>44200.000034722223</v>
      </c>
    </row>
    <row r="1427" spans="1:10" ht="12.75" customHeight="1" x14ac:dyDescent="0.3">
      <c r="A1427">
        <v>1340703</v>
      </c>
      <c r="B1427" t="s">
        <v>95</v>
      </c>
      <c r="C1427" t="s">
        <v>668</v>
      </c>
      <c r="D1427" t="s">
        <v>1156</v>
      </c>
      <c r="E1427" s="1" t="s">
        <v>1157</v>
      </c>
      <c r="F1427">
        <f>VLOOKUP(A1427,Classifications!$A:$E,5,FALSE)</f>
        <v>1</v>
      </c>
      <c r="G1427">
        <f>VLOOKUP(A1427,Classifications!$A:$F,6,FALSE)</f>
        <v>1</v>
      </c>
      <c r="H1427">
        <f>VLOOKUP(A1427,Classifications!$A:$G,7,FALSE)</f>
        <v>36</v>
      </c>
      <c r="I1427" t="s">
        <v>1158</v>
      </c>
      <c r="J1427" s="2">
        <v>44200.000034722223</v>
      </c>
    </row>
    <row r="1428" spans="1:10" ht="12.75" customHeight="1" x14ac:dyDescent="0.3">
      <c r="A1428">
        <v>1340702</v>
      </c>
      <c r="B1428" t="s">
        <v>70</v>
      </c>
      <c r="C1428" t="s">
        <v>369</v>
      </c>
      <c r="D1428" t="s">
        <v>1429</v>
      </c>
      <c r="E1428" s="1" t="s">
        <v>1160</v>
      </c>
      <c r="F1428">
        <f>VLOOKUP(A1428,Classifications!$A:$E,5,FALSE)</f>
        <v>1</v>
      </c>
      <c r="G1428">
        <f>VLOOKUP(A1428,Classifications!$A:$F,6,FALSE)</f>
        <v>1</v>
      </c>
      <c r="H1428">
        <f>VLOOKUP(A1428,Classifications!$A:$G,7,FALSE)</f>
        <v>36</v>
      </c>
      <c r="I1428" t="s">
        <v>1158</v>
      </c>
      <c r="J1428" s="2">
        <v>44200.000023148146</v>
      </c>
    </row>
    <row r="1429" spans="1:10" ht="12.75" customHeight="1" x14ac:dyDescent="0.3">
      <c r="A1429">
        <v>1340410</v>
      </c>
      <c r="B1429" t="s">
        <v>95</v>
      </c>
      <c r="D1429" t="s">
        <v>3171</v>
      </c>
      <c r="E1429" s="1" t="s">
        <v>3172</v>
      </c>
      <c r="F1429">
        <f>VLOOKUP(A1429,Classifications!$A:$E,5,FALSE)</f>
        <v>1</v>
      </c>
      <c r="G1429">
        <f>VLOOKUP(A1429,Classifications!$A:$F,6,FALSE)</f>
        <v>1</v>
      </c>
      <c r="H1429">
        <f>VLOOKUP(A1429,Classifications!$A:$G,7,FALSE)</f>
        <v>41</v>
      </c>
      <c r="I1429" t="s">
        <v>11</v>
      </c>
      <c r="J1429" s="2">
        <v>44199.418738425928</v>
      </c>
    </row>
    <row r="1430" spans="1:10" ht="12.75" customHeight="1" x14ac:dyDescent="0.3">
      <c r="A1430">
        <v>1340187</v>
      </c>
      <c r="B1430" t="s">
        <v>1574</v>
      </c>
      <c r="C1430" t="s">
        <v>1575</v>
      </c>
      <c r="D1430" t="s">
        <v>3173</v>
      </c>
      <c r="E1430" t="s">
        <v>1324</v>
      </c>
      <c r="F1430">
        <f>VLOOKUP(A1430,Classifications!$A:$E,5,FALSE)</f>
        <v>1</v>
      </c>
      <c r="G1430">
        <f>VLOOKUP(A1430,Classifications!$A:$F,6,FALSE)</f>
        <v>1</v>
      </c>
      <c r="H1430">
        <f>VLOOKUP(A1430,Classifications!$A:$G,7,FALSE)</f>
        <v>36</v>
      </c>
      <c r="I1430" t="s">
        <v>1158</v>
      </c>
      <c r="J1430" s="2">
        <v>44199.000173611108</v>
      </c>
    </row>
    <row r="1431" spans="1:10" ht="12.75" customHeight="1" x14ac:dyDescent="0.3">
      <c r="A1431">
        <v>1340186</v>
      </c>
      <c r="B1431" t="s">
        <v>184</v>
      </c>
      <c r="C1431" t="s">
        <v>1069</v>
      </c>
      <c r="D1431" t="s">
        <v>1325</v>
      </c>
      <c r="E1431" s="1" t="s">
        <v>1326</v>
      </c>
      <c r="F1431">
        <f>VLOOKUP(A1431,Classifications!$A:$E,5,FALSE)</f>
        <v>1</v>
      </c>
      <c r="G1431">
        <f>VLOOKUP(A1431,Classifications!$A:$F,6,FALSE)</f>
        <v>1</v>
      </c>
      <c r="H1431">
        <f>VLOOKUP(A1431,Classifications!$A:$G,7,FALSE)</f>
        <v>36</v>
      </c>
      <c r="I1431" t="s">
        <v>1158</v>
      </c>
      <c r="J1431" s="2">
        <v>44199.000162037039</v>
      </c>
    </row>
    <row r="1432" spans="1:10" ht="12.75" customHeight="1" x14ac:dyDescent="0.3">
      <c r="A1432">
        <v>1340185</v>
      </c>
      <c r="B1432" t="s">
        <v>184</v>
      </c>
      <c r="C1432" t="s">
        <v>1069</v>
      </c>
      <c r="D1432" t="s">
        <v>1325</v>
      </c>
      <c r="E1432" s="1" t="s">
        <v>1326</v>
      </c>
      <c r="F1432">
        <f>VLOOKUP(A1432,Classifications!$A:$E,5,FALSE)</f>
        <v>1</v>
      </c>
      <c r="G1432">
        <f>VLOOKUP(A1432,Classifications!$A:$F,6,FALSE)</f>
        <v>1</v>
      </c>
      <c r="H1432">
        <f>VLOOKUP(A1432,Classifications!$A:$G,7,FALSE)</f>
        <v>36</v>
      </c>
      <c r="I1432" t="s">
        <v>1158</v>
      </c>
      <c r="J1432" s="2">
        <v>44199.000162037039</v>
      </c>
    </row>
    <row r="1433" spans="1:10" ht="12.75" customHeight="1" x14ac:dyDescent="0.3">
      <c r="A1433">
        <v>1340184</v>
      </c>
      <c r="B1433" t="s">
        <v>184</v>
      </c>
      <c r="C1433" t="s">
        <v>1069</v>
      </c>
      <c r="D1433" t="s">
        <v>1325</v>
      </c>
      <c r="E1433" s="1" t="s">
        <v>1326</v>
      </c>
      <c r="F1433">
        <f>VLOOKUP(A1433,Classifications!$A:$E,5,FALSE)</f>
        <v>1</v>
      </c>
      <c r="G1433">
        <f>VLOOKUP(A1433,Classifications!$A:$F,6,FALSE)</f>
        <v>1</v>
      </c>
      <c r="H1433">
        <f>VLOOKUP(A1433,Classifications!$A:$G,7,FALSE)</f>
        <v>36</v>
      </c>
      <c r="I1433" t="s">
        <v>1158</v>
      </c>
      <c r="J1433" s="2">
        <v>44199.000150462962</v>
      </c>
    </row>
    <row r="1434" spans="1:10" ht="12.75" customHeight="1" x14ac:dyDescent="0.3">
      <c r="A1434">
        <v>1340183</v>
      </c>
      <c r="B1434" t="s">
        <v>184</v>
      </c>
      <c r="C1434" t="s">
        <v>1069</v>
      </c>
      <c r="D1434" t="s">
        <v>1325</v>
      </c>
      <c r="E1434" s="1" t="s">
        <v>1326</v>
      </c>
      <c r="F1434">
        <f>VLOOKUP(A1434,Classifications!$A:$E,5,FALSE)</f>
        <v>1</v>
      </c>
      <c r="G1434">
        <f>VLOOKUP(A1434,Classifications!$A:$F,6,FALSE)</f>
        <v>1</v>
      </c>
      <c r="H1434">
        <f>VLOOKUP(A1434,Classifications!$A:$G,7,FALSE)</f>
        <v>36</v>
      </c>
      <c r="I1434" t="s">
        <v>1158</v>
      </c>
      <c r="J1434" s="2">
        <v>44199.000150462962</v>
      </c>
    </row>
    <row r="1435" spans="1:10" ht="12.75" customHeight="1" x14ac:dyDescent="0.3">
      <c r="A1435">
        <v>1340182</v>
      </c>
      <c r="B1435" t="s">
        <v>184</v>
      </c>
      <c r="C1435" t="s">
        <v>1069</v>
      </c>
      <c r="D1435" t="s">
        <v>1325</v>
      </c>
      <c r="E1435" s="1" t="s">
        <v>1326</v>
      </c>
      <c r="F1435">
        <f>VLOOKUP(A1435,Classifications!$A:$E,5,FALSE)</f>
        <v>1</v>
      </c>
      <c r="G1435">
        <f>VLOOKUP(A1435,Classifications!$A:$F,6,FALSE)</f>
        <v>1</v>
      </c>
      <c r="H1435">
        <f>VLOOKUP(A1435,Classifications!$A:$G,7,FALSE)</f>
        <v>36</v>
      </c>
      <c r="I1435" t="s">
        <v>1158</v>
      </c>
      <c r="J1435" s="2">
        <v>44199.000138888892</v>
      </c>
    </row>
    <row r="1436" spans="1:10" ht="12.75" customHeight="1" x14ac:dyDescent="0.3">
      <c r="A1436">
        <v>1340181</v>
      </c>
      <c r="B1436" t="s">
        <v>184</v>
      </c>
      <c r="C1436" t="s">
        <v>1069</v>
      </c>
      <c r="D1436" t="s">
        <v>1325</v>
      </c>
      <c r="E1436" s="1" t="s">
        <v>1326</v>
      </c>
      <c r="F1436">
        <f>VLOOKUP(A1436,Classifications!$A:$E,5,FALSE)</f>
        <v>1</v>
      </c>
      <c r="G1436">
        <f>VLOOKUP(A1436,Classifications!$A:$F,6,FALSE)</f>
        <v>1</v>
      </c>
      <c r="H1436">
        <f>VLOOKUP(A1436,Classifications!$A:$G,7,FALSE)</f>
        <v>36</v>
      </c>
      <c r="I1436" t="s">
        <v>1158</v>
      </c>
      <c r="J1436" s="2">
        <v>44199.000138888892</v>
      </c>
    </row>
    <row r="1437" spans="1:10" ht="12.75" customHeight="1" x14ac:dyDescent="0.3">
      <c r="A1437">
        <v>1340180</v>
      </c>
      <c r="B1437" t="s">
        <v>184</v>
      </c>
      <c r="C1437" t="s">
        <v>1069</v>
      </c>
      <c r="D1437" t="s">
        <v>1325</v>
      </c>
      <c r="E1437" s="1" t="s">
        <v>1326</v>
      </c>
      <c r="F1437">
        <f>VLOOKUP(A1437,Classifications!$A:$E,5,FALSE)</f>
        <v>1</v>
      </c>
      <c r="G1437">
        <f>VLOOKUP(A1437,Classifications!$A:$F,6,FALSE)</f>
        <v>1</v>
      </c>
      <c r="H1437">
        <f>VLOOKUP(A1437,Classifications!$A:$G,7,FALSE)</f>
        <v>36</v>
      </c>
      <c r="I1437" t="s">
        <v>1158</v>
      </c>
      <c r="J1437" s="2">
        <v>44199.000127314815</v>
      </c>
    </row>
    <row r="1438" spans="1:10" ht="12.75" customHeight="1" x14ac:dyDescent="0.3">
      <c r="A1438">
        <v>1340179</v>
      </c>
      <c r="B1438" t="s">
        <v>184</v>
      </c>
      <c r="C1438" t="s">
        <v>1069</v>
      </c>
      <c r="D1438" t="s">
        <v>1325</v>
      </c>
      <c r="E1438" s="1" t="s">
        <v>1326</v>
      </c>
      <c r="F1438">
        <f>VLOOKUP(A1438,Classifications!$A:$E,5,FALSE)</f>
        <v>1</v>
      </c>
      <c r="G1438">
        <f>VLOOKUP(A1438,Classifications!$A:$F,6,FALSE)</f>
        <v>1</v>
      </c>
      <c r="H1438">
        <f>VLOOKUP(A1438,Classifications!$A:$G,7,FALSE)</f>
        <v>36</v>
      </c>
      <c r="I1438" t="s">
        <v>1158</v>
      </c>
      <c r="J1438" s="2">
        <v>44199.000127314815</v>
      </c>
    </row>
    <row r="1439" spans="1:10" ht="12.75" customHeight="1" x14ac:dyDescent="0.3">
      <c r="A1439">
        <v>1340178</v>
      </c>
      <c r="B1439" t="s">
        <v>184</v>
      </c>
      <c r="C1439" t="s">
        <v>1069</v>
      </c>
      <c r="D1439" t="s">
        <v>1325</v>
      </c>
      <c r="E1439" s="1" t="s">
        <v>1326</v>
      </c>
      <c r="F1439">
        <f>VLOOKUP(A1439,Classifications!$A:$E,5,FALSE)</f>
        <v>1</v>
      </c>
      <c r="G1439">
        <f>VLOOKUP(A1439,Classifications!$A:$F,6,FALSE)</f>
        <v>1</v>
      </c>
      <c r="H1439">
        <f>VLOOKUP(A1439,Classifications!$A:$G,7,FALSE)</f>
        <v>36</v>
      </c>
      <c r="I1439" t="s">
        <v>1158</v>
      </c>
      <c r="J1439" s="2">
        <v>44199.000115740739</v>
      </c>
    </row>
    <row r="1440" spans="1:10" ht="12.75" customHeight="1" x14ac:dyDescent="0.3">
      <c r="A1440">
        <v>1340177</v>
      </c>
      <c r="B1440" t="s">
        <v>184</v>
      </c>
      <c r="C1440" t="s">
        <v>1069</v>
      </c>
      <c r="D1440" t="s">
        <v>1325</v>
      </c>
      <c r="E1440" s="1" t="s">
        <v>1326</v>
      </c>
      <c r="F1440">
        <f>VLOOKUP(A1440,Classifications!$A:$E,5,FALSE)</f>
        <v>1</v>
      </c>
      <c r="G1440">
        <f>VLOOKUP(A1440,Classifications!$A:$F,6,FALSE)</f>
        <v>1</v>
      </c>
      <c r="H1440">
        <f>VLOOKUP(A1440,Classifications!$A:$G,7,FALSE)</f>
        <v>36</v>
      </c>
      <c r="I1440" t="s">
        <v>1158</v>
      </c>
      <c r="J1440" s="2">
        <v>44199.000115740739</v>
      </c>
    </row>
    <row r="1441" spans="1:10" ht="12.75" customHeight="1" x14ac:dyDescent="0.3">
      <c r="A1441">
        <v>1340176</v>
      </c>
      <c r="B1441" t="s">
        <v>184</v>
      </c>
      <c r="C1441" t="s">
        <v>1069</v>
      </c>
      <c r="D1441" t="s">
        <v>1325</v>
      </c>
      <c r="E1441" s="1" t="s">
        <v>1326</v>
      </c>
      <c r="F1441">
        <f>VLOOKUP(A1441,Classifications!$A:$E,5,FALSE)</f>
        <v>1</v>
      </c>
      <c r="G1441">
        <f>VLOOKUP(A1441,Classifications!$A:$F,6,FALSE)</f>
        <v>1</v>
      </c>
      <c r="H1441">
        <f>VLOOKUP(A1441,Classifications!$A:$G,7,FALSE)</f>
        <v>36</v>
      </c>
      <c r="I1441" t="s">
        <v>1158</v>
      </c>
      <c r="J1441" s="2">
        <v>44199.000104166669</v>
      </c>
    </row>
    <row r="1442" spans="1:10" ht="12.75" customHeight="1" x14ac:dyDescent="0.3">
      <c r="A1442">
        <v>1340175</v>
      </c>
      <c r="B1442" t="s">
        <v>184</v>
      </c>
      <c r="C1442" t="s">
        <v>1069</v>
      </c>
      <c r="D1442" t="s">
        <v>1325</v>
      </c>
      <c r="E1442" s="1" t="s">
        <v>1326</v>
      </c>
      <c r="F1442">
        <f>VLOOKUP(A1442,Classifications!$A:$E,5,FALSE)</f>
        <v>1</v>
      </c>
      <c r="G1442">
        <f>VLOOKUP(A1442,Classifications!$A:$F,6,FALSE)</f>
        <v>1</v>
      </c>
      <c r="H1442">
        <f>VLOOKUP(A1442,Classifications!$A:$G,7,FALSE)</f>
        <v>36</v>
      </c>
      <c r="I1442" t="s">
        <v>1158</v>
      </c>
      <c r="J1442" s="2">
        <v>44199.000092592592</v>
      </c>
    </row>
    <row r="1443" spans="1:10" ht="12.75" customHeight="1" x14ac:dyDescent="0.3">
      <c r="A1443">
        <v>1340174</v>
      </c>
      <c r="B1443" t="s">
        <v>184</v>
      </c>
      <c r="C1443" t="s">
        <v>1069</v>
      </c>
      <c r="D1443" t="s">
        <v>1325</v>
      </c>
      <c r="E1443" s="1" t="s">
        <v>1326</v>
      </c>
      <c r="F1443">
        <f>VLOOKUP(A1443,Classifications!$A:$E,5,FALSE)</f>
        <v>1</v>
      </c>
      <c r="G1443">
        <f>VLOOKUP(A1443,Classifications!$A:$F,6,FALSE)</f>
        <v>1</v>
      </c>
      <c r="H1443">
        <f>VLOOKUP(A1443,Classifications!$A:$G,7,FALSE)</f>
        <v>36</v>
      </c>
      <c r="I1443" t="s">
        <v>1158</v>
      </c>
      <c r="J1443" s="2">
        <v>44199.000092592592</v>
      </c>
    </row>
    <row r="1444" spans="1:10" ht="12.75" customHeight="1" x14ac:dyDescent="0.3">
      <c r="A1444">
        <v>1340173</v>
      </c>
      <c r="B1444" t="s">
        <v>184</v>
      </c>
      <c r="C1444" t="s">
        <v>1069</v>
      </c>
      <c r="D1444" t="s">
        <v>1325</v>
      </c>
      <c r="E1444" s="1" t="s">
        <v>1326</v>
      </c>
      <c r="F1444">
        <f>VLOOKUP(A1444,Classifications!$A:$E,5,FALSE)</f>
        <v>1</v>
      </c>
      <c r="G1444">
        <f>VLOOKUP(A1444,Classifications!$A:$F,6,FALSE)</f>
        <v>1</v>
      </c>
      <c r="H1444">
        <f>VLOOKUP(A1444,Classifications!$A:$G,7,FALSE)</f>
        <v>36</v>
      </c>
      <c r="I1444" t="s">
        <v>1158</v>
      </c>
      <c r="J1444" s="2">
        <v>44199.000081018516</v>
      </c>
    </row>
    <row r="1445" spans="1:10" ht="12.75" customHeight="1" x14ac:dyDescent="0.3">
      <c r="A1445">
        <v>1340172</v>
      </c>
      <c r="B1445" t="s">
        <v>184</v>
      </c>
      <c r="C1445" t="s">
        <v>1069</v>
      </c>
      <c r="D1445" t="s">
        <v>1325</v>
      </c>
      <c r="E1445" s="1" t="s">
        <v>1326</v>
      </c>
      <c r="F1445">
        <f>VLOOKUP(A1445,Classifications!$A:$E,5,FALSE)</f>
        <v>1</v>
      </c>
      <c r="G1445">
        <f>VLOOKUP(A1445,Classifications!$A:$F,6,FALSE)</f>
        <v>1</v>
      </c>
      <c r="H1445">
        <f>VLOOKUP(A1445,Classifications!$A:$G,7,FALSE)</f>
        <v>36</v>
      </c>
      <c r="I1445" t="s">
        <v>1158</v>
      </c>
      <c r="J1445" s="2">
        <v>44199.000081018516</v>
      </c>
    </row>
    <row r="1446" spans="1:10" ht="12.75" customHeight="1" x14ac:dyDescent="0.3">
      <c r="A1446">
        <v>1340171</v>
      </c>
      <c r="B1446" t="s">
        <v>184</v>
      </c>
      <c r="C1446" t="s">
        <v>1069</v>
      </c>
      <c r="D1446" t="s">
        <v>1325</v>
      </c>
      <c r="E1446" s="1" t="s">
        <v>1326</v>
      </c>
      <c r="F1446">
        <f>VLOOKUP(A1446,Classifications!$A:$E,5,FALSE)</f>
        <v>1</v>
      </c>
      <c r="G1446">
        <f>VLOOKUP(A1446,Classifications!$A:$F,6,FALSE)</f>
        <v>1</v>
      </c>
      <c r="H1446">
        <f>VLOOKUP(A1446,Classifications!$A:$G,7,FALSE)</f>
        <v>36</v>
      </c>
      <c r="I1446" t="s">
        <v>1158</v>
      </c>
      <c r="J1446" s="2">
        <v>44199.000069444446</v>
      </c>
    </row>
    <row r="1447" spans="1:10" ht="12.75" customHeight="1" x14ac:dyDescent="0.3">
      <c r="A1447">
        <v>1340170</v>
      </c>
      <c r="B1447" t="s">
        <v>184</v>
      </c>
      <c r="C1447" t="s">
        <v>1069</v>
      </c>
      <c r="D1447" t="s">
        <v>1325</v>
      </c>
      <c r="E1447" s="1" t="s">
        <v>1326</v>
      </c>
      <c r="F1447">
        <f>VLOOKUP(A1447,Classifications!$A:$E,5,FALSE)</f>
        <v>1</v>
      </c>
      <c r="G1447">
        <f>VLOOKUP(A1447,Classifications!$A:$F,6,FALSE)</f>
        <v>1</v>
      </c>
      <c r="H1447">
        <f>VLOOKUP(A1447,Classifications!$A:$G,7,FALSE)</f>
        <v>36</v>
      </c>
      <c r="I1447" t="s">
        <v>1158</v>
      </c>
      <c r="J1447" s="2">
        <v>44199.000069444446</v>
      </c>
    </row>
    <row r="1448" spans="1:10" ht="12.75" customHeight="1" x14ac:dyDescent="0.3">
      <c r="A1448">
        <v>1340169</v>
      </c>
      <c r="B1448" t="s">
        <v>184</v>
      </c>
      <c r="C1448" t="s">
        <v>1069</v>
      </c>
      <c r="D1448" t="s">
        <v>1325</v>
      </c>
      <c r="E1448" s="1" t="s">
        <v>1326</v>
      </c>
      <c r="F1448">
        <f>VLOOKUP(A1448,Classifications!$A:$E,5,FALSE)</f>
        <v>1</v>
      </c>
      <c r="G1448">
        <f>VLOOKUP(A1448,Classifications!$A:$F,6,FALSE)</f>
        <v>1</v>
      </c>
      <c r="H1448">
        <f>VLOOKUP(A1448,Classifications!$A:$G,7,FALSE)</f>
        <v>36</v>
      </c>
      <c r="I1448" t="s">
        <v>1158</v>
      </c>
      <c r="J1448" s="2">
        <v>44199.000057870369</v>
      </c>
    </row>
    <row r="1449" spans="1:10" ht="12.75" customHeight="1" x14ac:dyDescent="0.3">
      <c r="A1449">
        <v>1340168</v>
      </c>
      <c r="B1449" t="s">
        <v>184</v>
      </c>
      <c r="C1449" t="s">
        <v>1069</v>
      </c>
      <c r="D1449" t="s">
        <v>1325</v>
      </c>
      <c r="E1449" s="1" t="s">
        <v>1326</v>
      </c>
      <c r="F1449">
        <f>VLOOKUP(A1449,Classifications!$A:$E,5,FALSE)</f>
        <v>1</v>
      </c>
      <c r="G1449">
        <f>VLOOKUP(A1449,Classifications!$A:$F,6,FALSE)</f>
        <v>1</v>
      </c>
      <c r="H1449">
        <f>VLOOKUP(A1449,Classifications!$A:$G,7,FALSE)</f>
        <v>36</v>
      </c>
      <c r="I1449" t="s">
        <v>1158</v>
      </c>
      <c r="J1449" s="2">
        <v>44199.000057870369</v>
      </c>
    </row>
    <row r="1450" spans="1:10" ht="12.75" customHeight="1" x14ac:dyDescent="0.3">
      <c r="A1450">
        <v>1340167</v>
      </c>
      <c r="B1450" t="s">
        <v>184</v>
      </c>
      <c r="C1450" t="s">
        <v>1069</v>
      </c>
      <c r="D1450" t="s">
        <v>1325</v>
      </c>
      <c r="E1450" s="1" t="s">
        <v>1326</v>
      </c>
      <c r="F1450">
        <f>VLOOKUP(A1450,Classifications!$A:$E,5,FALSE)</f>
        <v>1</v>
      </c>
      <c r="G1450">
        <f>VLOOKUP(A1450,Classifications!$A:$F,6,FALSE)</f>
        <v>1</v>
      </c>
      <c r="H1450">
        <f>VLOOKUP(A1450,Classifications!$A:$G,7,FALSE)</f>
        <v>36</v>
      </c>
      <c r="I1450" t="s">
        <v>1158</v>
      </c>
      <c r="J1450" s="2">
        <v>44199.0000462963</v>
      </c>
    </row>
    <row r="1451" spans="1:10" ht="12.75" customHeight="1" x14ac:dyDescent="0.3">
      <c r="A1451">
        <v>1340166</v>
      </c>
      <c r="B1451" t="s">
        <v>184</v>
      </c>
      <c r="C1451" t="s">
        <v>1069</v>
      </c>
      <c r="D1451" t="s">
        <v>1325</v>
      </c>
      <c r="E1451" s="1" t="s">
        <v>1326</v>
      </c>
      <c r="F1451">
        <f>VLOOKUP(A1451,Classifications!$A:$E,5,FALSE)</f>
        <v>1</v>
      </c>
      <c r="G1451">
        <f>VLOOKUP(A1451,Classifications!$A:$F,6,FALSE)</f>
        <v>1</v>
      </c>
      <c r="H1451">
        <f>VLOOKUP(A1451,Classifications!$A:$G,7,FALSE)</f>
        <v>36</v>
      </c>
      <c r="I1451" t="s">
        <v>1158</v>
      </c>
      <c r="J1451" s="2">
        <v>44199.0000462963</v>
      </c>
    </row>
    <row r="1452" spans="1:10" ht="12.75" customHeight="1" x14ac:dyDescent="0.3">
      <c r="A1452">
        <v>1340165</v>
      </c>
      <c r="B1452" t="s">
        <v>184</v>
      </c>
      <c r="C1452" t="s">
        <v>1069</v>
      </c>
      <c r="D1452" t="s">
        <v>1325</v>
      </c>
      <c r="E1452" s="1" t="s">
        <v>1326</v>
      </c>
      <c r="F1452">
        <f>VLOOKUP(A1452,Classifications!$A:$E,5,FALSE)</f>
        <v>1</v>
      </c>
      <c r="G1452">
        <f>VLOOKUP(A1452,Classifications!$A:$F,6,FALSE)</f>
        <v>1</v>
      </c>
      <c r="H1452">
        <f>VLOOKUP(A1452,Classifications!$A:$G,7,FALSE)</f>
        <v>36</v>
      </c>
      <c r="I1452" t="s">
        <v>1158</v>
      </c>
      <c r="J1452" s="2">
        <v>44199.0000462963</v>
      </c>
    </row>
    <row r="1453" spans="1:10" ht="12.75" customHeight="1" x14ac:dyDescent="0.3">
      <c r="A1453">
        <v>1340164</v>
      </c>
      <c r="B1453" t="s">
        <v>184</v>
      </c>
      <c r="C1453" t="s">
        <v>1069</v>
      </c>
      <c r="D1453" t="s">
        <v>1325</v>
      </c>
      <c r="E1453" s="1" t="s">
        <v>1326</v>
      </c>
      <c r="F1453">
        <f>VLOOKUP(A1453,Classifications!$A:$E,5,FALSE)</f>
        <v>1</v>
      </c>
      <c r="G1453">
        <f>VLOOKUP(A1453,Classifications!$A:$F,6,FALSE)</f>
        <v>1</v>
      </c>
      <c r="H1453">
        <f>VLOOKUP(A1453,Classifications!$A:$G,7,FALSE)</f>
        <v>36</v>
      </c>
      <c r="I1453" t="s">
        <v>1158</v>
      </c>
      <c r="J1453" s="2">
        <v>44199.000034722223</v>
      </c>
    </row>
    <row r="1454" spans="1:10" ht="12.75" customHeight="1" x14ac:dyDescent="0.3">
      <c r="A1454">
        <v>1340163</v>
      </c>
      <c r="B1454" t="s">
        <v>281</v>
      </c>
      <c r="C1454" t="s">
        <v>3174</v>
      </c>
      <c r="D1454" t="s">
        <v>1156</v>
      </c>
      <c r="E1454" s="1" t="s">
        <v>1157</v>
      </c>
      <c r="F1454">
        <f>VLOOKUP(A1454,Classifications!$A:$E,5,FALSE)</f>
        <v>1</v>
      </c>
      <c r="G1454">
        <f>VLOOKUP(A1454,Classifications!$A:$F,6,FALSE)</f>
        <v>1</v>
      </c>
      <c r="H1454">
        <f>VLOOKUP(A1454,Classifications!$A:$G,7,FALSE)</f>
        <v>36</v>
      </c>
      <c r="I1454" t="s">
        <v>1158</v>
      </c>
      <c r="J1454" s="2">
        <v>44199.000034722223</v>
      </c>
    </row>
    <row r="1455" spans="1:10" ht="12.75" customHeight="1" x14ac:dyDescent="0.3">
      <c r="A1455">
        <v>1340162</v>
      </c>
      <c r="B1455" t="s">
        <v>401</v>
      </c>
      <c r="C1455" t="s">
        <v>402</v>
      </c>
      <c r="D1455" t="s">
        <v>1429</v>
      </c>
      <c r="E1455" s="1" t="s">
        <v>1160</v>
      </c>
      <c r="F1455">
        <f>VLOOKUP(A1455,Classifications!$A:$E,5,FALSE)</f>
        <v>1</v>
      </c>
      <c r="G1455">
        <f>VLOOKUP(A1455,Classifications!$A:$F,6,FALSE)</f>
        <v>1</v>
      </c>
      <c r="H1455">
        <f>VLOOKUP(A1455,Classifications!$A:$G,7,FALSE)</f>
        <v>36</v>
      </c>
      <c r="I1455" t="s">
        <v>1158</v>
      </c>
      <c r="J1455" s="2">
        <v>44199.000023148146</v>
      </c>
    </row>
    <row r="1456" spans="1:10" ht="12.75" customHeight="1" x14ac:dyDescent="0.3">
      <c r="A1456">
        <v>1340161</v>
      </c>
      <c r="B1456" t="s">
        <v>1264</v>
      </c>
      <c r="C1456" t="s">
        <v>3175</v>
      </c>
      <c r="D1456" t="s">
        <v>1429</v>
      </c>
      <c r="E1456" s="1" t="s">
        <v>1160</v>
      </c>
      <c r="F1456">
        <f>VLOOKUP(A1456,Classifications!$A:$E,5,FALSE)</f>
        <v>1</v>
      </c>
      <c r="G1456">
        <f>VLOOKUP(A1456,Classifications!$A:$F,6,FALSE)</f>
        <v>1</v>
      </c>
      <c r="H1456">
        <f>VLOOKUP(A1456,Classifications!$A:$G,7,FALSE)</f>
        <v>36</v>
      </c>
      <c r="I1456" t="s">
        <v>1158</v>
      </c>
      <c r="J1456" s="2">
        <v>44199.000023148146</v>
      </c>
    </row>
    <row r="1457" spans="1:10" ht="12.75" customHeight="1" x14ac:dyDescent="0.3">
      <c r="A1457">
        <v>1339713</v>
      </c>
      <c r="B1457" t="s">
        <v>49</v>
      </c>
      <c r="C1457" t="s">
        <v>798</v>
      </c>
      <c r="D1457" t="s">
        <v>1323</v>
      </c>
      <c r="E1457" t="s">
        <v>1324</v>
      </c>
      <c r="F1457">
        <f>VLOOKUP(A1457,Classifications!$A:$E,5,FALSE)</f>
        <v>1</v>
      </c>
      <c r="G1457">
        <f>VLOOKUP(A1457,Classifications!$A:$F,6,FALSE)</f>
        <v>1</v>
      </c>
      <c r="H1457">
        <f>VLOOKUP(A1457,Classifications!$A:$G,7,FALSE)</f>
        <v>36</v>
      </c>
      <c r="I1457" t="s">
        <v>1158</v>
      </c>
      <c r="J1457" s="2">
        <v>44198.000069444446</v>
      </c>
    </row>
    <row r="1458" spans="1:10" ht="12.75" customHeight="1" x14ac:dyDescent="0.3">
      <c r="A1458">
        <v>1339189</v>
      </c>
      <c r="B1458" t="s">
        <v>53</v>
      </c>
      <c r="C1458" t="s">
        <v>158</v>
      </c>
      <c r="D1458" t="s">
        <v>2613</v>
      </c>
      <c r="E1458" s="1" t="s">
        <v>2614</v>
      </c>
      <c r="F1458">
        <f>VLOOKUP(A1458,Classifications!$A:$E,5,FALSE)</f>
        <v>1</v>
      </c>
      <c r="G1458">
        <f>VLOOKUP(A1458,Classifications!$A:$F,6,FALSE)</f>
        <v>1</v>
      </c>
      <c r="H1458">
        <f>VLOOKUP(A1458,Classifications!$A:$G,7,FALSE)</f>
        <v>36</v>
      </c>
      <c r="I1458" t="s">
        <v>1158</v>
      </c>
      <c r="J1458" s="2">
        <v>44197.000057870369</v>
      </c>
    </row>
    <row r="1459" spans="1:10" ht="12.75" customHeight="1" x14ac:dyDescent="0.3">
      <c r="A1459">
        <v>1339188</v>
      </c>
      <c r="B1459" t="s">
        <v>53</v>
      </c>
      <c r="C1459" t="s">
        <v>158</v>
      </c>
      <c r="D1459" t="s">
        <v>3176</v>
      </c>
      <c r="E1459" s="1" t="s">
        <v>2614</v>
      </c>
      <c r="F1459">
        <f>VLOOKUP(A1459,Classifications!$A:$E,5,FALSE)</f>
        <v>1</v>
      </c>
      <c r="G1459">
        <f>VLOOKUP(A1459,Classifications!$A:$F,6,FALSE)</f>
        <v>1</v>
      </c>
      <c r="H1459">
        <f>VLOOKUP(A1459,Classifications!$A:$G,7,FALSE)</f>
        <v>36</v>
      </c>
      <c r="I1459" t="s">
        <v>1158</v>
      </c>
      <c r="J1459" s="2">
        <v>44197.000057870369</v>
      </c>
    </row>
    <row r="1460" spans="1:10" ht="12.75" customHeight="1" x14ac:dyDescent="0.3">
      <c r="A1460">
        <v>1339186</v>
      </c>
      <c r="B1460" t="s">
        <v>1950</v>
      </c>
      <c r="C1460" t="s">
        <v>1951</v>
      </c>
      <c r="D1460" t="s">
        <v>1156</v>
      </c>
      <c r="E1460" s="1" t="s">
        <v>1157</v>
      </c>
      <c r="F1460">
        <f>VLOOKUP(A1460,Classifications!$A:$E,5,FALSE)</f>
        <v>1</v>
      </c>
      <c r="G1460">
        <f>VLOOKUP(A1460,Classifications!$A:$F,6,FALSE)</f>
        <v>1</v>
      </c>
      <c r="H1460">
        <f>VLOOKUP(A1460,Classifications!$A:$G,7,FALSE)</f>
        <v>36</v>
      </c>
      <c r="I1460" t="s">
        <v>1158</v>
      </c>
      <c r="J1460" s="2">
        <v>44197.0000462963</v>
      </c>
    </row>
    <row r="1461" spans="1:10" ht="12.75" customHeight="1" x14ac:dyDescent="0.3">
      <c r="A1461">
        <v>1339185</v>
      </c>
      <c r="B1461" t="s">
        <v>813</v>
      </c>
      <c r="C1461" t="s">
        <v>814</v>
      </c>
      <c r="D1461" t="s">
        <v>1156</v>
      </c>
      <c r="E1461" s="1" t="s">
        <v>1157</v>
      </c>
      <c r="F1461">
        <f>VLOOKUP(A1461,Classifications!$A:$E,5,FALSE)</f>
        <v>1</v>
      </c>
      <c r="G1461">
        <f>VLOOKUP(A1461,Classifications!$A:$F,6,FALSE)</f>
        <v>1</v>
      </c>
      <c r="H1461">
        <f>VLOOKUP(A1461,Classifications!$A:$G,7,FALSE)</f>
        <v>36</v>
      </c>
      <c r="I1461" t="s">
        <v>1158</v>
      </c>
      <c r="J1461" s="2">
        <v>44197.000034722223</v>
      </c>
    </row>
    <row r="1462" spans="1:10" ht="12.75" customHeight="1" x14ac:dyDescent="0.3">
      <c r="A1462">
        <v>1338892</v>
      </c>
      <c r="B1462" t="s">
        <v>53</v>
      </c>
      <c r="C1462" t="s">
        <v>54</v>
      </c>
      <c r="D1462" t="s">
        <v>3177</v>
      </c>
      <c r="E1462" s="1" t="s">
        <v>3178</v>
      </c>
      <c r="F1462">
        <f>VLOOKUP(A1462,Classifications!$A:$E,5,FALSE)</f>
        <v>1</v>
      </c>
      <c r="G1462">
        <f>VLOOKUP(A1462,Classifications!$A:$F,6,FALSE)</f>
        <v>1</v>
      </c>
      <c r="H1462">
        <f>VLOOKUP(A1462,Classifications!$A:$G,7,FALSE)</f>
        <v>43</v>
      </c>
      <c r="I1462" t="s">
        <v>11</v>
      </c>
      <c r="J1462" s="2">
        <v>44196.54283564815</v>
      </c>
    </row>
    <row r="1463" spans="1:10" ht="12.75" customHeight="1" x14ac:dyDescent="0.3">
      <c r="A1463">
        <v>1338875</v>
      </c>
      <c r="B1463" t="s">
        <v>7</v>
      </c>
      <c r="C1463" t="s">
        <v>107</v>
      </c>
      <c r="D1463" t="s">
        <v>737</v>
      </c>
      <c r="E1463" s="1" t="s">
        <v>3179</v>
      </c>
      <c r="F1463">
        <f>VLOOKUP(A1463,Classifications!$A:$E,5,FALSE)</f>
        <v>1</v>
      </c>
      <c r="G1463">
        <f>VLOOKUP(A1463,Classifications!$A:$F,6,FALSE)</f>
        <v>1</v>
      </c>
      <c r="H1463">
        <f>VLOOKUP(A1463,Classifications!$A:$G,7,FALSE)</f>
        <v>41</v>
      </c>
      <c r="I1463" t="s">
        <v>11</v>
      </c>
      <c r="J1463" s="2">
        <v>44196.499768518515</v>
      </c>
    </row>
    <row r="1464" spans="1:10" ht="12.75" customHeight="1" x14ac:dyDescent="0.3">
      <c r="A1464">
        <v>1338847</v>
      </c>
      <c r="B1464" t="s">
        <v>70</v>
      </c>
      <c r="C1464" t="s">
        <v>369</v>
      </c>
      <c r="D1464" t="s">
        <v>3180</v>
      </c>
      <c r="E1464" s="1" t="s">
        <v>3181</v>
      </c>
      <c r="F1464">
        <f>VLOOKUP(A1464,Classifications!$A:$E,5,FALSE)</f>
        <v>1</v>
      </c>
      <c r="G1464">
        <f>VLOOKUP(A1464,Classifications!$A:$F,6,FALSE)</f>
        <v>1</v>
      </c>
      <c r="H1464">
        <f>VLOOKUP(A1464,Classifications!$A:$G,7,FALSE)</f>
        <v>43</v>
      </c>
      <c r="I1464" t="s">
        <v>11</v>
      </c>
      <c r="J1464" s="2">
        <v>44196.45412037037</v>
      </c>
    </row>
    <row r="1465" spans="1:10" ht="12.75" customHeight="1" x14ac:dyDescent="0.3">
      <c r="A1465">
        <v>1338830</v>
      </c>
      <c r="B1465" t="s">
        <v>16</v>
      </c>
      <c r="C1465" t="s">
        <v>181</v>
      </c>
      <c r="D1465" t="s">
        <v>3182</v>
      </c>
      <c r="E1465" s="1" t="s">
        <v>3183</v>
      </c>
      <c r="F1465">
        <f>VLOOKUP(A1465,Classifications!$A:$E,5,FALSE)</f>
        <v>1</v>
      </c>
      <c r="G1465">
        <f>VLOOKUP(A1465,Classifications!$A:$F,6,FALSE)</f>
        <v>1</v>
      </c>
      <c r="H1465">
        <f>VLOOKUP(A1465,Classifications!$A:$G,7,FALSE)</f>
        <v>43</v>
      </c>
      <c r="I1465" t="s">
        <v>11</v>
      </c>
      <c r="J1465" s="2">
        <v>44196.433263888888</v>
      </c>
    </row>
    <row r="1466" spans="1:10" ht="12.75" customHeight="1" x14ac:dyDescent="0.3">
      <c r="A1466">
        <v>1338763</v>
      </c>
      <c r="B1466" t="s">
        <v>3184</v>
      </c>
      <c r="C1466" t="s">
        <v>3185</v>
      </c>
      <c r="D1466" t="s">
        <v>3186</v>
      </c>
      <c r="E1466" s="1" t="s">
        <v>3187</v>
      </c>
      <c r="F1466">
        <f>VLOOKUP(A1466,Classifications!$A:$E,5,FALSE)</f>
        <v>1</v>
      </c>
      <c r="G1466">
        <f>VLOOKUP(A1466,Classifications!$A:$F,6,FALSE)</f>
        <v>1</v>
      </c>
      <c r="H1466">
        <f>VLOOKUP(A1466,Classifications!$A:$G,7,FALSE)</f>
        <v>43</v>
      </c>
      <c r="I1466" t="s">
        <v>11</v>
      </c>
      <c r="J1466" s="2">
        <v>44196.389050925929</v>
      </c>
    </row>
    <row r="1467" spans="1:10" ht="12.75" customHeight="1" x14ac:dyDescent="0.3">
      <c r="A1467">
        <v>1338762</v>
      </c>
      <c r="B1467" t="s">
        <v>3184</v>
      </c>
      <c r="C1467" t="s">
        <v>3185</v>
      </c>
      <c r="D1467" t="s">
        <v>3188</v>
      </c>
      <c r="E1467" s="1" t="s">
        <v>3189</v>
      </c>
      <c r="F1467">
        <f>VLOOKUP(A1467,Classifications!$A:$E,5,FALSE)</f>
        <v>1</v>
      </c>
      <c r="G1467">
        <f>VLOOKUP(A1467,Classifications!$A:$F,6,FALSE)</f>
        <v>1</v>
      </c>
      <c r="H1467">
        <f>VLOOKUP(A1467,Classifications!$A:$G,7,FALSE)</f>
        <v>43</v>
      </c>
      <c r="I1467" t="s">
        <v>11</v>
      </c>
      <c r="J1467" s="2">
        <v>44196.384328703702</v>
      </c>
    </row>
    <row r="1468" spans="1:10" ht="12.75" customHeight="1" x14ac:dyDescent="0.3">
      <c r="A1468">
        <v>1338678</v>
      </c>
      <c r="B1468" t="s">
        <v>16</v>
      </c>
      <c r="C1468" t="s">
        <v>649</v>
      </c>
      <c r="D1468" t="s">
        <v>650</v>
      </c>
      <c r="E1468" s="1" t="s">
        <v>3190</v>
      </c>
      <c r="F1468">
        <f>VLOOKUP(A1468,Classifications!$A:$E,5,FALSE)</f>
        <v>1</v>
      </c>
      <c r="G1468">
        <f>VLOOKUP(A1468,Classifications!$A:$F,6,FALSE)</f>
        <v>1</v>
      </c>
      <c r="H1468">
        <f>VLOOKUP(A1468,Classifications!$A:$G,7,FALSE)</f>
        <v>43</v>
      </c>
      <c r="I1468" t="s">
        <v>11</v>
      </c>
      <c r="J1468" s="2">
        <v>44196.318090277775</v>
      </c>
    </row>
    <row r="1469" spans="1:10" ht="12.75" customHeight="1" x14ac:dyDescent="0.3">
      <c r="A1469">
        <v>1338640</v>
      </c>
      <c r="B1469" t="s">
        <v>540</v>
      </c>
      <c r="C1469" t="s">
        <v>3191</v>
      </c>
      <c r="D1469" t="s">
        <v>3192</v>
      </c>
      <c r="E1469" s="1" t="s">
        <v>3193</v>
      </c>
      <c r="F1469">
        <f>VLOOKUP(A1469,Classifications!$A:$E,5,FALSE)</f>
        <v>1</v>
      </c>
      <c r="G1469">
        <f>VLOOKUP(A1469,Classifications!$A:$F,6,FALSE)</f>
        <v>1</v>
      </c>
      <c r="H1469">
        <f>VLOOKUP(A1469,Classifications!$A:$G,7,FALSE)</f>
        <v>41</v>
      </c>
      <c r="I1469" t="s">
        <v>11</v>
      </c>
      <c r="J1469" s="2">
        <v>44196.142905092594</v>
      </c>
    </row>
    <row r="1470" spans="1:10" ht="12.75" customHeight="1" x14ac:dyDescent="0.3">
      <c r="A1470">
        <v>1338638</v>
      </c>
      <c r="B1470" t="s">
        <v>7</v>
      </c>
      <c r="C1470" t="s">
        <v>158</v>
      </c>
      <c r="D1470" t="s">
        <v>737</v>
      </c>
      <c r="E1470" s="1" t="s">
        <v>3194</v>
      </c>
      <c r="F1470">
        <f>VLOOKUP(A1470,Classifications!$A:$E,5,FALSE)</f>
        <v>1</v>
      </c>
      <c r="G1470">
        <f>VLOOKUP(A1470,Classifications!$A:$F,6,FALSE)</f>
        <v>1</v>
      </c>
      <c r="H1470">
        <f>VLOOKUP(A1470,Classifications!$A:$G,7,FALSE)</f>
        <v>41</v>
      </c>
      <c r="I1470" t="s">
        <v>11</v>
      </c>
      <c r="J1470" s="2">
        <v>44196.139837962961</v>
      </c>
    </row>
    <row r="1471" spans="1:10" ht="12.75" customHeight="1" x14ac:dyDescent="0.3">
      <c r="A1471">
        <v>1338581</v>
      </c>
      <c r="B1471" t="s">
        <v>401</v>
      </c>
      <c r="C1471" t="s">
        <v>402</v>
      </c>
      <c r="D1471" t="s">
        <v>1323</v>
      </c>
      <c r="E1471" t="s">
        <v>1324</v>
      </c>
      <c r="F1471">
        <f>VLOOKUP(A1471,Classifications!$A:$E,5,FALSE)</f>
        <v>1</v>
      </c>
      <c r="G1471">
        <f>VLOOKUP(A1471,Classifications!$A:$F,6,FALSE)</f>
        <v>1</v>
      </c>
      <c r="H1471">
        <f>VLOOKUP(A1471,Classifications!$A:$G,7,FALSE)</f>
        <v>36</v>
      </c>
      <c r="I1471" t="s">
        <v>1158</v>
      </c>
      <c r="J1471" s="2">
        <v>44196.000057870369</v>
      </c>
    </row>
    <row r="1472" spans="1:10" ht="12.75" customHeight="1" x14ac:dyDescent="0.3">
      <c r="A1472">
        <v>1338580</v>
      </c>
      <c r="B1472" t="s">
        <v>813</v>
      </c>
      <c r="C1472" t="s">
        <v>814</v>
      </c>
      <c r="D1472" t="s">
        <v>1323</v>
      </c>
      <c r="E1472" t="s">
        <v>1324</v>
      </c>
      <c r="F1472">
        <f>VLOOKUP(A1472,Classifications!$A:$E,5,FALSE)</f>
        <v>1</v>
      </c>
      <c r="G1472">
        <f>VLOOKUP(A1472,Classifications!$A:$F,6,FALSE)</f>
        <v>1</v>
      </c>
      <c r="H1472">
        <f>VLOOKUP(A1472,Classifications!$A:$G,7,FALSE)</f>
        <v>36</v>
      </c>
      <c r="I1472" t="s">
        <v>1158</v>
      </c>
      <c r="J1472" s="2">
        <v>44196.000057870369</v>
      </c>
    </row>
    <row r="1473" spans="1:10" ht="12.75" customHeight="1" x14ac:dyDescent="0.3">
      <c r="A1473">
        <v>1338579</v>
      </c>
      <c r="B1473" t="s">
        <v>813</v>
      </c>
      <c r="C1473" t="s">
        <v>814</v>
      </c>
      <c r="D1473" t="s">
        <v>3195</v>
      </c>
      <c r="E1473" s="1" t="s">
        <v>1326</v>
      </c>
      <c r="F1473">
        <f>VLOOKUP(A1473,Classifications!$A:$E,5,FALSE)</f>
        <v>1</v>
      </c>
      <c r="G1473">
        <f>VLOOKUP(A1473,Classifications!$A:$F,6,FALSE)</f>
        <v>1</v>
      </c>
      <c r="H1473">
        <f>VLOOKUP(A1473,Classifications!$A:$G,7,FALSE)</f>
        <v>36</v>
      </c>
      <c r="I1473" t="s">
        <v>1158</v>
      </c>
      <c r="J1473" s="2">
        <v>44196.0000462963</v>
      </c>
    </row>
    <row r="1474" spans="1:10" ht="12.75" customHeight="1" x14ac:dyDescent="0.3">
      <c r="A1474">
        <v>1338578</v>
      </c>
      <c r="B1474" t="s">
        <v>230</v>
      </c>
      <c r="C1474" t="s">
        <v>977</v>
      </c>
      <c r="D1474" t="s">
        <v>1156</v>
      </c>
      <c r="E1474" s="1" t="s">
        <v>1157</v>
      </c>
      <c r="F1474">
        <f>VLOOKUP(A1474,Classifications!$A:$E,5,FALSE)</f>
        <v>1</v>
      </c>
      <c r="G1474">
        <f>VLOOKUP(A1474,Classifications!$A:$F,6,FALSE)</f>
        <v>1</v>
      </c>
      <c r="H1474">
        <f>VLOOKUP(A1474,Classifications!$A:$G,7,FALSE)</f>
        <v>36</v>
      </c>
      <c r="I1474" t="s">
        <v>1158</v>
      </c>
      <c r="J1474" s="2">
        <v>44196.000034722223</v>
      </c>
    </row>
    <row r="1475" spans="1:10" ht="12.75" customHeight="1" x14ac:dyDescent="0.3">
      <c r="A1475">
        <v>1338577</v>
      </c>
      <c r="B1475" t="s">
        <v>2134</v>
      </c>
      <c r="C1475" t="s">
        <v>2135</v>
      </c>
      <c r="D1475" t="s">
        <v>3196</v>
      </c>
      <c r="E1475" s="1" t="s">
        <v>1157</v>
      </c>
      <c r="F1475">
        <f>VLOOKUP(A1475,Classifications!$A:$E,5,FALSE)</f>
        <v>1</v>
      </c>
      <c r="G1475">
        <f>VLOOKUP(A1475,Classifications!$A:$F,6,FALSE)</f>
        <v>1</v>
      </c>
      <c r="H1475">
        <f>VLOOKUP(A1475,Classifications!$A:$G,7,FALSE)</f>
        <v>36</v>
      </c>
      <c r="I1475" t="s">
        <v>1158</v>
      </c>
      <c r="J1475" s="2">
        <v>44196.000034722223</v>
      </c>
    </row>
    <row r="1476" spans="1:10" ht="12.75" customHeight="1" x14ac:dyDescent="0.3">
      <c r="A1476">
        <v>1338312</v>
      </c>
      <c r="B1476" t="s">
        <v>16</v>
      </c>
      <c r="C1476" t="s">
        <v>649</v>
      </c>
      <c r="D1476" t="s">
        <v>3197</v>
      </c>
      <c r="E1476" s="1" t="s">
        <v>3198</v>
      </c>
      <c r="F1476">
        <f>VLOOKUP(A1476,Classifications!$A:$E,5,FALSE)</f>
        <v>1</v>
      </c>
      <c r="G1476">
        <f>VLOOKUP(A1476,Classifications!$A:$F,6,FALSE)</f>
        <v>1</v>
      </c>
      <c r="H1476">
        <f>VLOOKUP(A1476,Classifications!$A:$G,7,FALSE)</f>
        <v>43</v>
      </c>
      <c r="I1476" t="s">
        <v>11</v>
      </c>
      <c r="J1476" s="2">
        <v>44195.630509259259</v>
      </c>
    </row>
    <row r="1477" spans="1:10" ht="12.75" customHeight="1" x14ac:dyDescent="0.3">
      <c r="A1477">
        <v>1338296</v>
      </c>
      <c r="B1477" t="s">
        <v>7</v>
      </c>
      <c r="C1477" t="s">
        <v>158</v>
      </c>
      <c r="D1477" t="s">
        <v>737</v>
      </c>
      <c r="E1477" s="1" t="s">
        <v>3199</v>
      </c>
      <c r="F1477">
        <f>VLOOKUP(A1477,Classifications!$A:$E,5,FALSE)</f>
        <v>1</v>
      </c>
      <c r="G1477">
        <f>VLOOKUP(A1477,Classifications!$A:$F,6,FALSE)</f>
        <v>1</v>
      </c>
      <c r="H1477">
        <f>VLOOKUP(A1477,Classifications!$A:$G,7,FALSE)</f>
        <v>41</v>
      </c>
      <c r="I1477" t="s">
        <v>11</v>
      </c>
      <c r="J1477" s="2">
        <v>44195.562638888892</v>
      </c>
    </row>
    <row r="1478" spans="1:10" ht="12.75" customHeight="1" x14ac:dyDescent="0.3">
      <c r="A1478">
        <v>1338290</v>
      </c>
      <c r="B1478" t="s">
        <v>20</v>
      </c>
      <c r="C1478" t="s">
        <v>136</v>
      </c>
      <c r="D1478" t="s">
        <v>3200</v>
      </c>
      <c r="E1478" s="1" t="s">
        <v>3201</v>
      </c>
      <c r="F1478">
        <f>VLOOKUP(A1478,Classifications!$A:$E,5,FALSE)</f>
        <v>1</v>
      </c>
      <c r="G1478">
        <f>VLOOKUP(A1478,Classifications!$A:$F,6,FALSE)</f>
        <v>1</v>
      </c>
      <c r="H1478">
        <f>VLOOKUP(A1478,Classifications!$A:$G,7,FALSE)</f>
        <v>43</v>
      </c>
      <c r="I1478" t="s">
        <v>11</v>
      </c>
      <c r="J1478" s="2">
        <v>44195.528298611112</v>
      </c>
    </row>
    <row r="1479" spans="1:10" ht="12.75" customHeight="1" x14ac:dyDescent="0.3">
      <c r="A1479">
        <v>1338275</v>
      </c>
      <c r="B1479" t="s">
        <v>431</v>
      </c>
      <c r="C1479" t="s">
        <v>432</v>
      </c>
      <c r="D1479" t="s">
        <v>3202</v>
      </c>
      <c r="E1479" s="1" t="s">
        <v>3203</v>
      </c>
      <c r="F1479">
        <f>VLOOKUP(A1479,Classifications!$A:$E,5,FALSE)</f>
        <v>1</v>
      </c>
      <c r="G1479">
        <f>VLOOKUP(A1479,Classifications!$A:$F,6,FALSE)</f>
        <v>1</v>
      </c>
      <c r="H1479">
        <f>VLOOKUP(A1479,Classifications!$A:$G,7,FALSE)</f>
        <v>43</v>
      </c>
      <c r="I1479" t="s">
        <v>11</v>
      </c>
      <c r="J1479" s="2">
        <v>44195.478981481479</v>
      </c>
    </row>
    <row r="1480" spans="1:10" ht="12.75" customHeight="1" x14ac:dyDescent="0.3">
      <c r="A1480">
        <v>1338268</v>
      </c>
      <c r="B1480" t="s">
        <v>20</v>
      </c>
      <c r="C1480" t="s">
        <v>3204</v>
      </c>
      <c r="D1480" t="s">
        <v>3205</v>
      </c>
      <c r="E1480" s="1" t="s">
        <v>3206</v>
      </c>
      <c r="F1480">
        <f>VLOOKUP(A1480,Classifications!$A:$E,5,FALSE)</f>
        <v>1</v>
      </c>
      <c r="G1480">
        <f>VLOOKUP(A1480,Classifications!$A:$F,6,FALSE)</f>
        <v>1</v>
      </c>
      <c r="H1480">
        <f>VLOOKUP(A1480,Classifications!$A:$G,7,FALSE)</f>
        <v>43</v>
      </c>
      <c r="I1480" t="s">
        <v>24</v>
      </c>
      <c r="J1480" s="2">
        <v>44195.459108796298</v>
      </c>
    </row>
    <row r="1481" spans="1:10" ht="12.75" customHeight="1" x14ac:dyDescent="0.3">
      <c r="A1481">
        <v>1338263</v>
      </c>
      <c r="B1481" t="s">
        <v>184</v>
      </c>
      <c r="C1481" t="s">
        <v>3207</v>
      </c>
      <c r="D1481" t="s">
        <v>3208</v>
      </c>
      <c r="E1481" s="1" t="s">
        <v>3209</v>
      </c>
      <c r="F1481">
        <f>VLOOKUP(A1481,Classifications!$A:$E,5,FALSE)</f>
        <v>1</v>
      </c>
      <c r="G1481">
        <f>VLOOKUP(A1481,Classifications!$A:$F,6,FALSE)</f>
        <v>1</v>
      </c>
      <c r="H1481">
        <f>VLOOKUP(A1481,Classifications!$A:$G,7,FALSE)</f>
        <v>43</v>
      </c>
      <c r="I1481" t="s">
        <v>11</v>
      </c>
      <c r="J1481" s="2">
        <v>44195.446516203701</v>
      </c>
    </row>
    <row r="1482" spans="1:10" ht="12.75" customHeight="1" x14ac:dyDescent="0.3">
      <c r="A1482">
        <v>1338249</v>
      </c>
      <c r="B1482" t="s">
        <v>184</v>
      </c>
      <c r="C1482" t="s">
        <v>3207</v>
      </c>
      <c r="D1482" t="s">
        <v>3210</v>
      </c>
      <c r="E1482" s="1" t="s">
        <v>3211</v>
      </c>
      <c r="F1482">
        <f>VLOOKUP(A1482,Classifications!$A:$E,5,FALSE)</f>
        <v>1</v>
      </c>
      <c r="G1482">
        <f>VLOOKUP(A1482,Classifications!$A:$F,6,FALSE)</f>
        <v>1</v>
      </c>
      <c r="H1482">
        <f>VLOOKUP(A1482,Classifications!$A:$G,7,FALSE)</f>
        <v>43</v>
      </c>
      <c r="I1482" t="s">
        <v>11</v>
      </c>
      <c r="J1482" s="2">
        <v>44195.443923611114</v>
      </c>
    </row>
    <row r="1483" spans="1:10" ht="12.75" customHeight="1" x14ac:dyDescent="0.3">
      <c r="A1483">
        <v>1338247</v>
      </c>
      <c r="B1483" t="s">
        <v>184</v>
      </c>
      <c r="C1483" t="s">
        <v>3207</v>
      </c>
      <c r="D1483" t="s">
        <v>3212</v>
      </c>
      <c r="E1483" s="1" t="s">
        <v>3213</v>
      </c>
      <c r="F1483">
        <f>VLOOKUP(A1483,Classifications!$A:$E,5,FALSE)</f>
        <v>1</v>
      </c>
      <c r="G1483">
        <f>VLOOKUP(A1483,Classifications!$A:$F,6,FALSE)</f>
        <v>1</v>
      </c>
      <c r="H1483">
        <f>VLOOKUP(A1483,Classifications!$A:$G,7,FALSE)</f>
        <v>43</v>
      </c>
      <c r="I1483" t="s">
        <v>11</v>
      </c>
      <c r="J1483" s="2">
        <v>44195.441076388888</v>
      </c>
    </row>
    <row r="1484" spans="1:10" ht="12.75" customHeight="1" x14ac:dyDescent="0.3">
      <c r="A1484">
        <v>1338209</v>
      </c>
      <c r="B1484" t="s">
        <v>7</v>
      </c>
      <c r="C1484" t="s">
        <v>366</v>
      </c>
      <c r="D1484" t="s">
        <v>3214</v>
      </c>
      <c r="E1484" s="1" t="s">
        <v>3215</v>
      </c>
      <c r="F1484">
        <f>VLOOKUP(A1484,Classifications!$A:$E,5,FALSE)</f>
        <v>1</v>
      </c>
      <c r="G1484">
        <f>VLOOKUP(A1484,Classifications!$A:$F,6,FALSE)</f>
        <v>1</v>
      </c>
      <c r="H1484">
        <f>VLOOKUP(A1484,Classifications!$A:$G,7,FALSE)</f>
        <v>41</v>
      </c>
      <c r="I1484" t="s">
        <v>24</v>
      </c>
      <c r="J1484" s="2">
        <v>44195.414212962962</v>
      </c>
    </row>
    <row r="1485" spans="1:10" ht="12.75" customHeight="1" x14ac:dyDescent="0.3">
      <c r="A1485">
        <v>1338186</v>
      </c>
      <c r="B1485" t="s">
        <v>545</v>
      </c>
      <c r="C1485" t="s">
        <v>3216</v>
      </c>
      <c r="D1485" t="s">
        <v>3217</v>
      </c>
      <c r="E1485" s="1" t="s">
        <v>3218</v>
      </c>
      <c r="F1485">
        <f>VLOOKUP(A1485,Classifications!$A:$E,5,FALSE)</f>
        <v>1</v>
      </c>
      <c r="G1485">
        <f>VLOOKUP(A1485,Classifications!$A:$F,6,FALSE)</f>
        <v>1</v>
      </c>
      <c r="H1485">
        <f>VLOOKUP(A1485,Classifications!$A:$G,7,FALSE)</f>
        <v>43</v>
      </c>
      <c r="I1485" t="s">
        <v>24</v>
      </c>
      <c r="J1485" s="2">
        <v>44195.396817129629</v>
      </c>
    </row>
    <row r="1486" spans="1:10" ht="12.75" customHeight="1" x14ac:dyDescent="0.3">
      <c r="A1486">
        <v>1338185</v>
      </c>
      <c r="B1486" t="s">
        <v>53</v>
      </c>
      <c r="C1486" t="s">
        <v>158</v>
      </c>
      <c r="D1486" t="s">
        <v>3219</v>
      </c>
      <c r="E1486" s="1" t="s">
        <v>3220</v>
      </c>
      <c r="F1486">
        <f>VLOOKUP(A1486,Classifications!$A:$E,5,FALSE)</f>
        <v>1</v>
      </c>
      <c r="G1486">
        <f>VLOOKUP(A1486,Classifications!$A:$F,6,FALSE)</f>
        <v>1</v>
      </c>
      <c r="H1486">
        <f>VLOOKUP(A1486,Classifications!$A:$G,7,FALSE)</f>
        <v>43</v>
      </c>
      <c r="I1486" t="s">
        <v>11</v>
      </c>
      <c r="J1486" s="2">
        <v>44195.395740740743</v>
      </c>
    </row>
    <row r="1487" spans="1:10" ht="12.75" customHeight="1" x14ac:dyDescent="0.3">
      <c r="A1487">
        <v>1338183</v>
      </c>
      <c r="B1487" t="s">
        <v>36</v>
      </c>
      <c r="C1487" t="s">
        <v>762</v>
      </c>
      <c r="D1487" t="s">
        <v>3221</v>
      </c>
      <c r="E1487" s="1" t="s">
        <v>3222</v>
      </c>
      <c r="F1487">
        <f>VLOOKUP(A1487,Classifications!$A:$E,5,FALSE)</f>
        <v>1</v>
      </c>
      <c r="G1487">
        <f>VLOOKUP(A1487,Classifications!$A:$F,6,FALSE)</f>
        <v>2</v>
      </c>
      <c r="H1487">
        <f>VLOOKUP(A1487,Classifications!$A:$G,7,FALSE)</f>
        <v>41</v>
      </c>
      <c r="I1487" t="s">
        <v>24</v>
      </c>
      <c r="J1487" s="2">
        <v>44195.392696759256</v>
      </c>
    </row>
    <row r="1488" spans="1:10" ht="12.75" customHeight="1" x14ac:dyDescent="0.3">
      <c r="A1488">
        <v>1338182</v>
      </c>
      <c r="B1488" t="s">
        <v>20</v>
      </c>
      <c r="C1488" t="s">
        <v>2177</v>
      </c>
      <c r="D1488" t="s">
        <v>3223</v>
      </c>
      <c r="E1488" s="1" t="s">
        <v>3224</v>
      </c>
      <c r="F1488">
        <f>VLOOKUP(A1488,Classifications!$A:$E,5,FALSE)</f>
        <v>1</v>
      </c>
      <c r="G1488">
        <f>VLOOKUP(A1488,Classifications!$A:$F,6,FALSE)</f>
        <v>1</v>
      </c>
      <c r="H1488">
        <f>VLOOKUP(A1488,Classifications!$A:$G,7,FALSE)</f>
        <v>43</v>
      </c>
      <c r="I1488" t="s">
        <v>11</v>
      </c>
      <c r="J1488" s="2">
        <v>44195.388032407405</v>
      </c>
    </row>
    <row r="1489" spans="1:10" ht="12.75" customHeight="1" x14ac:dyDescent="0.3">
      <c r="A1489">
        <v>1338181</v>
      </c>
      <c r="B1489" t="s">
        <v>2221</v>
      </c>
      <c r="C1489" t="s">
        <v>2222</v>
      </c>
      <c r="D1489" t="s">
        <v>3225</v>
      </c>
      <c r="E1489" s="1" t="s">
        <v>3226</v>
      </c>
      <c r="F1489">
        <f>VLOOKUP(A1489,Classifications!$A:$E,5,FALSE)</f>
        <v>2</v>
      </c>
      <c r="G1489">
        <f>VLOOKUP(A1489,Classifications!$A:$F,6,FALSE)</f>
        <v>2</v>
      </c>
      <c r="H1489">
        <f>VLOOKUP(A1489,Classifications!$A:$G,7,FALSE)</f>
        <v>41</v>
      </c>
      <c r="I1489" t="s">
        <v>24</v>
      </c>
      <c r="J1489" s="2">
        <v>44195.387858796297</v>
      </c>
    </row>
    <row r="1490" spans="1:10" ht="12.75" customHeight="1" x14ac:dyDescent="0.3">
      <c r="A1490">
        <v>1338180</v>
      </c>
      <c r="B1490" t="s">
        <v>177</v>
      </c>
      <c r="C1490" t="s">
        <v>178</v>
      </c>
      <c r="D1490" t="s">
        <v>3227</v>
      </c>
      <c r="E1490" s="1" t="s">
        <v>3228</v>
      </c>
      <c r="F1490">
        <f>VLOOKUP(A1490,Classifications!$A:$E,5,FALSE)</f>
        <v>1</v>
      </c>
      <c r="G1490">
        <f>VLOOKUP(A1490,Classifications!$A:$F,6,FALSE)</f>
        <v>1</v>
      </c>
      <c r="H1490">
        <f>VLOOKUP(A1490,Classifications!$A:$G,7,FALSE)</f>
        <v>43</v>
      </c>
      <c r="I1490" t="s">
        <v>11</v>
      </c>
      <c r="J1490" s="2">
        <v>44195.38554398148</v>
      </c>
    </row>
    <row r="1491" spans="1:10" ht="12.75" customHeight="1" x14ac:dyDescent="0.3">
      <c r="A1491">
        <v>1337987</v>
      </c>
      <c r="B1491" t="s">
        <v>3229</v>
      </c>
      <c r="C1491" t="s">
        <v>3230</v>
      </c>
      <c r="D1491" t="s">
        <v>3231</v>
      </c>
      <c r="E1491" s="1" t="s">
        <v>1326</v>
      </c>
      <c r="F1491">
        <f>VLOOKUP(A1491,Classifications!$A:$E,5,FALSE)</f>
        <v>1</v>
      </c>
      <c r="G1491">
        <f>VLOOKUP(A1491,Classifications!$A:$F,6,FALSE)</f>
        <v>1</v>
      </c>
      <c r="H1491">
        <f>VLOOKUP(A1491,Classifications!$A:$G,7,FALSE)</f>
        <v>36</v>
      </c>
      <c r="I1491" t="s">
        <v>1158</v>
      </c>
      <c r="J1491" s="2">
        <v>44195.000034722223</v>
      </c>
    </row>
    <row r="1492" spans="1:10" ht="12.75" customHeight="1" x14ac:dyDescent="0.3">
      <c r="A1492">
        <v>1337685</v>
      </c>
      <c r="B1492" t="s">
        <v>860</v>
      </c>
      <c r="C1492" t="s">
        <v>861</v>
      </c>
      <c r="D1492" t="s">
        <v>3232</v>
      </c>
      <c r="E1492" s="1" t="s">
        <v>3233</v>
      </c>
      <c r="F1492">
        <f>VLOOKUP(A1492,Classifications!$A:$E,5,FALSE)</f>
        <v>2</v>
      </c>
      <c r="G1492">
        <f>VLOOKUP(A1492,Classifications!$A:$F,6,FALSE)</f>
        <v>2</v>
      </c>
      <c r="H1492">
        <f>VLOOKUP(A1492,Classifications!$A:$G,7,FALSE)</f>
        <v>43</v>
      </c>
      <c r="I1492" t="s">
        <v>11</v>
      </c>
      <c r="J1492" s="2">
        <v>44194.649745370371</v>
      </c>
    </row>
    <row r="1493" spans="1:10" ht="12.75" customHeight="1" x14ac:dyDescent="0.3">
      <c r="A1493">
        <v>1337683</v>
      </c>
      <c r="B1493" t="s">
        <v>45</v>
      </c>
      <c r="C1493" t="s">
        <v>483</v>
      </c>
      <c r="D1493" t="s">
        <v>3234</v>
      </c>
      <c r="E1493" s="1" t="s">
        <v>3235</v>
      </c>
      <c r="F1493">
        <f>VLOOKUP(A1493,Classifications!$A:$E,5,FALSE)</f>
        <v>1</v>
      </c>
      <c r="G1493">
        <f>VLOOKUP(A1493,Classifications!$A:$F,6,FALSE)</f>
        <v>1</v>
      </c>
      <c r="H1493">
        <f>VLOOKUP(A1493,Classifications!$A:$G,7,FALSE)</f>
        <v>41</v>
      </c>
      <c r="I1493" t="s">
        <v>11</v>
      </c>
      <c r="J1493" s="2">
        <v>44194.638969907406</v>
      </c>
    </row>
    <row r="1494" spans="1:10" ht="12.75" customHeight="1" x14ac:dyDescent="0.3">
      <c r="A1494">
        <v>1337662</v>
      </c>
      <c r="B1494" t="s">
        <v>16</v>
      </c>
      <c r="C1494" t="s">
        <v>3236</v>
      </c>
      <c r="D1494" t="s">
        <v>3237</v>
      </c>
      <c r="E1494" s="1" t="s">
        <v>3238</v>
      </c>
      <c r="F1494">
        <f>VLOOKUP(A1494,Classifications!$A:$E,5,FALSE)</f>
        <v>1</v>
      </c>
      <c r="G1494">
        <f>VLOOKUP(A1494,Classifications!$A:$F,6,FALSE)</f>
        <v>1</v>
      </c>
      <c r="H1494">
        <f>VLOOKUP(A1494,Classifications!$A:$G,7,FALSE)</f>
        <v>43</v>
      </c>
      <c r="I1494" t="s">
        <v>11</v>
      </c>
      <c r="J1494" s="2">
        <v>44194.537245370368</v>
      </c>
    </row>
    <row r="1495" spans="1:10" ht="12.75" customHeight="1" x14ac:dyDescent="0.3">
      <c r="A1495">
        <v>1337657</v>
      </c>
      <c r="B1495" t="s">
        <v>7</v>
      </c>
      <c r="C1495" t="s">
        <v>158</v>
      </c>
      <c r="D1495" t="s">
        <v>737</v>
      </c>
      <c r="E1495" s="1" t="s">
        <v>3239</v>
      </c>
      <c r="F1495">
        <f>VLOOKUP(A1495,Classifications!$A:$E,5,FALSE)</f>
        <v>1</v>
      </c>
      <c r="G1495">
        <f>VLOOKUP(A1495,Classifications!$A:$F,6,FALSE)</f>
        <v>1</v>
      </c>
      <c r="H1495">
        <f>VLOOKUP(A1495,Classifications!$A:$G,7,FALSE)</f>
        <v>41</v>
      </c>
      <c r="I1495" t="s">
        <v>11</v>
      </c>
      <c r="J1495" s="2">
        <v>44194.502291666664</v>
      </c>
    </row>
    <row r="1496" spans="1:10" ht="12.75" customHeight="1" x14ac:dyDescent="0.3">
      <c r="A1496">
        <v>1337653</v>
      </c>
      <c r="B1496" t="s">
        <v>36</v>
      </c>
      <c r="C1496" t="s">
        <v>2622</v>
      </c>
      <c r="D1496" t="s">
        <v>3240</v>
      </c>
      <c r="E1496" s="1" t="s">
        <v>3241</v>
      </c>
      <c r="F1496">
        <f>VLOOKUP(A1496,Classifications!$A:$E,5,FALSE)</f>
        <v>1</v>
      </c>
      <c r="G1496">
        <f>VLOOKUP(A1496,Classifications!$A:$F,6,FALSE)</f>
        <v>2</v>
      </c>
      <c r="H1496">
        <f>VLOOKUP(A1496,Classifications!$A:$G,7,FALSE)</f>
        <v>41</v>
      </c>
      <c r="I1496" t="s">
        <v>24</v>
      </c>
      <c r="J1496" s="2">
        <v>44194.491620370369</v>
      </c>
    </row>
    <row r="1497" spans="1:10" ht="12.75" customHeight="1" x14ac:dyDescent="0.3">
      <c r="A1497">
        <v>1337652</v>
      </c>
      <c r="B1497" t="s">
        <v>1052</v>
      </c>
      <c r="C1497" t="s">
        <v>1053</v>
      </c>
      <c r="D1497" t="s">
        <v>3242</v>
      </c>
      <c r="E1497" s="1" t="s">
        <v>3243</v>
      </c>
      <c r="F1497">
        <f>VLOOKUP(A1497,Classifications!$A:$E,5,FALSE)</f>
        <v>1</v>
      </c>
      <c r="G1497">
        <f>VLOOKUP(A1497,Classifications!$A:$F,6,FALSE)</f>
        <v>1</v>
      </c>
      <c r="H1497">
        <f>VLOOKUP(A1497,Classifications!$A:$G,7,FALSE)</f>
        <v>43</v>
      </c>
      <c r="I1497" t="s">
        <v>11</v>
      </c>
      <c r="J1497" s="2">
        <v>44194.482129629629</v>
      </c>
    </row>
    <row r="1498" spans="1:10" ht="12.75" customHeight="1" x14ac:dyDescent="0.3">
      <c r="A1498">
        <v>1337648</v>
      </c>
      <c r="B1498" t="s">
        <v>177</v>
      </c>
      <c r="C1498" t="s">
        <v>178</v>
      </c>
      <c r="D1498" t="s">
        <v>3244</v>
      </c>
      <c r="E1498" s="1" t="s">
        <v>3245</v>
      </c>
      <c r="F1498">
        <f>VLOOKUP(A1498,Classifications!$A:$E,5,FALSE)</f>
        <v>1</v>
      </c>
      <c r="G1498">
        <f>VLOOKUP(A1498,Classifications!$A:$F,6,FALSE)</f>
        <v>1</v>
      </c>
      <c r="H1498">
        <f>VLOOKUP(A1498,Classifications!$A:$G,7,FALSE)</f>
        <v>36</v>
      </c>
      <c r="I1498" t="s">
        <v>24</v>
      </c>
      <c r="J1498" s="2">
        <v>44194.474097222221</v>
      </c>
    </row>
    <row r="1499" spans="1:10" ht="12.75" customHeight="1" x14ac:dyDescent="0.3">
      <c r="A1499">
        <v>1337410</v>
      </c>
      <c r="B1499" t="s">
        <v>7</v>
      </c>
      <c r="C1499" t="s">
        <v>158</v>
      </c>
      <c r="D1499" t="s">
        <v>737</v>
      </c>
      <c r="E1499" s="1" t="s">
        <v>3246</v>
      </c>
      <c r="F1499">
        <f>VLOOKUP(A1499,Classifications!$A:$E,5,FALSE)</f>
        <v>1</v>
      </c>
      <c r="G1499">
        <f>VLOOKUP(A1499,Classifications!$A:$F,6,FALSE)</f>
        <v>1</v>
      </c>
      <c r="H1499">
        <f>VLOOKUP(A1499,Classifications!$A:$G,7,FALSE)</f>
        <v>41</v>
      </c>
      <c r="I1499" t="s">
        <v>11</v>
      </c>
      <c r="J1499" s="2">
        <v>44194.144594907404</v>
      </c>
    </row>
    <row r="1500" spans="1:10" ht="12.75" customHeight="1" x14ac:dyDescent="0.3">
      <c r="A1500">
        <v>1337398</v>
      </c>
      <c r="B1500" t="s">
        <v>7</v>
      </c>
      <c r="C1500" t="s">
        <v>158</v>
      </c>
      <c r="D1500" t="s">
        <v>737</v>
      </c>
      <c r="E1500" s="1" t="s">
        <v>3247</v>
      </c>
      <c r="F1500">
        <f>VLOOKUP(A1500,Classifications!$A:$E,5,FALSE)</f>
        <v>1</v>
      </c>
      <c r="G1500">
        <f>VLOOKUP(A1500,Classifications!$A:$F,6,FALSE)</f>
        <v>1</v>
      </c>
      <c r="H1500">
        <f>VLOOKUP(A1500,Classifications!$A:$G,7,FALSE)</f>
        <v>41</v>
      </c>
      <c r="I1500" t="s">
        <v>11</v>
      </c>
      <c r="J1500" s="2">
        <v>44194.087719907409</v>
      </c>
    </row>
    <row r="1501" spans="1:10" ht="12.75" customHeight="1" x14ac:dyDescent="0.3">
      <c r="A1501">
        <v>1337343</v>
      </c>
      <c r="B1501" t="s">
        <v>860</v>
      </c>
      <c r="C1501" t="s">
        <v>861</v>
      </c>
      <c r="D1501" t="s">
        <v>1156</v>
      </c>
      <c r="E1501" s="1" t="s">
        <v>1157</v>
      </c>
      <c r="F1501">
        <f>VLOOKUP(A1501,Classifications!$A:$E,5,FALSE)</f>
        <v>1</v>
      </c>
      <c r="G1501">
        <f>VLOOKUP(A1501,Classifications!$A:$F,6,FALSE)</f>
        <v>1</v>
      </c>
      <c r="H1501">
        <f>VLOOKUP(A1501,Classifications!$A:$G,7,FALSE)</f>
        <v>36</v>
      </c>
      <c r="I1501" t="s">
        <v>1158</v>
      </c>
      <c r="J1501" s="2">
        <v>44194.000034722223</v>
      </c>
    </row>
    <row r="1502" spans="1:10" ht="12.75" customHeight="1" x14ac:dyDescent="0.3">
      <c r="A1502">
        <v>1337342</v>
      </c>
      <c r="B1502" t="s">
        <v>3248</v>
      </c>
      <c r="C1502" t="s">
        <v>3249</v>
      </c>
      <c r="D1502" t="s">
        <v>1156</v>
      </c>
      <c r="E1502" s="1" t="s">
        <v>1157</v>
      </c>
      <c r="F1502">
        <f>VLOOKUP(A1502,Classifications!$A:$E,5,FALSE)</f>
        <v>1</v>
      </c>
      <c r="G1502">
        <f>VLOOKUP(A1502,Classifications!$A:$F,6,FALSE)</f>
        <v>1</v>
      </c>
      <c r="H1502">
        <f>VLOOKUP(A1502,Classifications!$A:$G,7,FALSE)</f>
        <v>36</v>
      </c>
      <c r="I1502" t="s">
        <v>1158</v>
      </c>
      <c r="J1502" s="2">
        <v>44194.000034722223</v>
      </c>
    </row>
    <row r="1503" spans="1:10" ht="12.75" customHeight="1" x14ac:dyDescent="0.3">
      <c r="A1503">
        <v>1337341</v>
      </c>
      <c r="B1503" t="s">
        <v>545</v>
      </c>
      <c r="C1503" t="s">
        <v>1058</v>
      </c>
      <c r="D1503" t="s">
        <v>1429</v>
      </c>
      <c r="E1503" s="1" t="s">
        <v>1160</v>
      </c>
      <c r="F1503">
        <f>VLOOKUP(A1503,Classifications!$A:$E,5,FALSE)</f>
        <v>1</v>
      </c>
      <c r="G1503">
        <f>VLOOKUP(A1503,Classifications!$A:$F,6,FALSE)</f>
        <v>1</v>
      </c>
      <c r="H1503">
        <f>VLOOKUP(A1503,Classifications!$A:$G,7,FALSE)</f>
        <v>36</v>
      </c>
      <c r="I1503" t="s">
        <v>1158</v>
      </c>
      <c r="J1503" s="2">
        <v>44194.000023148146</v>
      </c>
    </row>
    <row r="1504" spans="1:10" ht="12.75" customHeight="1" x14ac:dyDescent="0.3">
      <c r="A1504">
        <v>1337340</v>
      </c>
      <c r="B1504" t="s">
        <v>545</v>
      </c>
      <c r="C1504" t="s">
        <v>1058</v>
      </c>
      <c r="D1504" t="s">
        <v>1429</v>
      </c>
      <c r="E1504" s="1" t="s">
        <v>1160</v>
      </c>
      <c r="F1504">
        <f>VLOOKUP(A1504,Classifications!$A:$E,5,FALSE)</f>
        <v>1</v>
      </c>
      <c r="G1504">
        <f>VLOOKUP(A1504,Classifications!$A:$F,6,FALSE)</f>
        <v>1</v>
      </c>
      <c r="H1504">
        <f>VLOOKUP(A1504,Classifications!$A:$G,7,FALSE)</f>
        <v>36</v>
      </c>
      <c r="I1504" t="s">
        <v>1158</v>
      </c>
      <c r="J1504" s="2">
        <v>44194.000023148146</v>
      </c>
    </row>
    <row r="1505" spans="1:10" ht="12.75" customHeight="1" x14ac:dyDescent="0.3">
      <c r="A1505">
        <v>1337035</v>
      </c>
      <c r="B1505" t="s">
        <v>191</v>
      </c>
      <c r="C1505" t="s">
        <v>3250</v>
      </c>
      <c r="D1505" t="s">
        <v>3251</v>
      </c>
      <c r="E1505" s="1" t="s">
        <v>3252</v>
      </c>
      <c r="F1505">
        <f>VLOOKUP(A1505,Classifications!$A:$E,5,FALSE)</f>
        <v>1</v>
      </c>
      <c r="G1505">
        <f>VLOOKUP(A1505,Classifications!$A:$F,6,FALSE)</f>
        <v>1</v>
      </c>
      <c r="H1505">
        <f>VLOOKUP(A1505,Classifications!$A:$G,7,FALSE)</f>
        <v>41</v>
      </c>
      <c r="I1505" t="s">
        <v>11</v>
      </c>
      <c r="J1505" s="2">
        <v>44193.666273148148</v>
      </c>
    </row>
    <row r="1506" spans="1:10" ht="12.75" customHeight="1" x14ac:dyDescent="0.3">
      <c r="A1506">
        <v>1337026</v>
      </c>
      <c r="B1506" t="s">
        <v>431</v>
      </c>
      <c r="C1506" t="s">
        <v>3253</v>
      </c>
      <c r="D1506" t="s">
        <v>3254</v>
      </c>
      <c r="E1506" s="1" t="s">
        <v>3255</v>
      </c>
      <c r="F1506">
        <f>VLOOKUP(A1506,Classifications!$A:$E,5,FALSE)</f>
        <v>1</v>
      </c>
      <c r="G1506">
        <f>VLOOKUP(A1506,Classifications!$A:$F,6,FALSE)</f>
        <v>1</v>
      </c>
      <c r="H1506">
        <f>VLOOKUP(A1506,Classifications!$A:$G,7,FALSE)</f>
        <v>41</v>
      </c>
      <c r="I1506" t="s">
        <v>11</v>
      </c>
      <c r="J1506" s="2">
        <v>44193.650289351855</v>
      </c>
    </row>
    <row r="1507" spans="1:10" ht="12.75" customHeight="1" x14ac:dyDescent="0.3">
      <c r="A1507">
        <v>1337022</v>
      </c>
      <c r="B1507" t="s">
        <v>87</v>
      </c>
      <c r="C1507" t="s">
        <v>1153</v>
      </c>
      <c r="D1507" t="s">
        <v>3256</v>
      </c>
      <c r="E1507" s="1" t="s">
        <v>3257</v>
      </c>
      <c r="F1507">
        <f>VLOOKUP(A1507,Classifications!$A:$E,5,FALSE)</f>
        <v>1</v>
      </c>
      <c r="G1507">
        <f>VLOOKUP(A1507,Classifications!$A:$F,6,FALSE)</f>
        <v>2</v>
      </c>
      <c r="H1507">
        <f>VLOOKUP(A1507,Classifications!$A:$G,7,FALSE)</f>
        <v>41</v>
      </c>
      <c r="I1507" t="s">
        <v>11</v>
      </c>
      <c r="J1507" s="2">
        <v>44193.649548611109</v>
      </c>
    </row>
    <row r="1508" spans="1:10" ht="12.75" customHeight="1" x14ac:dyDescent="0.3">
      <c r="A1508">
        <v>1337017</v>
      </c>
      <c r="B1508" t="s">
        <v>2600</v>
      </c>
      <c r="C1508" t="s">
        <v>2601</v>
      </c>
      <c r="D1508" t="s">
        <v>3258</v>
      </c>
      <c r="E1508" s="1" t="s">
        <v>3259</v>
      </c>
      <c r="F1508">
        <f>VLOOKUP(A1508,Classifications!$A:$E,5,FALSE)</f>
        <v>1</v>
      </c>
      <c r="G1508">
        <f>VLOOKUP(A1508,Classifications!$A:$F,6,FALSE)</f>
        <v>1</v>
      </c>
      <c r="H1508">
        <f>VLOOKUP(A1508,Classifications!$A:$G,7,FALSE)</f>
        <v>43</v>
      </c>
      <c r="I1508" t="s">
        <v>11</v>
      </c>
      <c r="J1508" s="2">
        <v>44193.635081018518</v>
      </c>
    </row>
    <row r="1509" spans="1:10" ht="12.75" customHeight="1" x14ac:dyDescent="0.3">
      <c r="A1509">
        <v>1337004</v>
      </c>
      <c r="B1509" t="s">
        <v>7</v>
      </c>
      <c r="C1509" t="s">
        <v>158</v>
      </c>
      <c r="D1509" t="s">
        <v>737</v>
      </c>
      <c r="E1509" s="1" t="s">
        <v>3260</v>
      </c>
      <c r="F1509">
        <f>VLOOKUP(A1509,Classifications!$A:$E,5,FALSE)</f>
        <v>1</v>
      </c>
      <c r="G1509">
        <f>VLOOKUP(A1509,Classifications!$A:$F,6,FALSE)</f>
        <v>1</v>
      </c>
      <c r="H1509">
        <f>VLOOKUP(A1509,Classifications!$A:$G,7,FALSE)</f>
        <v>41</v>
      </c>
      <c r="I1509" t="s">
        <v>11</v>
      </c>
      <c r="J1509" s="2">
        <v>44193.567511574074</v>
      </c>
    </row>
    <row r="1510" spans="1:10" ht="12.75" customHeight="1" x14ac:dyDescent="0.3">
      <c r="A1510">
        <v>1337002</v>
      </c>
      <c r="B1510" t="s">
        <v>7</v>
      </c>
      <c r="C1510" t="s">
        <v>158</v>
      </c>
      <c r="D1510" t="s">
        <v>737</v>
      </c>
      <c r="E1510" s="1" t="s">
        <v>3261</v>
      </c>
      <c r="F1510">
        <f>VLOOKUP(A1510,Classifications!$A:$E,5,FALSE)</f>
        <v>1</v>
      </c>
      <c r="G1510">
        <f>VLOOKUP(A1510,Classifications!$A:$F,6,FALSE)</f>
        <v>1</v>
      </c>
      <c r="H1510">
        <f>VLOOKUP(A1510,Classifications!$A:$G,7,FALSE)</f>
        <v>41</v>
      </c>
      <c r="I1510" t="s">
        <v>11</v>
      </c>
      <c r="J1510" s="2">
        <v>44193.564791666664</v>
      </c>
    </row>
    <row r="1511" spans="1:10" ht="12.75" customHeight="1" x14ac:dyDescent="0.3">
      <c r="A1511">
        <v>1336992</v>
      </c>
      <c r="B1511" t="s">
        <v>53</v>
      </c>
      <c r="C1511" t="s">
        <v>2677</v>
      </c>
      <c r="D1511" t="s">
        <v>3262</v>
      </c>
      <c r="E1511" s="1" t="s">
        <v>3263</v>
      </c>
      <c r="F1511">
        <f>VLOOKUP(A1511,Classifications!$A:$E,5,FALSE)</f>
        <v>1</v>
      </c>
      <c r="G1511">
        <f>VLOOKUP(A1511,Classifications!$A:$F,6,FALSE)</f>
        <v>1</v>
      </c>
      <c r="H1511">
        <f>VLOOKUP(A1511,Classifications!$A:$G,7,FALSE)</f>
        <v>43</v>
      </c>
      <c r="I1511" t="s">
        <v>24</v>
      </c>
      <c r="J1511" s="2">
        <v>44193.523981481485</v>
      </c>
    </row>
    <row r="1512" spans="1:10" ht="12.75" customHeight="1" x14ac:dyDescent="0.3">
      <c r="A1512">
        <v>1336991</v>
      </c>
      <c r="B1512" t="s">
        <v>431</v>
      </c>
      <c r="C1512" t="s">
        <v>432</v>
      </c>
      <c r="D1512" t="s">
        <v>3264</v>
      </c>
      <c r="E1512" s="1" t="s">
        <v>3265</v>
      </c>
      <c r="F1512">
        <f>VLOOKUP(A1512,Classifications!$A:$E,5,FALSE)</f>
        <v>1</v>
      </c>
      <c r="G1512">
        <f>VLOOKUP(A1512,Classifications!$A:$F,6,FALSE)</f>
        <v>1</v>
      </c>
      <c r="H1512">
        <f>VLOOKUP(A1512,Classifications!$A:$G,7,FALSE)</f>
        <v>41</v>
      </c>
      <c r="I1512" t="s">
        <v>11</v>
      </c>
      <c r="J1512" s="2">
        <v>44193.516145833331</v>
      </c>
    </row>
    <row r="1513" spans="1:10" ht="12.75" customHeight="1" x14ac:dyDescent="0.3">
      <c r="A1513">
        <v>1336953</v>
      </c>
      <c r="B1513" t="s">
        <v>7</v>
      </c>
      <c r="C1513" t="s">
        <v>158</v>
      </c>
      <c r="D1513" t="s">
        <v>737</v>
      </c>
      <c r="E1513" s="1" t="s">
        <v>3266</v>
      </c>
      <c r="F1513">
        <f>VLOOKUP(A1513,Classifications!$A:$E,5,FALSE)</f>
        <v>1</v>
      </c>
      <c r="G1513">
        <f>VLOOKUP(A1513,Classifications!$A:$F,6,FALSE)</f>
        <v>1</v>
      </c>
      <c r="H1513">
        <f>VLOOKUP(A1513,Classifications!$A:$G,7,FALSE)</f>
        <v>41</v>
      </c>
      <c r="I1513" t="s">
        <v>11</v>
      </c>
      <c r="J1513" s="2">
        <v>44193.447442129633</v>
      </c>
    </row>
    <row r="1514" spans="1:10" ht="12.75" customHeight="1" x14ac:dyDescent="0.3">
      <c r="A1514">
        <v>1336910</v>
      </c>
      <c r="B1514" t="s">
        <v>157</v>
      </c>
      <c r="C1514" t="s">
        <v>3267</v>
      </c>
      <c r="D1514" t="s">
        <v>3268</v>
      </c>
      <c r="E1514" t="s">
        <v>3269</v>
      </c>
      <c r="F1514">
        <f>VLOOKUP(A1514,Classifications!$A:$E,5,FALSE)</f>
        <v>1</v>
      </c>
      <c r="G1514">
        <f>VLOOKUP(A1514,Classifications!$A:$F,6,FALSE)</f>
        <v>2</v>
      </c>
      <c r="H1514">
        <f>VLOOKUP(A1514,Classifications!$A:$G,7,FALSE)</f>
        <v>41</v>
      </c>
      <c r="I1514" t="s">
        <v>24</v>
      </c>
      <c r="J1514" s="2">
        <v>44193.420185185183</v>
      </c>
    </row>
    <row r="1515" spans="1:10" ht="12.75" customHeight="1" x14ac:dyDescent="0.3">
      <c r="A1515">
        <v>1336715</v>
      </c>
      <c r="B1515" t="s">
        <v>3270</v>
      </c>
      <c r="C1515" t="s">
        <v>3271</v>
      </c>
      <c r="D1515" t="s">
        <v>3272</v>
      </c>
      <c r="E1515" s="1" t="s">
        <v>3273</v>
      </c>
      <c r="F1515">
        <f>VLOOKUP(A1515,Classifications!$A:$E,5,FALSE)</f>
        <v>1</v>
      </c>
      <c r="G1515">
        <f>VLOOKUP(A1515,Classifications!$A:$F,6,FALSE)</f>
        <v>1</v>
      </c>
      <c r="H1515">
        <f>VLOOKUP(A1515,Classifications!$A:$G,7,FALSE)</f>
        <v>41</v>
      </c>
      <c r="I1515" t="s">
        <v>11</v>
      </c>
      <c r="J1515" s="2">
        <v>44193.309050925927</v>
      </c>
    </row>
    <row r="1516" spans="1:10" ht="12.75" customHeight="1" x14ac:dyDescent="0.3">
      <c r="A1516">
        <v>1336714</v>
      </c>
      <c r="B1516" t="s">
        <v>3270</v>
      </c>
      <c r="C1516" t="s">
        <v>3271</v>
      </c>
      <c r="D1516" t="s">
        <v>3274</v>
      </c>
      <c r="E1516" s="1" t="s">
        <v>3275</v>
      </c>
      <c r="F1516">
        <f>VLOOKUP(A1516,Classifications!$A:$E,5,FALSE)</f>
        <v>3</v>
      </c>
      <c r="G1516">
        <f>VLOOKUP(A1516,Classifications!$A:$F,6,FALSE)</f>
        <v>3</v>
      </c>
      <c r="H1516">
        <f>VLOOKUP(A1516,Classifications!$A:$G,7,FALSE)</f>
        <v>41</v>
      </c>
      <c r="I1516" t="s">
        <v>11</v>
      </c>
      <c r="J1516" s="2">
        <v>44193.308912037035</v>
      </c>
    </row>
    <row r="1517" spans="1:10" ht="12.75" customHeight="1" x14ac:dyDescent="0.3">
      <c r="A1517">
        <v>1336580</v>
      </c>
      <c r="B1517" t="s">
        <v>36</v>
      </c>
      <c r="C1517" t="s">
        <v>1342</v>
      </c>
      <c r="D1517" t="s">
        <v>1156</v>
      </c>
      <c r="E1517" s="1" t="s">
        <v>1157</v>
      </c>
      <c r="F1517">
        <f>VLOOKUP(A1517,Classifications!$A:$E,5,FALSE)</f>
        <v>1</v>
      </c>
      <c r="G1517">
        <f>VLOOKUP(A1517,Classifications!$A:$F,6,FALSE)</f>
        <v>1</v>
      </c>
      <c r="H1517">
        <f>VLOOKUP(A1517,Classifications!$A:$G,7,FALSE)</f>
        <v>36</v>
      </c>
      <c r="I1517" t="s">
        <v>1158</v>
      </c>
      <c r="J1517" s="2">
        <v>44193.0000462963</v>
      </c>
    </row>
    <row r="1518" spans="1:10" ht="12.75" customHeight="1" x14ac:dyDescent="0.3">
      <c r="A1518">
        <v>1336579</v>
      </c>
      <c r="B1518" t="s">
        <v>36</v>
      </c>
      <c r="C1518" t="s">
        <v>1342</v>
      </c>
      <c r="D1518" t="s">
        <v>1156</v>
      </c>
      <c r="E1518" s="1" t="s">
        <v>1157</v>
      </c>
      <c r="F1518">
        <f>VLOOKUP(A1518,Classifications!$A:$E,5,FALSE)</f>
        <v>1</v>
      </c>
      <c r="G1518">
        <f>VLOOKUP(A1518,Classifications!$A:$F,6,FALSE)</f>
        <v>1</v>
      </c>
      <c r="H1518">
        <f>VLOOKUP(A1518,Classifications!$A:$G,7,FALSE)</f>
        <v>36</v>
      </c>
      <c r="I1518" t="s">
        <v>1158</v>
      </c>
      <c r="J1518" s="2">
        <v>44193.000034722223</v>
      </c>
    </row>
    <row r="1519" spans="1:10" ht="12.75" customHeight="1" x14ac:dyDescent="0.3">
      <c r="A1519">
        <v>1336578</v>
      </c>
      <c r="B1519" t="s">
        <v>545</v>
      </c>
      <c r="C1519" t="s">
        <v>1058</v>
      </c>
      <c r="D1519" t="s">
        <v>1156</v>
      </c>
      <c r="E1519" s="1" t="s">
        <v>1157</v>
      </c>
      <c r="F1519">
        <f>VLOOKUP(A1519,Classifications!$A:$E,5,FALSE)</f>
        <v>1</v>
      </c>
      <c r="G1519">
        <f>VLOOKUP(A1519,Classifications!$A:$F,6,FALSE)</f>
        <v>1</v>
      </c>
      <c r="H1519">
        <f>VLOOKUP(A1519,Classifications!$A:$G,7,FALSE)</f>
        <v>36</v>
      </c>
      <c r="I1519" t="s">
        <v>1158</v>
      </c>
      <c r="J1519" s="2">
        <v>44193.000034722223</v>
      </c>
    </row>
    <row r="1520" spans="1:10" ht="12.75" customHeight="1" x14ac:dyDescent="0.3">
      <c r="A1520">
        <v>1336577</v>
      </c>
      <c r="B1520" t="s">
        <v>16</v>
      </c>
      <c r="C1520" t="s">
        <v>394</v>
      </c>
      <c r="D1520" t="s">
        <v>1429</v>
      </c>
      <c r="E1520" s="1" t="s">
        <v>1160</v>
      </c>
      <c r="F1520">
        <f>VLOOKUP(A1520,Classifications!$A:$E,5,FALSE)</f>
        <v>1</v>
      </c>
      <c r="G1520">
        <f>VLOOKUP(A1520,Classifications!$A:$F,6,FALSE)</f>
        <v>1</v>
      </c>
      <c r="H1520">
        <f>VLOOKUP(A1520,Classifications!$A:$G,7,FALSE)</f>
        <v>36</v>
      </c>
      <c r="I1520" t="s">
        <v>1158</v>
      </c>
      <c r="J1520" s="2">
        <v>44193.000023148146</v>
      </c>
    </row>
    <row r="1521" spans="1:10" ht="12.75" customHeight="1" x14ac:dyDescent="0.3">
      <c r="A1521">
        <v>1336036</v>
      </c>
      <c r="B1521" t="s">
        <v>3276</v>
      </c>
      <c r="C1521" t="s">
        <v>3277</v>
      </c>
      <c r="D1521" t="s">
        <v>1429</v>
      </c>
      <c r="E1521" s="1" t="s">
        <v>1160</v>
      </c>
      <c r="F1521">
        <f>VLOOKUP(A1521,Classifications!$A:$E,5,FALSE)</f>
        <v>1</v>
      </c>
      <c r="G1521">
        <f>VLOOKUP(A1521,Classifications!$A:$F,6,FALSE)</f>
        <v>1</v>
      </c>
      <c r="H1521">
        <f>VLOOKUP(A1521,Classifications!$A:$G,7,FALSE)</f>
        <v>36</v>
      </c>
      <c r="I1521" t="s">
        <v>1158</v>
      </c>
      <c r="J1521" s="2">
        <v>44192.000081018516</v>
      </c>
    </row>
    <row r="1522" spans="1:10" ht="12.75" customHeight="1" x14ac:dyDescent="0.3">
      <c r="A1522">
        <v>1336035</v>
      </c>
      <c r="B1522" t="s">
        <v>53</v>
      </c>
      <c r="C1522" t="s">
        <v>158</v>
      </c>
      <c r="D1522" t="s">
        <v>1429</v>
      </c>
      <c r="E1522" s="1" t="s">
        <v>1160</v>
      </c>
      <c r="F1522">
        <f>VLOOKUP(A1522,Classifications!$A:$E,5,FALSE)</f>
        <v>1</v>
      </c>
      <c r="G1522">
        <f>VLOOKUP(A1522,Classifications!$A:$F,6,FALSE)</f>
        <v>1</v>
      </c>
      <c r="H1522">
        <f>VLOOKUP(A1522,Classifications!$A:$G,7,FALSE)</f>
        <v>36</v>
      </c>
      <c r="I1522" t="s">
        <v>1158</v>
      </c>
      <c r="J1522" s="2">
        <v>44192.000069444446</v>
      </c>
    </row>
    <row r="1523" spans="1:10" ht="12.75" customHeight="1" x14ac:dyDescent="0.3">
      <c r="A1523">
        <v>1335839</v>
      </c>
      <c r="B1523" t="s">
        <v>982</v>
      </c>
      <c r="C1523" t="s">
        <v>1892</v>
      </c>
      <c r="D1523" t="s">
        <v>3278</v>
      </c>
      <c r="E1523" s="1" t="s">
        <v>3279</v>
      </c>
      <c r="F1523">
        <f>VLOOKUP(A1523,Classifications!$A:$E,5,FALSE)</f>
        <v>1</v>
      </c>
      <c r="G1523">
        <f>VLOOKUP(A1523,Classifications!$A:$F,6,FALSE)</f>
        <v>1</v>
      </c>
      <c r="H1523">
        <f>VLOOKUP(A1523,Classifications!$A:$G,7,FALSE)</f>
        <v>41</v>
      </c>
      <c r="I1523" t="s">
        <v>11</v>
      </c>
      <c r="J1523" s="2">
        <v>44191.489166666666</v>
      </c>
    </row>
    <row r="1524" spans="1:10" ht="12.75" customHeight="1" x14ac:dyDescent="0.3">
      <c r="A1524">
        <v>1335564</v>
      </c>
      <c r="B1524" t="s">
        <v>1851</v>
      </c>
      <c r="C1524" t="s">
        <v>1852</v>
      </c>
      <c r="D1524" t="s">
        <v>3280</v>
      </c>
      <c r="E1524" t="s">
        <v>1324</v>
      </c>
      <c r="F1524">
        <f>VLOOKUP(A1524,Classifications!$A:$E,5,FALSE)</f>
        <v>1</v>
      </c>
      <c r="G1524">
        <f>VLOOKUP(A1524,Classifications!$A:$F,6,FALSE)</f>
        <v>1</v>
      </c>
      <c r="H1524">
        <f>VLOOKUP(A1524,Classifications!$A:$G,7,FALSE)</f>
        <v>36</v>
      </c>
      <c r="I1524" t="s">
        <v>1158</v>
      </c>
      <c r="J1524" s="2">
        <v>44191.000023148146</v>
      </c>
    </row>
    <row r="1525" spans="1:10" ht="12.75" customHeight="1" x14ac:dyDescent="0.3">
      <c r="A1525">
        <v>1335157</v>
      </c>
      <c r="B1525" t="s">
        <v>16</v>
      </c>
      <c r="C1525" t="s">
        <v>181</v>
      </c>
      <c r="D1525" t="s">
        <v>3281</v>
      </c>
      <c r="E1525" s="1" t="s">
        <v>1326</v>
      </c>
      <c r="F1525">
        <f>VLOOKUP(A1525,Classifications!$A:$E,5,FALSE)</f>
        <v>1</v>
      </c>
      <c r="G1525">
        <f>VLOOKUP(A1525,Classifications!$A:$F,6,FALSE)</f>
        <v>1</v>
      </c>
      <c r="H1525">
        <f>VLOOKUP(A1525,Classifications!$A:$G,7,FALSE)</f>
        <v>36</v>
      </c>
      <c r="I1525" t="s">
        <v>1158</v>
      </c>
      <c r="J1525" s="2">
        <v>44190.0000462963</v>
      </c>
    </row>
    <row r="1526" spans="1:10" ht="12.75" customHeight="1" x14ac:dyDescent="0.3">
      <c r="A1526">
        <v>1335156</v>
      </c>
      <c r="B1526" t="s">
        <v>1714</v>
      </c>
      <c r="C1526" t="s">
        <v>1715</v>
      </c>
      <c r="D1526" t="s">
        <v>1325</v>
      </c>
      <c r="E1526" s="1" t="s">
        <v>1326</v>
      </c>
      <c r="F1526">
        <f>VLOOKUP(A1526,Classifications!$A:$E,5,FALSE)</f>
        <v>1</v>
      </c>
      <c r="G1526">
        <f>VLOOKUP(A1526,Classifications!$A:$F,6,FALSE)</f>
        <v>1</v>
      </c>
      <c r="H1526">
        <f>VLOOKUP(A1526,Classifications!$A:$G,7,FALSE)</f>
        <v>36</v>
      </c>
      <c r="I1526" t="s">
        <v>1158</v>
      </c>
      <c r="J1526" s="2">
        <v>44190.000034722223</v>
      </c>
    </row>
    <row r="1527" spans="1:10" ht="12.75" customHeight="1" x14ac:dyDescent="0.3">
      <c r="A1527">
        <v>1335155</v>
      </c>
      <c r="B1527" t="s">
        <v>1714</v>
      </c>
      <c r="C1527" t="s">
        <v>1715</v>
      </c>
      <c r="D1527" t="s">
        <v>1325</v>
      </c>
      <c r="E1527" s="1" t="s">
        <v>1326</v>
      </c>
      <c r="F1527">
        <f>VLOOKUP(A1527,Classifications!$A:$E,5,FALSE)</f>
        <v>1</v>
      </c>
      <c r="G1527">
        <f>VLOOKUP(A1527,Classifications!$A:$F,6,FALSE)</f>
        <v>1</v>
      </c>
      <c r="H1527">
        <f>VLOOKUP(A1527,Classifications!$A:$G,7,FALSE)</f>
        <v>36</v>
      </c>
      <c r="I1527" t="s">
        <v>1158</v>
      </c>
      <c r="J1527" s="2">
        <v>44190.000034722223</v>
      </c>
    </row>
    <row r="1528" spans="1:10" ht="12.75" customHeight="1" x14ac:dyDescent="0.3">
      <c r="A1528">
        <v>1335154</v>
      </c>
      <c r="B1528" t="s">
        <v>3282</v>
      </c>
      <c r="C1528" t="s">
        <v>3283</v>
      </c>
      <c r="D1528" t="s">
        <v>1429</v>
      </c>
      <c r="E1528" s="1" t="s">
        <v>1160</v>
      </c>
      <c r="F1528">
        <f>VLOOKUP(A1528,Classifications!$A:$E,5,FALSE)</f>
        <v>1</v>
      </c>
      <c r="G1528">
        <f>VLOOKUP(A1528,Classifications!$A:$F,6,FALSE)</f>
        <v>1</v>
      </c>
      <c r="H1528">
        <f>VLOOKUP(A1528,Classifications!$A:$G,7,FALSE)</f>
        <v>36</v>
      </c>
      <c r="I1528" t="s">
        <v>1158</v>
      </c>
      <c r="J1528" s="2">
        <v>44190.000023148146</v>
      </c>
    </row>
    <row r="1529" spans="1:10" ht="12.75" customHeight="1" x14ac:dyDescent="0.3">
      <c r="A1529">
        <v>1335153</v>
      </c>
      <c r="B1529" t="s">
        <v>2844</v>
      </c>
      <c r="C1529" t="s">
        <v>2845</v>
      </c>
      <c r="D1529" t="s">
        <v>1429</v>
      </c>
      <c r="E1529" s="1" t="s">
        <v>1160</v>
      </c>
      <c r="F1529">
        <f>VLOOKUP(A1529,Classifications!$A:$E,5,FALSE)</f>
        <v>1</v>
      </c>
      <c r="G1529">
        <f>VLOOKUP(A1529,Classifications!$A:$F,6,FALSE)</f>
        <v>1</v>
      </c>
      <c r="H1529">
        <f>VLOOKUP(A1529,Classifications!$A:$G,7,FALSE)</f>
        <v>36</v>
      </c>
      <c r="I1529" t="s">
        <v>1158</v>
      </c>
      <c r="J1529" s="2">
        <v>44190.000023148146</v>
      </c>
    </row>
    <row r="1530" spans="1:10" ht="12.75" customHeight="1" x14ac:dyDescent="0.3">
      <c r="A1530">
        <v>1334876</v>
      </c>
      <c r="B1530" t="s">
        <v>36</v>
      </c>
      <c r="C1530" t="s">
        <v>1666</v>
      </c>
      <c r="D1530" t="s">
        <v>3284</v>
      </c>
      <c r="E1530" s="1" t="s">
        <v>3285</v>
      </c>
      <c r="F1530">
        <f>VLOOKUP(A1530,Classifications!$A:$E,5,FALSE)</f>
        <v>3</v>
      </c>
      <c r="G1530">
        <f>VLOOKUP(A1530,Classifications!$A:$F,6,FALSE)</f>
        <v>3</v>
      </c>
      <c r="H1530">
        <f>VLOOKUP(A1530,Classifications!$A:$G,7,FALSE)</f>
        <v>43</v>
      </c>
      <c r="I1530" t="s">
        <v>11</v>
      </c>
      <c r="J1530" s="2">
        <v>44189.570671296293</v>
      </c>
    </row>
    <row r="1531" spans="1:10" ht="12.75" customHeight="1" x14ac:dyDescent="0.3">
      <c r="A1531">
        <v>1334754</v>
      </c>
      <c r="B1531" t="s">
        <v>7</v>
      </c>
      <c r="C1531" t="s">
        <v>158</v>
      </c>
      <c r="D1531" t="s">
        <v>3286</v>
      </c>
      <c r="E1531" s="1" t="s">
        <v>3287</v>
      </c>
      <c r="F1531">
        <f>VLOOKUP(A1531,Classifications!$A:$E,5,FALSE)</f>
        <v>1</v>
      </c>
      <c r="G1531">
        <f>VLOOKUP(A1531,Classifications!$A:$F,6,FALSE)</f>
        <v>1</v>
      </c>
      <c r="H1531">
        <f>VLOOKUP(A1531,Classifications!$A:$G,7,FALSE)</f>
        <v>41</v>
      </c>
      <c r="I1531" t="s">
        <v>11</v>
      </c>
      <c r="J1531" s="2">
        <v>44189.155763888892</v>
      </c>
    </row>
    <row r="1532" spans="1:10" ht="12.75" customHeight="1" x14ac:dyDescent="0.3">
      <c r="A1532">
        <v>1334740</v>
      </c>
      <c r="B1532" t="s">
        <v>503</v>
      </c>
      <c r="D1532" t="s">
        <v>737</v>
      </c>
      <c r="E1532" s="1" t="s">
        <v>3288</v>
      </c>
      <c r="F1532">
        <f>VLOOKUP(A1532,Classifications!$A:$E,5,FALSE)</f>
        <v>1</v>
      </c>
      <c r="G1532">
        <f>VLOOKUP(A1532,Classifications!$A:$F,6,FALSE)</f>
        <v>1</v>
      </c>
      <c r="H1532">
        <f>VLOOKUP(A1532,Classifications!$A:$G,7,FALSE)</f>
        <v>41</v>
      </c>
      <c r="I1532" t="s">
        <v>11</v>
      </c>
      <c r="J1532" s="2">
        <v>44189.109201388892</v>
      </c>
    </row>
    <row r="1533" spans="1:10" ht="12.75" customHeight="1" x14ac:dyDescent="0.3">
      <c r="A1533">
        <v>1334739</v>
      </c>
      <c r="B1533" t="s">
        <v>503</v>
      </c>
      <c r="D1533" t="s">
        <v>737</v>
      </c>
      <c r="E1533" s="1" t="s">
        <v>3289</v>
      </c>
      <c r="F1533">
        <f>VLOOKUP(A1533,Classifications!$A:$E,5,FALSE)</f>
        <v>1</v>
      </c>
      <c r="G1533">
        <f>VLOOKUP(A1533,Classifications!$A:$F,6,FALSE)</f>
        <v>1</v>
      </c>
      <c r="H1533">
        <f>VLOOKUP(A1533,Classifications!$A:$G,7,FALSE)</f>
        <v>41</v>
      </c>
      <c r="I1533" t="s">
        <v>11</v>
      </c>
      <c r="J1533" s="2">
        <v>44189.108483796299</v>
      </c>
    </row>
    <row r="1534" spans="1:10" ht="12.75" customHeight="1" x14ac:dyDescent="0.3">
      <c r="A1534">
        <v>1334738</v>
      </c>
      <c r="B1534" t="s">
        <v>503</v>
      </c>
      <c r="D1534" t="s">
        <v>737</v>
      </c>
      <c r="E1534" s="1" t="s">
        <v>3290</v>
      </c>
      <c r="F1534">
        <f>VLOOKUP(A1534,Classifications!$A:$E,5,FALSE)</f>
        <v>1</v>
      </c>
      <c r="G1534">
        <f>VLOOKUP(A1534,Classifications!$A:$F,6,FALSE)</f>
        <v>1</v>
      </c>
      <c r="H1534">
        <f>VLOOKUP(A1534,Classifications!$A:$G,7,FALSE)</f>
        <v>41</v>
      </c>
      <c r="I1534" t="s">
        <v>11</v>
      </c>
      <c r="J1534" s="2">
        <v>44189.107210648152</v>
      </c>
    </row>
    <row r="1535" spans="1:10" ht="12.75" customHeight="1" x14ac:dyDescent="0.3">
      <c r="A1535">
        <v>1334706</v>
      </c>
      <c r="B1535" t="s">
        <v>503</v>
      </c>
      <c r="D1535" t="s">
        <v>737</v>
      </c>
      <c r="E1535" s="1" t="s">
        <v>3291</v>
      </c>
      <c r="F1535">
        <f>VLOOKUP(A1535,Classifications!$A:$E,5,FALSE)</f>
        <v>1</v>
      </c>
      <c r="G1535">
        <f>VLOOKUP(A1535,Classifications!$A:$F,6,FALSE)</f>
        <v>1</v>
      </c>
      <c r="H1535">
        <f>VLOOKUP(A1535,Classifications!$A:$G,7,FALSE)</f>
        <v>41</v>
      </c>
      <c r="I1535" t="s">
        <v>11</v>
      </c>
      <c r="J1535" s="2">
        <v>44189.00440972222</v>
      </c>
    </row>
    <row r="1536" spans="1:10" ht="12.75" customHeight="1" x14ac:dyDescent="0.3">
      <c r="A1536">
        <v>1334704</v>
      </c>
      <c r="B1536" t="s">
        <v>1029</v>
      </c>
      <c r="C1536" t="s">
        <v>1030</v>
      </c>
      <c r="D1536" t="s">
        <v>1156</v>
      </c>
      <c r="E1536" s="1" t="s">
        <v>1157</v>
      </c>
      <c r="F1536">
        <f>VLOOKUP(A1536,Classifications!$A:$E,5,FALSE)</f>
        <v>1</v>
      </c>
      <c r="G1536">
        <f>VLOOKUP(A1536,Classifications!$A:$F,6,FALSE)</f>
        <v>1</v>
      </c>
      <c r="H1536">
        <f>VLOOKUP(A1536,Classifications!$A:$G,7,FALSE)</f>
        <v>36</v>
      </c>
      <c r="I1536" t="s">
        <v>1158</v>
      </c>
      <c r="J1536" s="2">
        <v>44189.000057870369</v>
      </c>
    </row>
    <row r="1537" spans="1:10" ht="12.75" customHeight="1" x14ac:dyDescent="0.3">
      <c r="A1537">
        <v>1334703</v>
      </c>
      <c r="B1537" t="s">
        <v>1761</v>
      </c>
      <c r="C1537" t="s">
        <v>3292</v>
      </c>
      <c r="D1537" t="s">
        <v>1156</v>
      </c>
      <c r="E1537" s="1" t="s">
        <v>1157</v>
      </c>
      <c r="F1537">
        <f>VLOOKUP(A1537,Classifications!$A:$E,5,FALSE)</f>
        <v>1</v>
      </c>
      <c r="G1537">
        <f>VLOOKUP(A1537,Classifications!$A:$F,6,FALSE)</f>
        <v>1</v>
      </c>
      <c r="H1537">
        <f>VLOOKUP(A1537,Classifications!$A:$G,7,FALSE)</f>
        <v>36</v>
      </c>
      <c r="I1537" t="s">
        <v>1158</v>
      </c>
      <c r="J1537" s="2">
        <v>44189.000057870369</v>
      </c>
    </row>
    <row r="1538" spans="1:10" ht="12.75" customHeight="1" x14ac:dyDescent="0.3">
      <c r="A1538">
        <v>1334690</v>
      </c>
      <c r="B1538" t="s">
        <v>503</v>
      </c>
      <c r="D1538" t="s">
        <v>737</v>
      </c>
      <c r="E1538" s="1" t="s">
        <v>3293</v>
      </c>
      <c r="F1538">
        <f>VLOOKUP(A1538,Classifications!$A:$E,5,FALSE)</f>
        <v>1</v>
      </c>
      <c r="G1538">
        <f>VLOOKUP(A1538,Classifications!$A:$F,6,FALSE)</f>
        <v>1</v>
      </c>
      <c r="H1538">
        <f>VLOOKUP(A1538,Classifications!$A:$G,7,FALSE)</f>
        <v>41</v>
      </c>
      <c r="I1538" t="s">
        <v>11</v>
      </c>
      <c r="J1538" s="2">
        <v>44188.972430555557</v>
      </c>
    </row>
    <row r="1539" spans="1:10" ht="12.75" customHeight="1" x14ac:dyDescent="0.3">
      <c r="A1539">
        <v>1334688</v>
      </c>
      <c r="B1539" t="s">
        <v>503</v>
      </c>
      <c r="D1539" t="s">
        <v>737</v>
      </c>
      <c r="E1539" s="1" t="s">
        <v>3287</v>
      </c>
      <c r="F1539">
        <f>VLOOKUP(A1539,Classifications!$A:$E,5,FALSE)</f>
        <v>1</v>
      </c>
      <c r="G1539">
        <f>VLOOKUP(A1539,Classifications!$A:$F,6,FALSE)</f>
        <v>1</v>
      </c>
      <c r="H1539">
        <f>VLOOKUP(A1539,Classifications!$A:$G,7,FALSE)</f>
        <v>41</v>
      </c>
      <c r="I1539" t="s">
        <v>11</v>
      </c>
      <c r="J1539" s="2">
        <v>44188.971087962964</v>
      </c>
    </row>
    <row r="1540" spans="1:10" ht="12.75" customHeight="1" x14ac:dyDescent="0.3">
      <c r="A1540">
        <v>1334422</v>
      </c>
      <c r="B1540" t="s">
        <v>191</v>
      </c>
      <c r="C1540" t="s">
        <v>192</v>
      </c>
      <c r="D1540" t="s">
        <v>3294</v>
      </c>
      <c r="E1540" s="1" t="s">
        <v>3295</v>
      </c>
      <c r="F1540">
        <f>VLOOKUP(A1540,Classifications!$A:$E,5,FALSE)</f>
        <v>3</v>
      </c>
      <c r="G1540">
        <f>VLOOKUP(A1540,Classifications!$A:$F,6,FALSE)</f>
        <v>3</v>
      </c>
      <c r="H1540">
        <f>VLOOKUP(A1540,Classifications!$A:$G,7,FALSE)</f>
        <v>41</v>
      </c>
      <c r="I1540" t="s">
        <v>11</v>
      </c>
      <c r="J1540" s="2">
        <v>44188.690081018518</v>
      </c>
    </row>
    <row r="1541" spans="1:10" ht="12.75" customHeight="1" x14ac:dyDescent="0.3">
      <c r="A1541">
        <v>1334414</v>
      </c>
      <c r="B1541" t="s">
        <v>16</v>
      </c>
      <c r="C1541" t="s">
        <v>181</v>
      </c>
      <c r="D1541" t="s">
        <v>3296</v>
      </c>
      <c r="E1541" s="1" t="s">
        <v>3297</v>
      </c>
      <c r="F1541">
        <f>VLOOKUP(A1541,Classifications!$A:$E,5,FALSE)</f>
        <v>1</v>
      </c>
      <c r="G1541">
        <f>VLOOKUP(A1541,Classifications!$A:$F,6,FALSE)</f>
        <v>1</v>
      </c>
      <c r="H1541">
        <f>VLOOKUP(A1541,Classifications!$A:$G,7,FALSE)</f>
        <v>36</v>
      </c>
      <c r="I1541" t="s">
        <v>24</v>
      </c>
      <c r="J1541" s="2">
        <v>44188.67150462963</v>
      </c>
    </row>
    <row r="1542" spans="1:10" ht="12.75" customHeight="1" x14ac:dyDescent="0.3">
      <c r="A1542">
        <v>1334389</v>
      </c>
      <c r="B1542" t="s">
        <v>20</v>
      </c>
      <c r="C1542" t="s">
        <v>2177</v>
      </c>
      <c r="D1542" t="s">
        <v>3298</v>
      </c>
      <c r="E1542" s="1" t="s">
        <v>3299</v>
      </c>
      <c r="F1542">
        <f>VLOOKUP(A1542,Classifications!$A:$E,5,FALSE)</f>
        <v>1</v>
      </c>
      <c r="G1542">
        <f>VLOOKUP(A1542,Classifications!$A:$F,6,FALSE)</f>
        <v>1</v>
      </c>
      <c r="H1542">
        <f>VLOOKUP(A1542,Classifications!$A:$G,7,FALSE)</f>
        <v>43</v>
      </c>
      <c r="I1542" t="s">
        <v>11</v>
      </c>
      <c r="J1542" s="2">
        <v>44188.589803240742</v>
      </c>
    </row>
    <row r="1543" spans="1:10" ht="12.75" customHeight="1" x14ac:dyDescent="0.3">
      <c r="A1543">
        <v>1334384</v>
      </c>
      <c r="B1543" t="s">
        <v>20</v>
      </c>
      <c r="C1543" t="s">
        <v>2177</v>
      </c>
      <c r="D1543" t="s">
        <v>3300</v>
      </c>
      <c r="E1543" s="1" t="s">
        <v>3301</v>
      </c>
      <c r="F1543">
        <f>VLOOKUP(A1543,Classifications!$A:$E,5,FALSE)</f>
        <v>1</v>
      </c>
      <c r="G1543">
        <f>VLOOKUP(A1543,Classifications!$A:$F,6,FALSE)</f>
        <v>1</v>
      </c>
      <c r="H1543">
        <f>VLOOKUP(A1543,Classifications!$A:$G,7,FALSE)</f>
        <v>43</v>
      </c>
      <c r="I1543" t="s">
        <v>11</v>
      </c>
      <c r="J1543" s="2">
        <v>44188.586018518516</v>
      </c>
    </row>
    <row r="1544" spans="1:10" ht="12.75" customHeight="1" x14ac:dyDescent="0.3">
      <c r="A1544">
        <v>1334383</v>
      </c>
      <c r="B1544" t="s">
        <v>20</v>
      </c>
      <c r="C1544" t="s">
        <v>2177</v>
      </c>
      <c r="D1544" t="s">
        <v>3302</v>
      </c>
      <c r="E1544" s="1" t="s">
        <v>3303</v>
      </c>
      <c r="F1544">
        <f>VLOOKUP(A1544,Classifications!$A:$E,5,FALSE)</f>
        <v>1</v>
      </c>
      <c r="G1544">
        <f>VLOOKUP(A1544,Classifications!$A:$F,6,FALSE)</f>
        <v>1</v>
      </c>
      <c r="H1544">
        <f>VLOOKUP(A1544,Classifications!$A:$G,7,FALSE)</f>
        <v>43</v>
      </c>
      <c r="I1544" t="s">
        <v>11</v>
      </c>
      <c r="J1544" s="2">
        <v>44188.584131944444</v>
      </c>
    </row>
    <row r="1545" spans="1:10" ht="12.75" customHeight="1" x14ac:dyDescent="0.3">
      <c r="A1545">
        <v>1334380</v>
      </c>
      <c r="B1545" t="s">
        <v>16</v>
      </c>
      <c r="C1545" t="s">
        <v>649</v>
      </c>
      <c r="D1545" t="s">
        <v>3304</v>
      </c>
      <c r="E1545" s="1" t="s">
        <v>3305</v>
      </c>
      <c r="F1545">
        <f>VLOOKUP(A1545,Classifications!$A:$E,5,FALSE)</f>
        <v>1</v>
      </c>
      <c r="G1545">
        <f>VLOOKUP(A1545,Classifications!$A:$F,6,FALSE)</f>
        <v>1</v>
      </c>
      <c r="H1545">
        <f>VLOOKUP(A1545,Classifications!$A:$G,7,FALSE)</f>
        <v>43</v>
      </c>
      <c r="I1545" t="s">
        <v>11</v>
      </c>
      <c r="J1545" s="2">
        <v>44188.580810185187</v>
      </c>
    </row>
    <row r="1546" spans="1:10" ht="12.75" customHeight="1" x14ac:dyDescent="0.3">
      <c r="A1546">
        <v>1334373</v>
      </c>
      <c r="B1546" t="s">
        <v>431</v>
      </c>
      <c r="C1546" t="s">
        <v>432</v>
      </c>
      <c r="D1546" t="s">
        <v>3306</v>
      </c>
      <c r="E1546" s="1" t="s">
        <v>3307</v>
      </c>
      <c r="F1546">
        <f>VLOOKUP(A1546,Classifications!$A:$E,5,FALSE)</f>
        <v>1</v>
      </c>
      <c r="G1546">
        <f>VLOOKUP(A1546,Classifications!$A:$F,6,FALSE)</f>
        <v>1</v>
      </c>
      <c r="H1546">
        <f>VLOOKUP(A1546,Classifications!$A:$G,7,FALSE)</f>
        <v>43</v>
      </c>
      <c r="I1546" t="s">
        <v>11</v>
      </c>
      <c r="J1546" s="2">
        <v>44188.563020833331</v>
      </c>
    </row>
    <row r="1547" spans="1:10" ht="12.75" customHeight="1" x14ac:dyDescent="0.3">
      <c r="A1547">
        <v>1334359</v>
      </c>
      <c r="B1547" t="s">
        <v>32</v>
      </c>
      <c r="C1547" t="s">
        <v>463</v>
      </c>
      <c r="D1547" t="s">
        <v>3308</v>
      </c>
      <c r="E1547" s="1" t="s">
        <v>3309</v>
      </c>
      <c r="F1547">
        <f>VLOOKUP(A1547,Classifications!$A:$E,5,FALSE)</f>
        <v>1</v>
      </c>
      <c r="G1547">
        <f>VLOOKUP(A1547,Classifications!$A:$F,6,FALSE)</f>
        <v>1</v>
      </c>
      <c r="H1547">
        <f>VLOOKUP(A1547,Classifications!$A:$G,7,FALSE)</f>
        <v>36</v>
      </c>
      <c r="I1547" t="s">
        <v>24</v>
      </c>
      <c r="J1547" s="2">
        <v>44188.509710648148</v>
      </c>
    </row>
    <row r="1548" spans="1:10" ht="12.75" customHeight="1" x14ac:dyDescent="0.3">
      <c r="A1548">
        <v>1334349</v>
      </c>
      <c r="B1548" t="s">
        <v>95</v>
      </c>
      <c r="C1548" t="s">
        <v>668</v>
      </c>
      <c r="D1548" t="s">
        <v>3310</v>
      </c>
      <c r="E1548" s="1" t="s">
        <v>3311</v>
      </c>
      <c r="F1548">
        <f>VLOOKUP(A1548,Classifications!$A:$E,5,FALSE)</f>
        <v>1</v>
      </c>
      <c r="G1548">
        <f>VLOOKUP(A1548,Classifications!$A:$F,6,FALSE)</f>
        <v>1</v>
      </c>
      <c r="H1548">
        <f>VLOOKUP(A1548,Classifications!$A:$G,7,FALSE)</f>
        <v>43</v>
      </c>
      <c r="I1548" t="s">
        <v>11</v>
      </c>
      <c r="J1548" s="2">
        <v>44188.481412037036</v>
      </c>
    </row>
    <row r="1549" spans="1:10" ht="12.75" customHeight="1" x14ac:dyDescent="0.3">
      <c r="A1549">
        <v>1334330</v>
      </c>
      <c r="B1549" t="s">
        <v>32</v>
      </c>
      <c r="C1549" t="s">
        <v>33</v>
      </c>
      <c r="D1549" t="s">
        <v>3312</v>
      </c>
      <c r="E1549" s="1" t="s">
        <v>3313</v>
      </c>
      <c r="F1549">
        <f>VLOOKUP(A1549,Classifications!$A:$E,5,FALSE)</f>
        <v>1</v>
      </c>
      <c r="G1549">
        <f>VLOOKUP(A1549,Classifications!$A:$F,6,FALSE)</f>
        <v>1</v>
      </c>
      <c r="H1549">
        <f>VLOOKUP(A1549,Classifications!$A:$G,7,FALSE)</f>
        <v>43</v>
      </c>
      <c r="I1549" t="s">
        <v>11</v>
      </c>
      <c r="J1549" s="2">
        <v>44188.431087962963</v>
      </c>
    </row>
    <row r="1550" spans="1:10" ht="12.75" customHeight="1" x14ac:dyDescent="0.3">
      <c r="A1550">
        <v>1334326</v>
      </c>
      <c r="B1550" t="s">
        <v>177</v>
      </c>
      <c r="C1550" t="s">
        <v>3314</v>
      </c>
      <c r="D1550" t="s">
        <v>2769</v>
      </c>
      <c r="E1550" s="1" t="s">
        <v>3315</v>
      </c>
      <c r="F1550">
        <f>VLOOKUP(A1550,Classifications!$A:$E,5,FALSE)</f>
        <v>1</v>
      </c>
      <c r="G1550">
        <f>VLOOKUP(A1550,Classifications!$A:$F,6,FALSE)</f>
        <v>1</v>
      </c>
      <c r="H1550">
        <f>VLOOKUP(A1550,Classifications!$A:$G,7,FALSE)</f>
        <v>41</v>
      </c>
      <c r="I1550" t="s">
        <v>11</v>
      </c>
      <c r="J1550" s="2">
        <v>44188.422094907408</v>
      </c>
    </row>
    <row r="1551" spans="1:10" ht="12.75" customHeight="1" x14ac:dyDescent="0.3">
      <c r="A1551">
        <v>1334284</v>
      </c>
      <c r="B1551" t="s">
        <v>191</v>
      </c>
      <c r="C1551" t="s">
        <v>2510</v>
      </c>
      <c r="D1551" t="s">
        <v>3316</v>
      </c>
      <c r="E1551" s="1" t="s">
        <v>3317</v>
      </c>
      <c r="F1551">
        <f>VLOOKUP(A1551,Classifications!$A:$E,5,FALSE)</f>
        <v>1</v>
      </c>
      <c r="G1551">
        <f>VLOOKUP(A1551,Classifications!$A:$F,6,FALSE)</f>
        <v>1</v>
      </c>
      <c r="H1551">
        <f>VLOOKUP(A1551,Classifications!$A:$G,7,FALSE)</f>
        <v>43</v>
      </c>
      <c r="I1551" t="s">
        <v>11</v>
      </c>
      <c r="J1551" s="2">
        <v>44188.386134259257</v>
      </c>
    </row>
    <row r="1552" spans="1:10" ht="12.75" customHeight="1" x14ac:dyDescent="0.3">
      <c r="A1552">
        <v>1334269</v>
      </c>
      <c r="B1552" t="s">
        <v>473</v>
      </c>
      <c r="C1552" t="s">
        <v>1381</v>
      </c>
      <c r="D1552" t="s">
        <v>2769</v>
      </c>
      <c r="E1552" s="1" t="s">
        <v>3318</v>
      </c>
      <c r="F1552">
        <f>VLOOKUP(A1552,Classifications!$A:$E,5,FALSE)</f>
        <v>1</v>
      </c>
      <c r="G1552">
        <f>VLOOKUP(A1552,Classifications!$A:$F,6,FALSE)</f>
        <v>1</v>
      </c>
      <c r="H1552">
        <f>VLOOKUP(A1552,Classifications!$A:$G,7,FALSE)</f>
        <v>43</v>
      </c>
      <c r="I1552" t="s">
        <v>11</v>
      </c>
      <c r="J1552" s="2">
        <v>44188.3515625</v>
      </c>
    </row>
    <row r="1553" spans="1:10" ht="12.75" customHeight="1" x14ac:dyDescent="0.3">
      <c r="A1553">
        <v>1334262</v>
      </c>
      <c r="B1553" t="s">
        <v>7</v>
      </c>
      <c r="C1553" t="s">
        <v>107</v>
      </c>
      <c r="D1553" t="s">
        <v>737</v>
      </c>
      <c r="E1553" s="1" t="s">
        <v>3319</v>
      </c>
      <c r="F1553">
        <f>VLOOKUP(A1553,Classifications!$A:$E,5,FALSE)</f>
        <v>1</v>
      </c>
      <c r="G1553">
        <f>VLOOKUP(A1553,Classifications!$A:$F,6,FALSE)</f>
        <v>1</v>
      </c>
      <c r="H1553">
        <f>VLOOKUP(A1553,Classifications!$A:$G,7,FALSE)</f>
        <v>41</v>
      </c>
      <c r="I1553" t="s">
        <v>11</v>
      </c>
      <c r="J1553" s="2">
        <v>44188.338333333333</v>
      </c>
    </row>
    <row r="1554" spans="1:10" ht="12.75" customHeight="1" x14ac:dyDescent="0.3">
      <c r="A1554">
        <v>1334251</v>
      </c>
      <c r="B1554" t="s">
        <v>7</v>
      </c>
      <c r="C1554" t="s">
        <v>158</v>
      </c>
      <c r="D1554" t="s">
        <v>737</v>
      </c>
      <c r="E1554" s="1" t="s">
        <v>3320</v>
      </c>
      <c r="F1554">
        <f>VLOOKUP(A1554,Classifications!$A:$E,5,FALSE)</f>
        <v>1</v>
      </c>
      <c r="G1554">
        <f>VLOOKUP(A1554,Classifications!$A:$F,6,FALSE)</f>
        <v>1</v>
      </c>
      <c r="H1554">
        <f>VLOOKUP(A1554,Classifications!$A:$G,7,FALSE)</f>
        <v>41</v>
      </c>
      <c r="I1554" t="s">
        <v>11</v>
      </c>
      <c r="J1554" s="2">
        <v>44188.329976851855</v>
      </c>
    </row>
    <row r="1555" spans="1:10" ht="12.75" customHeight="1" x14ac:dyDescent="0.3">
      <c r="A1555">
        <v>1334207</v>
      </c>
      <c r="B1555" t="s">
        <v>7</v>
      </c>
      <c r="C1555" t="s">
        <v>158</v>
      </c>
      <c r="D1555" t="s">
        <v>737</v>
      </c>
      <c r="E1555" s="1" t="s">
        <v>3321</v>
      </c>
      <c r="F1555">
        <f>VLOOKUP(A1555,Classifications!$A:$E,5,FALSE)</f>
        <v>1</v>
      </c>
      <c r="G1555">
        <f>VLOOKUP(A1555,Classifications!$A:$F,6,FALSE)</f>
        <v>1</v>
      </c>
      <c r="H1555">
        <f>VLOOKUP(A1555,Classifications!$A:$G,7,FALSE)</f>
        <v>41</v>
      </c>
      <c r="I1555" t="s">
        <v>11</v>
      </c>
      <c r="J1555" s="2">
        <v>44188.082141203704</v>
      </c>
    </row>
    <row r="1556" spans="1:10" ht="12.75" customHeight="1" x14ac:dyDescent="0.3">
      <c r="A1556">
        <v>1334169</v>
      </c>
      <c r="B1556" t="s">
        <v>401</v>
      </c>
      <c r="C1556" t="s">
        <v>402</v>
      </c>
      <c r="D1556" t="s">
        <v>1323</v>
      </c>
      <c r="E1556" t="s">
        <v>1324</v>
      </c>
      <c r="F1556">
        <f>VLOOKUP(A1556,Classifications!$A:$E,5,FALSE)</f>
        <v>1</v>
      </c>
      <c r="G1556">
        <f>VLOOKUP(A1556,Classifications!$A:$F,6,FALSE)</f>
        <v>1</v>
      </c>
      <c r="H1556">
        <f>VLOOKUP(A1556,Classifications!$A:$G,7,FALSE)</f>
        <v>36</v>
      </c>
      <c r="I1556" t="s">
        <v>1158</v>
      </c>
      <c r="J1556" s="2">
        <v>44188.000127314815</v>
      </c>
    </row>
    <row r="1557" spans="1:10" ht="12.75" customHeight="1" x14ac:dyDescent="0.3">
      <c r="A1557">
        <v>1334167</v>
      </c>
      <c r="B1557" t="s">
        <v>3322</v>
      </c>
      <c r="C1557" t="s">
        <v>3323</v>
      </c>
      <c r="D1557" t="s">
        <v>1429</v>
      </c>
      <c r="E1557" s="1" t="s">
        <v>1160</v>
      </c>
      <c r="F1557">
        <f>VLOOKUP(A1557,Classifications!$A:$E,5,FALSE)</f>
        <v>1</v>
      </c>
      <c r="G1557">
        <f>VLOOKUP(A1557,Classifications!$A:$F,6,FALSE)</f>
        <v>1</v>
      </c>
      <c r="H1557">
        <f>VLOOKUP(A1557,Classifications!$A:$G,7,FALSE)</f>
        <v>36</v>
      </c>
      <c r="I1557" t="s">
        <v>1158</v>
      </c>
      <c r="J1557" s="2">
        <v>44188.000104166669</v>
      </c>
    </row>
    <row r="1558" spans="1:10" ht="12.75" customHeight="1" x14ac:dyDescent="0.3">
      <c r="A1558">
        <v>1334012</v>
      </c>
      <c r="B1558" t="s">
        <v>350</v>
      </c>
      <c r="C1558" t="s">
        <v>351</v>
      </c>
      <c r="D1558" t="s">
        <v>3324</v>
      </c>
      <c r="E1558" s="1" t="s">
        <v>3325</v>
      </c>
      <c r="F1558">
        <f>VLOOKUP(A1558,Classifications!$A:$E,5,FALSE)</f>
        <v>1</v>
      </c>
      <c r="G1558">
        <f>VLOOKUP(A1558,Classifications!$A:$F,6,FALSE)</f>
        <v>1</v>
      </c>
      <c r="H1558">
        <f>VLOOKUP(A1558,Classifications!$A:$G,7,FALSE)</f>
        <v>43</v>
      </c>
      <c r="I1558" t="s">
        <v>24</v>
      </c>
      <c r="J1558" s="2">
        <v>44187.806747685187</v>
      </c>
    </row>
    <row r="1559" spans="1:10" ht="12.75" customHeight="1" x14ac:dyDescent="0.3">
      <c r="A1559">
        <v>1334011</v>
      </c>
      <c r="B1559" t="s">
        <v>350</v>
      </c>
      <c r="C1559" t="s">
        <v>351</v>
      </c>
      <c r="D1559" t="s">
        <v>3326</v>
      </c>
      <c r="E1559" s="1" t="s">
        <v>3327</v>
      </c>
      <c r="F1559">
        <f>VLOOKUP(A1559,Classifications!$A:$E,5,FALSE)</f>
        <v>1</v>
      </c>
      <c r="G1559">
        <f>VLOOKUP(A1559,Classifications!$A:$F,6,FALSE)</f>
        <v>1</v>
      </c>
      <c r="H1559">
        <f>VLOOKUP(A1559,Classifications!$A:$G,7,FALSE)</f>
        <v>43</v>
      </c>
      <c r="I1559" t="s">
        <v>24</v>
      </c>
      <c r="J1559" s="2">
        <v>44187.806030092594</v>
      </c>
    </row>
    <row r="1560" spans="1:10" ht="12.75" customHeight="1" x14ac:dyDescent="0.3">
      <c r="A1560">
        <v>1334010</v>
      </c>
      <c r="B1560" t="s">
        <v>350</v>
      </c>
      <c r="C1560" t="s">
        <v>351</v>
      </c>
      <c r="D1560" t="s">
        <v>3328</v>
      </c>
      <c r="E1560" s="1" t="s">
        <v>3329</v>
      </c>
      <c r="F1560">
        <f>VLOOKUP(A1560,Classifications!$A:$E,5,FALSE)</f>
        <v>1</v>
      </c>
      <c r="G1560">
        <f>VLOOKUP(A1560,Classifications!$A:$F,6,FALSE)</f>
        <v>1</v>
      </c>
      <c r="H1560">
        <f>VLOOKUP(A1560,Classifications!$A:$G,7,FALSE)</f>
        <v>43</v>
      </c>
      <c r="I1560" t="s">
        <v>24</v>
      </c>
      <c r="J1560" s="2">
        <v>44187.805347222224</v>
      </c>
    </row>
    <row r="1561" spans="1:10" ht="12.75" customHeight="1" x14ac:dyDescent="0.3">
      <c r="A1561">
        <v>1333928</v>
      </c>
      <c r="B1561" t="s">
        <v>95</v>
      </c>
      <c r="C1561" t="s">
        <v>668</v>
      </c>
      <c r="D1561" t="s">
        <v>3330</v>
      </c>
      <c r="E1561" s="1" t="s">
        <v>3331</v>
      </c>
      <c r="F1561">
        <f>VLOOKUP(A1561,Classifications!$A:$E,5,FALSE)</f>
        <v>3</v>
      </c>
      <c r="G1561">
        <f>VLOOKUP(A1561,Classifications!$A:$F,6,FALSE)</f>
        <v>2</v>
      </c>
      <c r="H1561">
        <f>VLOOKUP(A1561,Classifications!$A:$G,7,FALSE)</f>
        <v>43</v>
      </c>
      <c r="I1561" t="s">
        <v>24</v>
      </c>
      <c r="J1561" s="2">
        <v>44187.662951388891</v>
      </c>
    </row>
    <row r="1562" spans="1:10" ht="12.75" customHeight="1" x14ac:dyDescent="0.3">
      <c r="A1562">
        <v>1333897</v>
      </c>
      <c r="B1562" t="s">
        <v>290</v>
      </c>
      <c r="C1562" t="s">
        <v>3332</v>
      </c>
      <c r="D1562" t="s">
        <v>3333</v>
      </c>
      <c r="E1562" t="s">
        <v>3334</v>
      </c>
      <c r="F1562">
        <f>VLOOKUP(A1562,Classifications!$A:$E,5,FALSE)</f>
        <v>1</v>
      </c>
      <c r="G1562">
        <f>VLOOKUP(A1562,Classifications!$A:$F,6,FALSE)</f>
        <v>1</v>
      </c>
      <c r="H1562">
        <f>VLOOKUP(A1562,Classifications!$A:$G,7,FALSE)</f>
        <v>43</v>
      </c>
      <c r="I1562" t="s">
        <v>24</v>
      </c>
      <c r="J1562" s="2">
        <v>44187.595960648148</v>
      </c>
    </row>
    <row r="1563" spans="1:10" ht="12.75" customHeight="1" x14ac:dyDescent="0.3">
      <c r="A1563">
        <v>1333875</v>
      </c>
      <c r="B1563" t="s">
        <v>36</v>
      </c>
      <c r="C1563" t="s">
        <v>3335</v>
      </c>
      <c r="D1563" t="s">
        <v>3336</v>
      </c>
      <c r="E1563" s="1" t="s">
        <v>3337</v>
      </c>
      <c r="F1563">
        <f>VLOOKUP(A1563,Classifications!$A:$E,5,FALSE)</f>
        <v>2</v>
      </c>
      <c r="G1563">
        <f>VLOOKUP(A1563,Classifications!$A:$F,6,FALSE)</f>
        <v>2</v>
      </c>
      <c r="H1563">
        <f>VLOOKUP(A1563,Classifications!$A:$G,7,FALSE)</f>
        <v>41</v>
      </c>
      <c r="I1563" t="s">
        <v>24</v>
      </c>
      <c r="J1563" s="2">
        <v>44187.566099537034</v>
      </c>
    </row>
    <row r="1564" spans="1:10" ht="12.75" customHeight="1" x14ac:dyDescent="0.3">
      <c r="A1564">
        <v>1333833</v>
      </c>
      <c r="B1564" t="s">
        <v>7</v>
      </c>
      <c r="C1564" t="s">
        <v>107</v>
      </c>
      <c r="D1564" t="s">
        <v>737</v>
      </c>
      <c r="E1564" s="1" t="s">
        <v>3338</v>
      </c>
      <c r="F1564">
        <f>VLOOKUP(A1564,Classifications!$A:$E,5,FALSE)</f>
        <v>2</v>
      </c>
      <c r="G1564">
        <f>VLOOKUP(A1564,Classifications!$A:$F,6,FALSE)</f>
        <v>2</v>
      </c>
      <c r="H1564">
        <f>VLOOKUP(A1564,Classifications!$A:$G,7,FALSE)</f>
        <v>41</v>
      </c>
      <c r="I1564" t="s">
        <v>11</v>
      </c>
      <c r="J1564" s="2">
        <v>44187.476030092592</v>
      </c>
    </row>
    <row r="1565" spans="1:10" ht="12.75" customHeight="1" x14ac:dyDescent="0.3">
      <c r="A1565">
        <v>1333828</v>
      </c>
      <c r="B1565" t="s">
        <v>157</v>
      </c>
      <c r="C1565" t="s">
        <v>414</v>
      </c>
      <c r="D1565" t="s">
        <v>3339</v>
      </c>
      <c r="E1565" s="1" t="s">
        <v>3340</v>
      </c>
      <c r="F1565">
        <f>VLOOKUP(A1565,Classifications!$A:$E,5,FALSE)</f>
        <v>1</v>
      </c>
      <c r="G1565">
        <f>VLOOKUP(A1565,Classifications!$A:$F,6,FALSE)</f>
        <v>1</v>
      </c>
      <c r="H1565">
        <f>VLOOKUP(A1565,Classifications!$A:$G,7,FALSE)</f>
        <v>43</v>
      </c>
      <c r="I1565" t="s">
        <v>11</v>
      </c>
      <c r="J1565" s="2">
        <v>44187.457303240742</v>
      </c>
    </row>
    <row r="1566" spans="1:10" ht="12.75" customHeight="1" x14ac:dyDescent="0.3">
      <c r="A1566">
        <v>1333825</v>
      </c>
      <c r="B1566" t="s">
        <v>7</v>
      </c>
      <c r="C1566" t="s">
        <v>158</v>
      </c>
      <c r="D1566" t="s">
        <v>737</v>
      </c>
      <c r="E1566" s="1" t="s">
        <v>3341</v>
      </c>
      <c r="F1566">
        <f>VLOOKUP(A1566,Classifications!$A:$E,5,FALSE)</f>
        <v>1</v>
      </c>
      <c r="G1566">
        <f>VLOOKUP(A1566,Classifications!$A:$F,6,FALSE)</f>
        <v>1</v>
      </c>
      <c r="H1566">
        <f>VLOOKUP(A1566,Classifications!$A:$G,7,FALSE)</f>
        <v>41</v>
      </c>
      <c r="I1566" t="s">
        <v>11</v>
      </c>
      <c r="J1566" s="2">
        <v>44187.444814814815</v>
      </c>
    </row>
    <row r="1567" spans="1:10" ht="12.75" customHeight="1" x14ac:dyDescent="0.3">
      <c r="A1567">
        <v>1333818</v>
      </c>
      <c r="B1567" t="s">
        <v>503</v>
      </c>
      <c r="D1567" t="s">
        <v>3342</v>
      </c>
      <c r="E1567" s="1" t="s">
        <v>3343</v>
      </c>
      <c r="F1567">
        <f>VLOOKUP(A1567,Classifications!$A:$E,5,FALSE)</f>
        <v>1</v>
      </c>
      <c r="G1567">
        <f>VLOOKUP(A1567,Classifications!$A:$F,6,FALSE)</f>
        <v>1</v>
      </c>
      <c r="H1567">
        <f>VLOOKUP(A1567,Classifications!$A:$G,7,FALSE)</f>
        <v>36</v>
      </c>
      <c r="I1567" t="s">
        <v>11</v>
      </c>
      <c r="J1567" s="2">
        <v>44187.429560185185</v>
      </c>
    </row>
    <row r="1568" spans="1:10" ht="12.75" customHeight="1" x14ac:dyDescent="0.3">
      <c r="A1568">
        <v>1333778</v>
      </c>
      <c r="B1568" t="s">
        <v>16</v>
      </c>
      <c r="C1568" t="s">
        <v>394</v>
      </c>
      <c r="D1568" t="s">
        <v>3344</v>
      </c>
      <c r="E1568" s="1" t="s">
        <v>3345</v>
      </c>
      <c r="F1568">
        <f>VLOOKUP(A1568,Classifications!$A:$E,5,FALSE)</f>
        <v>1</v>
      </c>
      <c r="G1568">
        <f>VLOOKUP(A1568,Classifications!$A:$F,6,FALSE)</f>
        <v>1</v>
      </c>
      <c r="H1568">
        <f>VLOOKUP(A1568,Classifications!$A:$G,7,FALSE)</f>
        <v>43</v>
      </c>
      <c r="I1568" t="s">
        <v>11</v>
      </c>
      <c r="J1568" s="2">
        <v>44187.414687500001</v>
      </c>
    </row>
    <row r="1569" spans="1:10" ht="12.75" customHeight="1" x14ac:dyDescent="0.3">
      <c r="A1569">
        <v>1333776</v>
      </c>
      <c r="B1569" t="s">
        <v>7</v>
      </c>
      <c r="C1569" t="s">
        <v>158</v>
      </c>
      <c r="D1569" t="s">
        <v>737</v>
      </c>
      <c r="E1569" s="1" t="s">
        <v>3346</v>
      </c>
      <c r="F1569">
        <f>VLOOKUP(A1569,Classifications!$A:$E,5,FALSE)</f>
        <v>1</v>
      </c>
      <c r="G1569">
        <f>VLOOKUP(A1569,Classifications!$A:$F,6,FALSE)</f>
        <v>1</v>
      </c>
      <c r="H1569">
        <f>VLOOKUP(A1569,Classifications!$A:$G,7,FALSE)</f>
        <v>41</v>
      </c>
      <c r="I1569" t="s">
        <v>11</v>
      </c>
      <c r="J1569" s="2">
        <v>44187.400879629633</v>
      </c>
    </row>
    <row r="1570" spans="1:10" ht="12.75" customHeight="1" x14ac:dyDescent="0.3">
      <c r="A1570">
        <v>1333772</v>
      </c>
      <c r="B1570" t="s">
        <v>36</v>
      </c>
      <c r="C1570" t="s">
        <v>700</v>
      </c>
      <c r="D1570" t="s">
        <v>3347</v>
      </c>
      <c r="E1570" s="1" t="s">
        <v>3348</v>
      </c>
      <c r="F1570">
        <f>VLOOKUP(A1570,Classifications!$A:$E,5,FALSE)</f>
        <v>2</v>
      </c>
      <c r="G1570">
        <f>VLOOKUP(A1570,Classifications!$A:$F,6,FALSE)</f>
        <v>2</v>
      </c>
      <c r="H1570">
        <f>VLOOKUP(A1570,Classifications!$A:$G,7,FALSE)</f>
        <v>41</v>
      </c>
      <c r="I1570" t="s">
        <v>11</v>
      </c>
      <c r="J1570" s="2">
        <v>44187.382986111108</v>
      </c>
    </row>
    <row r="1571" spans="1:10" ht="12.75" customHeight="1" x14ac:dyDescent="0.3">
      <c r="A1571">
        <v>1333758</v>
      </c>
      <c r="B1571" t="s">
        <v>91</v>
      </c>
      <c r="C1571" t="s">
        <v>480</v>
      </c>
      <c r="D1571" t="s">
        <v>3349</v>
      </c>
      <c r="E1571" s="1" t="s">
        <v>3350</v>
      </c>
      <c r="F1571">
        <f>VLOOKUP(A1571,Classifications!$A:$E,5,FALSE)</f>
        <v>1</v>
      </c>
      <c r="G1571">
        <f>VLOOKUP(A1571,Classifications!$A:$F,6,FALSE)</f>
        <v>1</v>
      </c>
      <c r="H1571">
        <f>VLOOKUP(A1571,Classifications!$A:$G,7,FALSE)</f>
        <v>43</v>
      </c>
      <c r="I1571" t="s">
        <v>11</v>
      </c>
      <c r="J1571" s="2">
        <v>44187.366875</v>
      </c>
    </row>
    <row r="1572" spans="1:10" ht="12.75" customHeight="1" x14ac:dyDescent="0.3">
      <c r="A1572">
        <v>1333716</v>
      </c>
      <c r="B1572" t="s">
        <v>7</v>
      </c>
      <c r="C1572" t="s">
        <v>3351</v>
      </c>
      <c r="D1572" t="s">
        <v>3352</v>
      </c>
      <c r="E1572" s="1" t="s">
        <v>3353</v>
      </c>
      <c r="F1572">
        <f>VLOOKUP(A1572,Classifications!$A:$E,5,FALSE)</f>
        <v>1</v>
      </c>
      <c r="G1572">
        <f>VLOOKUP(A1572,Classifications!$A:$F,6,FALSE)</f>
        <v>1</v>
      </c>
      <c r="H1572">
        <f>VLOOKUP(A1572,Classifications!$A:$G,7,FALSE)</f>
        <v>43</v>
      </c>
      <c r="I1572" t="s">
        <v>24</v>
      </c>
      <c r="J1572" s="2">
        <v>44187.277280092596</v>
      </c>
    </row>
    <row r="1573" spans="1:10" ht="12.75" customHeight="1" x14ac:dyDescent="0.3">
      <c r="A1573">
        <v>1333700</v>
      </c>
      <c r="B1573" t="s">
        <v>503</v>
      </c>
      <c r="D1573" t="s">
        <v>3354</v>
      </c>
      <c r="E1573" s="1" t="s">
        <v>3355</v>
      </c>
      <c r="F1573">
        <f>VLOOKUP(A1573,Classifications!$A:$E,5,FALSE)</f>
        <v>1</v>
      </c>
      <c r="G1573">
        <f>VLOOKUP(A1573,Classifications!$A:$F,6,FALSE)</f>
        <v>1</v>
      </c>
      <c r="H1573">
        <f>VLOOKUP(A1573,Classifications!$A:$G,7,FALSE)</f>
        <v>36</v>
      </c>
      <c r="I1573" t="s">
        <v>11</v>
      </c>
      <c r="J1573" s="2">
        <v>44187.176898148151</v>
      </c>
    </row>
    <row r="1574" spans="1:10" ht="12.75" customHeight="1" x14ac:dyDescent="0.3">
      <c r="A1574">
        <v>1333450</v>
      </c>
      <c r="B1574" t="s">
        <v>157</v>
      </c>
      <c r="C1574" t="s">
        <v>627</v>
      </c>
      <c r="D1574" t="s">
        <v>3356</v>
      </c>
      <c r="E1574" s="1" t="s">
        <v>3357</v>
      </c>
      <c r="F1574">
        <f>VLOOKUP(A1574,Classifications!$A:$E,5,FALSE)</f>
        <v>3</v>
      </c>
      <c r="G1574">
        <f>VLOOKUP(A1574,Classifications!$A:$F,6,FALSE)</f>
        <v>3</v>
      </c>
      <c r="H1574">
        <f>VLOOKUP(A1574,Classifications!$A:$G,7,FALSE)</f>
        <v>43</v>
      </c>
      <c r="I1574" t="s">
        <v>11</v>
      </c>
      <c r="J1574" s="2">
        <v>44186.757465277777</v>
      </c>
    </row>
    <row r="1575" spans="1:10" ht="12.75" customHeight="1" x14ac:dyDescent="0.3">
      <c r="A1575">
        <v>1333431</v>
      </c>
      <c r="B1575" t="s">
        <v>2635</v>
      </c>
      <c r="C1575" t="s">
        <v>2636</v>
      </c>
      <c r="D1575" t="s">
        <v>3358</v>
      </c>
      <c r="E1575" s="1" t="s">
        <v>3359</v>
      </c>
      <c r="F1575">
        <f>VLOOKUP(A1575,Classifications!$A:$E,5,FALSE)</f>
        <v>1</v>
      </c>
      <c r="G1575">
        <f>VLOOKUP(A1575,Classifications!$A:$F,6,FALSE)</f>
        <v>1</v>
      </c>
      <c r="H1575">
        <f>VLOOKUP(A1575,Classifications!$A:$G,7,FALSE)</f>
        <v>36</v>
      </c>
      <c r="I1575" t="s">
        <v>11</v>
      </c>
      <c r="J1575" s="2">
        <v>44186.745358796295</v>
      </c>
    </row>
    <row r="1576" spans="1:10" ht="12.75" customHeight="1" x14ac:dyDescent="0.3">
      <c r="A1576">
        <v>1333398</v>
      </c>
      <c r="B1576" t="s">
        <v>281</v>
      </c>
      <c r="C1576" t="s">
        <v>3360</v>
      </c>
      <c r="D1576" t="s">
        <v>3361</v>
      </c>
      <c r="E1576" s="1" t="s">
        <v>3362</v>
      </c>
      <c r="F1576">
        <f>VLOOKUP(A1576,Classifications!$A:$E,5,FALSE)</f>
        <v>3</v>
      </c>
      <c r="G1576">
        <f>VLOOKUP(A1576,Classifications!$A:$F,6,FALSE)</f>
        <v>2</v>
      </c>
      <c r="H1576">
        <f>VLOOKUP(A1576,Classifications!$A:$G,7,FALSE)</f>
        <v>41</v>
      </c>
      <c r="I1576" t="s">
        <v>11</v>
      </c>
      <c r="J1576" s="2">
        <v>44186.657500000001</v>
      </c>
    </row>
    <row r="1577" spans="1:10" ht="12.75" customHeight="1" x14ac:dyDescent="0.3">
      <c r="A1577">
        <v>1333388</v>
      </c>
      <c r="B1577" t="s">
        <v>36</v>
      </c>
      <c r="C1577" t="s">
        <v>164</v>
      </c>
      <c r="D1577" t="s">
        <v>3363</v>
      </c>
      <c r="E1577" s="1" t="s">
        <v>3364</v>
      </c>
      <c r="F1577">
        <f>VLOOKUP(A1577,Classifications!$A:$E,5,FALSE)</f>
        <v>3</v>
      </c>
      <c r="G1577">
        <f>VLOOKUP(A1577,Classifications!$A:$F,6,FALSE)</f>
        <v>2</v>
      </c>
      <c r="H1577">
        <f>VLOOKUP(A1577,Classifications!$A:$G,7,FALSE)</f>
        <v>43</v>
      </c>
      <c r="I1577" t="s">
        <v>24</v>
      </c>
      <c r="J1577" s="2">
        <v>44186.638055555559</v>
      </c>
    </row>
    <row r="1578" spans="1:10" ht="12.75" customHeight="1" x14ac:dyDescent="0.3">
      <c r="A1578">
        <v>1333372</v>
      </c>
      <c r="B1578" t="s">
        <v>20</v>
      </c>
      <c r="C1578" t="s">
        <v>136</v>
      </c>
      <c r="D1578" t="s">
        <v>3365</v>
      </c>
      <c r="E1578" s="1" t="s">
        <v>3366</v>
      </c>
      <c r="F1578">
        <f>VLOOKUP(A1578,Classifications!$A:$E,5,FALSE)</f>
        <v>1</v>
      </c>
      <c r="G1578">
        <f>VLOOKUP(A1578,Classifications!$A:$F,6,FALSE)</f>
        <v>1</v>
      </c>
      <c r="H1578">
        <f>VLOOKUP(A1578,Classifications!$A:$G,7,FALSE)</f>
        <v>43</v>
      </c>
      <c r="I1578" t="s">
        <v>11</v>
      </c>
      <c r="J1578" s="2">
        <v>44186.600821759261</v>
      </c>
    </row>
    <row r="1579" spans="1:10" ht="12.75" customHeight="1" x14ac:dyDescent="0.3">
      <c r="A1579">
        <v>1333355</v>
      </c>
      <c r="B1579" t="s">
        <v>70</v>
      </c>
      <c r="C1579" t="s">
        <v>581</v>
      </c>
      <c r="D1579" t="s">
        <v>3367</v>
      </c>
      <c r="E1579" s="1" t="s">
        <v>3368</v>
      </c>
      <c r="F1579">
        <f>VLOOKUP(A1579,Classifications!$A:$E,5,FALSE)</f>
        <v>2</v>
      </c>
      <c r="G1579">
        <f>VLOOKUP(A1579,Classifications!$A:$F,6,FALSE)</f>
        <v>1</v>
      </c>
      <c r="H1579">
        <f>VLOOKUP(A1579,Classifications!$A:$G,7,FALSE)</f>
        <v>43</v>
      </c>
      <c r="I1579" t="s">
        <v>11</v>
      </c>
      <c r="J1579" s="2">
        <v>44186.554699074077</v>
      </c>
    </row>
    <row r="1580" spans="1:10" ht="12.75" customHeight="1" x14ac:dyDescent="0.3">
      <c r="A1580">
        <v>1333351</v>
      </c>
      <c r="B1580" t="s">
        <v>53</v>
      </c>
      <c r="C1580" t="s">
        <v>54</v>
      </c>
      <c r="D1580" t="s">
        <v>3369</v>
      </c>
      <c r="E1580" s="1" t="s">
        <v>3370</v>
      </c>
      <c r="F1580">
        <f>VLOOKUP(A1580,Classifications!$A:$E,5,FALSE)</f>
        <v>1</v>
      </c>
      <c r="G1580">
        <f>VLOOKUP(A1580,Classifications!$A:$F,6,FALSE)</f>
        <v>1</v>
      </c>
      <c r="H1580">
        <f>VLOOKUP(A1580,Classifications!$A:$G,7,FALSE)</f>
        <v>43</v>
      </c>
      <c r="I1580" t="s">
        <v>11</v>
      </c>
      <c r="J1580" s="2">
        <v>44186.526712962965</v>
      </c>
    </row>
    <row r="1581" spans="1:10" ht="12.75" customHeight="1" x14ac:dyDescent="0.3">
      <c r="A1581">
        <v>1333339</v>
      </c>
      <c r="B1581" t="s">
        <v>1079</v>
      </c>
      <c r="C1581" t="s">
        <v>1080</v>
      </c>
      <c r="D1581" t="s">
        <v>3371</v>
      </c>
      <c r="E1581" s="1" t="s">
        <v>3372</v>
      </c>
      <c r="F1581">
        <f>VLOOKUP(A1581,Classifications!$A:$E,5,FALSE)</f>
        <v>2</v>
      </c>
      <c r="G1581">
        <f>VLOOKUP(A1581,Classifications!$A:$F,6,FALSE)</f>
        <v>3</v>
      </c>
      <c r="H1581">
        <f>VLOOKUP(A1581,Classifications!$A:$G,7,FALSE)</f>
        <v>43</v>
      </c>
      <c r="I1581" t="s">
        <v>24</v>
      </c>
      <c r="J1581" s="2">
        <v>44186.491712962961</v>
      </c>
    </row>
    <row r="1582" spans="1:10" ht="12.75" customHeight="1" x14ac:dyDescent="0.3">
      <c r="A1582">
        <v>1333327</v>
      </c>
      <c r="B1582" t="s">
        <v>982</v>
      </c>
      <c r="C1582" t="s">
        <v>1567</v>
      </c>
      <c r="D1582" t="s">
        <v>3373</v>
      </c>
      <c r="E1582" s="1" t="s">
        <v>3374</v>
      </c>
      <c r="F1582">
        <f>VLOOKUP(A1582,Classifications!$A:$E,5,FALSE)</f>
        <v>2</v>
      </c>
      <c r="G1582">
        <f>VLOOKUP(A1582,Classifications!$A:$F,6,FALSE)</f>
        <v>2</v>
      </c>
      <c r="H1582">
        <f>VLOOKUP(A1582,Classifications!$A:$G,7,FALSE)</f>
        <v>43</v>
      </c>
      <c r="I1582" t="s">
        <v>24</v>
      </c>
      <c r="J1582" s="2">
        <v>44186.477361111109</v>
      </c>
    </row>
    <row r="1583" spans="1:10" ht="12.75" customHeight="1" x14ac:dyDescent="0.3">
      <c r="A1583">
        <v>1333324</v>
      </c>
      <c r="B1583" t="s">
        <v>16</v>
      </c>
      <c r="C1583" t="s">
        <v>158</v>
      </c>
      <c r="D1583" t="s">
        <v>3375</v>
      </c>
      <c r="E1583" s="1" t="s">
        <v>3376</v>
      </c>
      <c r="F1583">
        <f>VLOOKUP(A1583,Classifications!$A:$E,5,FALSE)</f>
        <v>1</v>
      </c>
      <c r="G1583">
        <f>VLOOKUP(A1583,Classifications!$A:$F,6,FALSE)</f>
        <v>1</v>
      </c>
      <c r="H1583">
        <f>VLOOKUP(A1583,Classifications!$A:$G,7,FALSE)</f>
        <v>43</v>
      </c>
      <c r="I1583" t="s">
        <v>24</v>
      </c>
      <c r="J1583" s="2">
        <v>44186.455000000002</v>
      </c>
    </row>
    <row r="1584" spans="1:10" ht="12.75" customHeight="1" x14ac:dyDescent="0.3">
      <c r="A1584">
        <v>1333322</v>
      </c>
      <c r="B1584" t="s">
        <v>614</v>
      </c>
      <c r="C1584" t="s">
        <v>2489</v>
      </c>
      <c r="D1584" t="s">
        <v>3377</v>
      </c>
      <c r="E1584" s="1" t="s">
        <v>3378</v>
      </c>
      <c r="F1584">
        <f>VLOOKUP(A1584,Classifications!$A:$E,5,FALSE)</f>
        <v>2</v>
      </c>
      <c r="G1584">
        <f>VLOOKUP(A1584,Classifications!$A:$F,6,FALSE)</f>
        <v>2</v>
      </c>
      <c r="H1584">
        <f>VLOOKUP(A1584,Classifications!$A:$G,7,FALSE)</f>
        <v>41</v>
      </c>
      <c r="I1584" t="s">
        <v>11</v>
      </c>
      <c r="J1584" s="2">
        <v>44186.451944444445</v>
      </c>
    </row>
    <row r="1585" spans="1:10" ht="12.75" customHeight="1" x14ac:dyDescent="0.3">
      <c r="A1585">
        <v>1333317</v>
      </c>
      <c r="B1585" t="s">
        <v>53</v>
      </c>
      <c r="C1585" t="s">
        <v>158</v>
      </c>
      <c r="D1585" t="s">
        <v>3379</v>
      </c>
      <c r="E1585" s="1" t="s">
        <v>3380</v>
      </c>
      <c r="F1585">
        <f>VLOOKUP(A1585,Classifications!$A:$E,5,FALSE)</f>
        <v>1</v>
      </c>
      <c r="G1585">
        <f>VLOOKUP(A1585,Classifications!$A:$F,6,FALSE)</f>
        <v>1</v>
      </c>
      <c r="H1585">
        <f>VLOOKUP(A1585,Classifications!$A:$G,7,FALSE)</f>
        <v>43</v>
      </c>
      <c r="I1585" t="s">
        <v>24</v>
      </c>
      <c r="J1585" s="2">
        <v>44186.44091435185</v>
      </c>
    </row>
    <row r="1586" spans="1:10" ht="12.75" customHeight="1" x14ac:dyDescent="0.3">
      <c r="A1586">
        <v>1333280</v>
      </c>
      <c r="B1586" t="s">
        <v>281</v>
      </c>
      <c r="C1586" t="s">
        <v>1222</v>
      </c>
      <c r="D1586" t="s">
        <v>3381</v>
      </c>
      <c r="E1586" s="1" t="s">
        <v>3382</v>
      </c>
      <c r="F1586">
        <f>VLOOKUP(A1586,Classifications!$A:$E,5,FALSE)</f>
        <v>2</v>
      </c>
      <c r="G1586">
        <f>VLOOKUP(A1586,Classifications!$A:$F,6,FALSE)</f>
        <v>3</v>
      </c>
      <c r="H1586">
        <f>VLOOKUP(A1586,Classifications!$A:$G,7,FALSE)</f>
        <v>41</v>
      </c>
      <c r="I1586" t="s">
        <v>11</v>
      </c>
      <c r="J1586" s="2">
        <v>44186.413784722223</v>
      </c>
    </row>
    <row r="1587" spans="1:10" ht="12.75" customHeight="1" x14ac:dyDescent="0.3">
      <c r="A1587">
        <v>1333273</v>
      </c>
      <c r="B1587" t="s">
        <v>16</v>
      </c>
      <c r="C1587" t="s">
        <v>3383</v>
      </c>
      <c r="D1587" t="s">
        <v>3384</v>
      </c>
      <c r="E1587" s="1" t="s">
        <v>3385</v>
      </c>
      <c r="F1587">
        <f>VLOOKUP(A1587,Classifications!$A:$E,5,FALSE)</f>
        <v>1</v>
      </c>
      <c r="G1587">
        <f>VLOOKUP(A1587,Classifications!$A:$F,6,FALSE)</f>
        <v>1</v>
      </c>
      <c r="H1587">
        <f>VLOOKUP(A1587,Classifications!$A:$G,7,FALSE)</f>
        <v>41</v>
      </c>
      <c r="I1587" t="s">
        <v>11</v>
      </c>
      <c r="J1587" s="2">
        <v>44186.405624999999</v>
      </c>
    </row>
    <row r="1588" spans="1:10" ht="12.75" customHeight="1" x14ac:dyDescent="0.3">
      <c r="A1588">
        <v>1333262</v>
      </c>
      <c r="B1588" t="s">
        <v>70</v>
      </c>
      <c r="C1588" t="s">
        <v>3386</v>
      </c>
      <c r="D1588" t="s">
        <v>3387</v>
      </c>
      <c r="E1588" s="1" t="s">
        <v>3388</v>
      </c>
      <c r="F1588">
        <f>VLOOKUP(A1588,Classifications!$A:$E,5,FALSE)</f>
        <v>1</v>
      </c>
      <c r="G1588">
        <f>VLOOKUP(A1588,Classifications!$A:$F,6,FALSE)</f>
        <v>1</v>
      </c>
      <c r="H1588">
        <f>VLOOKUP(A1588,Classifications!$A:$G,7,FALSE)</f>
        <v>41</v>
      </c>
      <c r="I1588" t="s">
        <v>11</v>
      </c>
      <c r="J1588" s="2">
        <v>44186.390150462961</v>
      </c>
    </row>
    <row r="1589" spans="1:10" ht="12.75" customHeight="1" x14ac:dyDescent="0.3">
      <c r="A1589">
        <v>1333195</v>
      </c>
      <c r="B1589" t="s">
        <v>7</v>
      </c>
      <c r="C1589" t="s">
        <v>107</v>
      </c>
      <c r="D1589" t="s">
        <v>3389</v>
      </c>
      <c r="E1589" s="1" t="s">
        <v>3390</v>
      </c>
      <c r="F1589">
        <f>VLOOKUP(A1589,Classifications!$A:$E,5,FALSE)</f>
        <v>1</v>
      </c>
      <c r="G1589">
        <f>VLOOKUP(A1589,Classifications!$A:$F,6,FALSE)</f>
        <v>1</v>
      </c>
      <c r="H1589">
        <f>VLOOKUP(A1589,Classifications!$A:$G,7,FALSE)</f>
        <v>41</v>
      </c>
      <c r="I1589" t="s">
        <v>11</v>
      </c>
      <c r="J1589" s="2">
        <v>44186.345555555556</v>
      </c>
    </row>
    <row r="1590" spans="1:10" ht="12.75" customHeight="1" x14ac:dyDescent="0.3">
      <c r="A1590">
        <v>1333194</v>
      </c>
      <c r="B1590" t="s">
        <v>1825</v>
      </c>
      <c r="C1590" t="s">
        <v>3391</v>
      </c>
      <c r="D1590" t="s">
        <v>3392</v>
      </c>
      <c r="E1590" s="1" t="s">
        <v>3393</v>
      </c>
      <c r="F1590">
        <f>VLOOKUP(A1590,Classifications!$A:$E,5,FALSE)</f>
        <v>1</v>
      </c>
      <c r="G1590">
        <f>VLOOKUP(A1590,Classifications!$A:$F,6,FALSE)</f>
        <v>1</v>
      </c>
      <c r="H1590">
        <f>VLOOKUP(A1590,Classifications!$A:$G,7,FALSE)</f>
        <v>41</v>
      </c>
      <c r="I1590" t="s">
        <v>11</v>
      </c>
      <c r="J1590" s="2">
        <v>44186.344826388886</v>
      </c>
    </row>
    <row r="1591" spans="1:10" ht="12.75" customHeight="1" x14ac:dyDescent="0.3">
      <c r="A1591">
        <v>1333185</v>
      </c>
      <c r="B1591" t="s">
        <v>7</v>
      </c>
      <c r="C1591" t="s">
        <v>158</v>
      </c>
      <c r="D1591" t="s">
        <v>3394</v>
      </c>
      <c r="E1591" s="1" t="s">
        <v>3395</v>
      </c>
      <c r="F1591">
        <f>VLOOKUP(A1591,Classifications!$A:$E,5,FALSE)</f>
        <v>2</v>
      </c>
      <c r="G1591">
        <f>VLOOKUP(A1591,Classifications!$A:$F,6,FALSE)</f>
        <v>2</v>
      </c>
      <c r="H1591">
        <f>VLOOKUP(A1591,Classifications!$A:$G,7,FALSE)</f>
        <v>41</v>
      </c>
      <c r="I1591" t="s">
        <v>11</v>
      </c>
      <c r="J1591" s="2">
        <v>44186.340775462966</v>
      </c>
    </row>
    <row r="1592" spans="1:10" ht="12.75" customHeight="1" x14ac:dyDescent="0.3">
      <c r="A1592">
        <v>1333165</v>
      </c>
      <c r="B1592" t="s">
        <v>7</v>
      </c>
      <c r="C1592" t="s">
        <v>3396</v>
      </c>
      <c r="D1592" t="s">
        <v>3397</v>
      </c>
      <c r="E1592" s="1" t="s">
        <v>3398</v>
      </c>
      <c r="F1592">
        <f>VLOOKUP(A1592,Classifications!$A:$E,5,FALSE)</f>
        <v>2</v>
      </c>
      <c r="G1592">
        <f>VLOOKUP(A1592,Classifications!$A:$F,6,FALSE)</f>
        <v>2</v>
      </c>
      <c r="H1592">
        <f>VLOOKUP(A1592,Classifications!$A:$G,7,FALSE)</f>
        <v>41</v>
      </c>
      <c r="I1592" t="s">
        <v>24</v>
      </c>
      <c r="J1592" s="2">
        <v>44186.305601851855</v>
      </c>
    </row>
    <row r="1593" spans="1:10" ht="12.75" customHeight="1" x14ac:dyDescent="0.3">
      <c r="A1593">
        <v>1333159</v>
      </c>
      <c r="B1593" t="s">
        <v>16</v>
      </c>
      <c r="C1593" t="s">
        <v>649</v>
      </c>
      <c r="D1593" t="s">
        <v>3399</v>
      </c>
      <c r="E1593" s="1" t="s">
        <v>3400</v>
      </c>
      <c r="F1593">
        <f>VLOOKUP(A1593,Classifications!$A:$E,5,FALSE)</f>
        <v>2</v>
      </c>
      <c r="G1593">
        <f>VLOOKUP(A1593,Classifications!$A:$F,6,FALSE)</f>
        <v>2</v>
      </c>
      <c r="H1593">
        <f>VLOOKUP(A1593,Classifications!$A:$G,7,FALSE)</f>
        <v>41</v>
      </c>
      <c r="I1593" t="s">
        <v>11</v>
      </c>
      <c r="J1593" s="2">
        <v>44186.274745370371</v>
      </c>
    </row>
    <row r="1594" spans="1:10" ht="12.75" customHeight="1" x14ac:dyDescent="0.3">
      <c r="A1594">
        <v>1332785</v>
      </c>
      <c r="B1594" t="s">
        <v>335</v>
      </c>
      <c r="C1594" t="s">
        <v>2904</v>
      </c>
      <c r="D1594" t="s">
        <v>3401</v>
      </c>
      <c r="E1594" s="1" t="s">
        <v>3402</v>
      </c>
      <c r="F1594">
        <f>VLOOKUP(A1594,Classifications!$A:$E,5,FALSE)</f>
        <v>1</v>
      </c>
      <c r="G1594">
        <f>VLOOKUP(A1594,Classifications!$A:$F,6,FALSE)</f>
        <v>3</v>
      </c>
      <c r="H1594">
        <f>VLOOKUP(A1594,Classifications!$A:$G,7,FALSE)</f>
        <v>41</v>
      </c>
      <c r="I1594" t="s">
        <v>11</v>
      </c>
      <c r="J1594" s="2">
        <v>44185.438298611109</v>
      </c>
    </row>
    <row r="1595" spans="1:10" ht="12.75" customHeight="1" x14ac:dyDescent="0.3">
      <c r="A1595">
        <v>1332648</v>
      </c>
      <c r="B1595" t="s">
        <v>1782</v>
      </c>
      <c r="C1595" t="s">
        <v>2841</v>
      </c>
      <c r="D1595" t="s">
        <v>1156</v>
      </c>
      <c r="E1595" s="1" t="s">
        <v>1157</v>
      </c>
      <c r="F1595">
        <f>VLOOKUP(A1595,Classifications!$A:$E,5,FALSE)</f>
        <v>1</v>
      </c>
      <c r="G1595">
        <f>VLOOKUP(A1595,Classifications!$A:$F,6,FALSE)</f>
        <v>1</v>
      </c>
      <c r="H1595">
        <f>VLOOKUP(A1595,Classifications!$A:$G,7,FALSE)</f>
        <v>36</v>
      </c>
      <c r="I1595" t="s">
        <v>1158</v>
      </c>
      <c r="J1595" s="2">
        <v>44185.000069444446</v>
      </c>
    </row>
    <row r="1596" spans="1:10" ht="12.75" customHeight="1" x14ac:dyDescent="0.3">
      <c r="A1596">
        <v>1332647</v>
      </c>
      <c r="B1596" t="s">
        <v>2780</v>
      </c>
      <c r="C1596" t="s">
        <v>2781</v>
      </c>
      <c r="D1596" t="s">
        <v>1429</v>
      </c>
      <c r="E1596" s="1" t="s">
        <v>1160</v>
      </c>
      <c r="F1596">
        <f>VLOOKUP(A1596,Classifications!$A:$E,5,FALSE)</f>
        <v>1</v>
      </c>
      <c r="G1596">
        <f>VLOOKUP(A1596,Classifications!$A:$F,6,FALSE)</f>
        <v>1</v>
      </c>
      <c r="H1596">
        <f>VLOOKUP(A1596,Classifications!$A:$G,7,FALSE)</f>
        <v>36</v>
      </c>
      <c r="I1596" t="s">
        <v>1158</v>
      </c>
      <c r="J1596" s="2">
        <v>44185.000057870369</v>
      </c>
    </row>
    <row r="1597" spans="1:10" ht="12.75" customHeight="1" x14ac:dyDescent="0.3">
      <c r="A1597">
        <v>1332320</v>
      </c>
      <c r="B1597" t="s">
        <v>139</v>
      </c>
      <c r="C1597" t="s">
        <v>2846</v>
      </c>
      <c r="D1597" t="s">
        <v>1156</v>
      </c>
      <c r="E1597" s="1" t="s">
        <v>1157</v>
      </c>
      <c r="F1597">
        <f>VLOOKUP(A1597,Classifications!$A:$E,5,FALSE)</f>
        <v>1</v>
      </c>
      <c r="G1597">
        <f>VLOOKUP(A1597,Classifications!$A:$F,6,FALSE)</f>
        <v>1</v>
      </c>
      <c r="H1597">
        <f>VLOOKUP(A1597,Classifications!$A:$G,7,FALSE)</f>
        <v>36</v>
      </c>
      <c r="I1597" t="s">
        <v>1158</v>
      </c>
      <c r="J1597" s="2">
        <v>44184.000092592592</v>
      </c>
    </row>
    <row r="1598" spans="1:10" ht="12.75" customHeight="1" x14ac:dyDescent="0.3">
      <c r="A1598">
        <v>1332319</v>
      </c>
      <c r="B1598" t="s">
        <v>16</v>
      </c>
      <c r="C1598" t="s">
        <v>181</v>
      </c>
      <c r="D1598" t="s">
        <v>1429</v>
      </c>
      <c r="E1598" s="1" t="s">
        <v>1160</v>
      </c>
      <c r="F1598">
        <f>VLOOKUP(A1598,Classifications!$A:$E,5,FALSE)</f>
        <v>1</v>
      </c>
      <c r="G1598">
        <f>VLOOKUP(A1598,Classifications!$A:$F,6,FALSE)</f>
        <v>1</v>
      </c>
      <c r="H1598">
        <f>VLOOKUP(A1598,Classifications!$A:$G,7,FALSE)</f>
        <v>36</v>
      </c>
      <c r="I1598" t="s">
        <v>1158</v>
      </c>
      <c r="J1598" s="2">
        <v>44184.000081018516</v>
      </c>
    </row>
    <row r="1599" spans="1:10" ht="12.75" customHeight="1" x14ac:dyDescent="0.3">
      <c r="A1599">
        <v>1332082</v>
      </c>
      <c r="B1599" t="s">
        <v>36</v>
      </c>
      <c r="C1599" t="s">
        <v>3403</v>
      </c>
      <c r="D1599" t="s">
        <v>3404</v>
      </c>
      <c r="E1599" s="1" t="s">
        <v>3405</v>
      </c>
      <c r="F1599">
        <f>VLOOKUP(A1599,Classifications!$A:$E,5,FALSE)</f>
        <v>2</v>
      </c>
      <c r="G1599">
        <f>VLOOKUP(A1599,Classifications!$A:$F,6,FALSE)</f>
        <v>2</v>
      </c>
      <c r="H1599">
        <f>VLOOKUP(A1599,Classifications!$A:$G,7,FALSE)</f>
        <v>41</v>
      </c>
      <c r="I1599" t="s">
        <v>24</v>
      </c>
      <c r="J1599" s="2">
        <v>44183.707025462965</v>
      </c>
    </row>
    <row r="1600" spans="1:10" ht="12.75" customHeight="1" x14ac:dyDescent="0.3">
      <c r="A1600">
        <v>1331862</v>
      </c>
      <c r="B1600" t="s">
        <v>431</v>
      </c>
      <c r="C1600" t="s">
        <v>2371</v>
      </c>
      <c r="D1600" t="s">
        <v>3406</v>
      </c>
      <c r="E1600" s="1" t="s">
        <v>3407</v>
      </c>
      <c r="F1600">
        <f>VLOOKUP(A1600,Classifications!$A:$E,5,FALSE)</f>
        <v>2</v>
      </c>
      <c r="G1600">
        <f>VLOOKUP(A1600,Classifications!$A:$F,6,FALSE)</f>
        <v>2</v>
      </c>
      <c r="H1600">
        <f>VLOOKUP(A1600,Classifications!$A:$G,7,FALSE)</f>
        <v>41</v>
      </c>
      <c r="I1600" t="s">
        <v>24</v>
      </c>
      <c r="J1600" s="2">
        <v>44183.34642361111</v>
      </c>
    </row>
    <row r="1601" spans="1:10" ht="12.75" customHeight="1" x14ac:dyDescent="0.3">
      <c r="A1601">
        <v>1331349</v>
      </c>
      <c r="B1601" t="s">
        <v>7</v>
      </c>
      <c r="C1601" t="s">
        <v>3408</v>
      </c>
      <c r="D1601" t="s">
        <v>3409</v>
      </c>
      <c r="E1601" s="1" t="s">
        <v>3410</v>
      </c>
      <c r="F1601">
        <f>VLOOKUP(A1601,Classifications!$A:$E,5,FALSE)</f>
        <v>1</v>
      </c>
      <c r="G1601">
        <f>VLOOKUP(A1601,Classifications!$A:$F,6,FALSE)</f>
        <v>2</v>
      </c>
      <c r="H1601">
        <f>VLOOKUP(A1601,Classifications!$A:$G,7,FALSE)</f>
        <v>41</v>
      </c>
      <c r="I1601" t="s">
        <v>11</v>
      </c>
      <c r="J1601" s="2">
        <v>44182.394965277781</v>
      </c>
    </row>
    <row r="1602" spans="1:10" ht="12.75" customHeight="1" x14ac:dyDescent="0.3">
      <c r="A1602">
        <v>1331338</v>
      </c>
      <c r="B1602" t="s">
        <v>177</v>
      </c>
      <c r="C1602" t="s">
        <v>178</v>
      </c>
      <c r="D1602" t="s">
        <v>3411</v>
      </c>
      <c r="E1602" s="1" t="s">
        <v>3412</v>
      </c>
      <c r="F1602">
        <f>VLOOKUP(A1602,Classifications!$A:$E,5,FALSE)</f>
        <v>2</v>
      </c>
      <c r="G1602">
        <f>VLOOKUP(A1602,Classifications!$A:$F,6,FALSE)</f>
        <v>2</v>
      </c>
      <c r="H1602">
        <f>VLOOKUP(A1602,Classifications!$A:$G,7,FALSE)</f>
        <v>43</v>
      </c>
      <c r="I1602" t="s">
        <v>11</v>
      </c>
      <c r="J1602" s="2">
        <v>44182.37972222222</v>
      </c>
    </row>
    <row r="1603" spans="1:10" ht="12.75" customHeight="1" x14ac:dyDescent="0.3">
      <c r="A1603">
        <v>1330923</v>
      </c>
      <c r="B1603" t="s">
        <v>606</v>
      </c>
      <c r="C1603" t="s">
        <v>2534</v>
      </c>
      <c r="D1603" t="s">
        <v>3413</v>
      </c>
      <c r="E1603" s="1" t="s">
        <v>3414</v>
      </c>
      <c r="F1603">
        <f>VLOOKUP(A1603,Classifications!$A:$E,5,FALSE)</f>
        <v>3</v>
      </c>
      <c r="G1603">
        <f>VLOOKUP(A1603,Classifications!$A:$F,6,FALSE)</f>
        <v>2</v>
      </c>
      <c r="H1603">
        <f>VLOOKUP(A1603,Classifications!$A:$G,7,FALSE)</f>
        <v>36</v>
      </c>
      <c r="I1603" t="s">
        <v>24</v>
      </c>
      <c r="J1603" s="2">
        <v>44181.583333333336</v>
      </c>
    </row>
    <row r="1604" spans="1:10" ht="12.75" customHeight="1" x14ac:dyDescent="0.3">
      <c r="A1604">
        <v>1330903</v>
      </c>
      <c r="B1604" t="s">
        <v>7</v>
      </c>
      <c r="C1604" t="s">
        <v>1536</v>
      </c>
      <c r="D1604" t="s">
        <v>3415</v>
      </c>
      <c r="E1604" t="s">
        <v>3416</v>
      </c>
      <c r="F1604">
        <f>VLOOKUP(A1604,Classifications!$A:$E,5,FALSE)</f>
        <v>2</v>
      </c>
      <c r="G1604">
        <f>VLOOKUP(A1604,Classifications!$A:$F,6,FALSE)</f>
        <v>1</v>
      </c>
      <c r="H1604">
        <f>VLOOKUP(A1604,Classifications!$A:$G,7,FALSE)</f>
        <v>41</v>
      </c>
      <c r="I1604" t="s">
        <v>24</v>
      </c>
      <c r="J1604" s="2">
        <v>44181.542199074072</v>
      </c>
    </row>
    <row r="1605" spans="1:10" ht="12.75" customHeight="1" x14ac:dyDescent="0.3">
      <c r="A1605">
        <v>1330872</v>
      </c>
      <c r="B1605" t="s">
        <v>95</v>
      </c>
      <c r="C1605" t="s">
        <v>3417</v>
      </c>
      <c r="D1605" t="s">
        <v>3418</v>
      </c>
      <c r="E1605" s="1" t="s">
        <v>3419</v>
      </c>
      <c r="F1605">
        <f>VLOOKUP(A1605,Classifications!$A:$E,5,FALSE)</f>
        <v>3</v>
      </c>
      <c r="G1605">
        <f>VLOOKUP(A1605,Classifications!$A:$F,6,FALSE)</f>
        <v>2</v>
      </c>
      <c r="H1605">
        <f>VLOOKUP(A1605,Classifications!$A:$G,7,FALSE)</f>
        <v>41</v>
      </c>
      <c r="I1605" t="s">
        <v>24</v>
      </c>
      <c r="J1605" s="2">
        <v>44181.471446759257</v>
      </c>
    </row>
    <row r="1606" spans="1:10" ht="12.75" customHeight="1" x14ac:dyDescent="0.3">
      <c r="A1606">
        <v>1330771</v>
      </c>
      <c r="B1606" t="s">
        <v>95</v>
      </c>
      <c r="C1606" t="s">
        <v>3420</v>
      </c>
      <c r="D1606" t="s">
        <v>3421</v>
      </c>
      <c r="E1606" s="1" t="s">
        <v>3422</v>
      </c>
      <c r="F1606">
        <f>VLOOKUP(A1606,Classifications!$A:$E,5,FALSE)</f>
        <v>2</v>
      </c>
      <c r="G1606">
        <f>VLOOKUP(A1606,Classifications!$A:$F,6,FALSE)</f>
        <v>2</v>
      </c>
      <c r="H1606">
        <f>VLOOKUP(A1606,Classifications!$A:$G,7,FALSE)</f>
        <v>41</v>
      </c>
      <c r="I1606" t="s">
        <v>24</v>
      </c>
      <c r="J1606" s="2">
        <v>44181.372337962966</v>
      </c>
    </row>
    <row r="1607" spans="1:10" ht="12.75" customHeight="1" x14ac:dyDescent="0.3">
      <c r="A1607">
        <v>1330745</v>
      </c>
      <c r="B1607" t="s">
        <v>177</v>
      </c>
      <c r="C1607" t="s">
        <v>178</v>
      </c>
      <c r="D1607" t="s">
        <v>3423</v>
      </c>
      <c r="E1607" s="1" t="s">
        <v>3424</v>
      </c>
      <c r="F1607">
        <f>VLOOKUP(A1607,Classifications!$A:$E,5,FALSE)</f>
        <v>1</v>
      </c>
      <c r="G1607">
        <f>VLOOKUP(A1607,Classifications!$A:$F,6,FALSE)</f>
        <v>2</v>
      </c>
      <c r="H1607">
        <f>VLOOKUP(A1607,Classifications!$A:$G,7,FALSE)</f>
        <v>43</v>
      </c>
      <c r="I1607" t="s">
        <v>11</v>
      </c>
      <c r="J1607" s="2">
        <v>44181.332789351851</v>
      </c>
    </row>
    <row r="1608" spans="1:10" ht="12.75" customHeight="1" x14ac:dyDescent="0.3">
      <c r="A1608">
        <v>1330741</v>
      </c>
      <c r="B1608" t="s">
        <v>7</v>
      </c>
      <c r="C1608" t="s">
        <v>3396</v>
      </c>
      <c r="D1608" t="s">
        <v>3425</v>
      </c>
      <c r="E1608" s="1" t="s">
        <v>3426</v>
      </c>
      <c r="F1608">
        <f>VLOOKUP(A1608,Classifications!$A:$E,5,FALSE)</f>
        <v>2</v>
      </c>
      <c r="G1608">
        <f>VLOOKUP(A1608,Classifications!$A:$F,6,FALSE)</f>
        <v>2</v>
      </c>
      <c r="H1608">
        <f>VLOOKUP(A1608,Classifications!$A:$G,7,FALSE)</f>
        <v>41</v>
      </c>
      <c r="I1608" t="s">
        <v>24</v>
      </c>
      <c r="J1608" s="2">
        <v>44181.328796296293</v>
      </c>
    </row>
    <row r="1609" spans="1:10" ht="12.75" customHeight="1" x14ac:dyDescent="0.3">
      <c r="A1609">
        <v>1330315</v>
      </c>
      <c r="B1609" t="s">
        <v>36</v>
      </c>
      <c r="C1609" t="s">
        <v>2417</v>
      </c>
      <c r="D1609" t="s">
        <v>3427</v>
      </c>
      <c r="E1609" s="1" t="s">
        <v>3428</v>
      </c>
      <c r="F1609">
        <f>VLOOKUP(A1609,Classifications!$A:$E,5,FALSE)</f>
        <v>2</v>
      </c>
      <c r="G1609">
        <f>VLOOKUP(A1609,Classifications!$A:$F,6,FALSE)</f>
        <v>2</v>
      </c>
      <c r="H1609">
        <f>VLOOKUP(A1609,Classifications!$A:$G,7,FALSE)</f>
        <v>41</v>
      </c>
      <c r="I1609" t="s">
        <v>24</v>
      </c>
      <c r="J1609" s="2">
        <v>44180.616053240738</v>
      </c>
    </row>
    <row r="1610" spans="1:10" ht="12.75" customHeight="1" x14ac:dyDescent="0.3">
      <c r="A1610">
        <v>1330229</v>
      </c>
      <c r="B1610" t="s">
        <v>157</v>
      </c>
      <c r="C1610" t="s">
        <v>568</v>
      </c>
      <c r="D1610" t="s">
        <v>3429</v>
      </c>
      <c r="E1610" s="1" t="s">
        <v>3430</v>
      </c>
      <c r="F1610">
        <f>VLOOKUP(A1610,Classifications!$A:$E,5,FALSE)</f>
        <v>2</v>
      </c>
      <c r="G1610">
        <f>VLOOKUP(A1610,Classifications!$A:$F,6,FALSE)</f>
        <v>2</v>
      </c>
      <c r="H1610">
        <f>VLOOKUP(A1610,Classifications!$A:$G,7,FALSE)</f>
        <v>41</v>
      </c>
      <c r="I1610" t="s">
        <v>11</v>
      </c>
      <c r="J1610" s="2">
        <v>44180.443611111114</v>
      </c>
    </row>
    <row r="1611" spans="1:10" ht="12.75" customHeight="1" x14ac:dyDescent="0.3">
      <c r="A1611">
        <v>1329813</v>
      </c>
      <c r="B1611" t="s">
        <v>20</v>
      </c>
      <c r="C1611" t="s">
        <v>692</v>
      </c>
      <c r="D1611" t="s">
        <v>3431</v>
      </c>
      <c r="E1611" s="1" t="s">
        <v>3432</v>
      </c>
      <c r="F1611">
        <f>VLOOKUP(A1611,Classifications!$A:$E,5,FALSE)</f>
        <v>3</v>
      </c>
      <c r="G1611">
        <f>VLOOKUP(A1611,Classifications!$A:$F,6,FALSE)</f>
        <v>3</v>
      </c>
      <c r="H1611">
        <f>VLOOKUP(A1611,Classifications!$A:$G,7,FALSE)</f>
        <v>41</v>
      </c>
      <c r="I1611" t="s">
        <v>11</v>
      </c>
      <c r="J1611" s="2">
        <v>44179.703101851854</v>
      </c>
    </row>
    <row r="1612" spans="1:10" ht="12.75" customHeight="1" x14ac:dyDescent="0.3">
      <c r="A1612">
        <v>1329693</v>
      </c>
      <c r="B1612" t="s">
        <v>53</v>
      </c>
      <c r="C1612" t="s">
        <v>54</v>
      </c>
      <c r="D1612" t="s">
        <v>3433</v>
      </c>
      <c r="E1612" s="1" t="s">
        <v>3434</v>
      </c>
      <c r="F1612">
        <f>VLOOKUP(A1612,Classifications!$A:$E,5,FALSE)</f>
        <v>2</v>
      </c>
      <c r="G1612">
        <f>VLOOKUP(A1612,Classifications!$A:$F,6,FALSE)</f>
        <v>3</v>
      </c>
      <c r="H1612">
        <f>VLOOKUP(A1612,Classifications!$A:$G,7,FALSE)</f>
        <v>41</v>
      </c>
      <c r="I1612" t="s">
        <v>11</v>
      </c>
      <c r="J1612" s="2">
        <v>44179.436377314814</v>
      </c>
    </row>
    <row r="1613" spans="1:10" ht="12.75" customHeight="1" x14ac:dyDescent="0.3">
      <c r="A1613">
        <v>1329617</v>
      </c>
      <c r="B1613" t="s">
        <v>157</v>
      </c>
      <c r="C1613" t="s">
        <v>627</v>
      </c>
      <c r="D1613" t="s">
        <v>3435</v>
      </c>
      <c r="E1613" s="1" t="s">
        <v>3436</v>
      </c>
      <c r="F1613">
        <f>VLOOKUP(A1613,Classifications!$A:$E,5,FALSE)</f>
        <v>1</v>
      </c>
      <c r="G1613">
        <f>VLOOKUP(A1613,Classifications!$A:$F,6,FALSE)</f>
        <v>2</v>
      </c>
      <c r="H1613">
        <f>VLOOKUP(A1613,Classifications!$A:$G,7,FALSE)</f>
        <v>41</v>
      </c>
      <c r="I1613" t="s">
        <v>11</v>
      </c>
      <c r="J1613" s="2">
        <v>44179.372349537036</v>
      </c>
    </row>
    <row r="1614" spans="1:10" ht="12.75" customHeight="1" x14ac:dyDescent="0.3">
      <c r="A1614">
        <v>1329563</v>
      </c>
      <c r="B1614" t="s">
        <v>25</v>
      </c>
      <c r="C1614" t="s">
        <v>158</v>
      </c>
      <c r="D1614" t="s">
        <v>3437</v>
      </c>
      <c r="E1614" s="1" t="s">
        <v>3438</v>
      </c>
      <c r="F1614">
        <f>VLOOKUP(A1614,Classifications!$A:$E,5,FALSE)</f>
        <v>1</v>
      </c>
      <c r="G1614">
        <f>VLOOKUP(A1614,Classifications!$A:$F,6,FALSE)</f>
        <v>2</v>
      </c>
      <c r="H1614">
        <f>VLOOKUP(A1614,Classifications!$A:$G,7,FALSE)</f>
        <v>41</v>
      </c>
      <c r="I1614" t="s">
        <v>11</v>
      </c>
      <c r="J1614" s="2">
        <v>44179.290763888886</v>
      </c>
    </row>
    <row r="1615" spans="1:10" ht="12.75" customHeight="1" x14ac:dyDescent="0.3">
      <c r="A1615">
        <v>1329060</v>
      </c>
      <c r="B1615" t="s">
        <v>290</v>
      </c>
      <c r="C1615" t="s">
        <v>308</v>
      </c>
      <c r="D1615" t="s">
        <v>3439</v>
      </c>
      <c r="E1615" s="1" t="s">
        <v>1157</v>
      </c>
      <c r="F1615">
        <f>VLOOKUP(A1615,Classifications!$A:$E,5,FALSE)</f>
        <v>3</v>
      </c>
      <c r="G1615">
        <f>VLOOKUP(A1615,Classifications!$A:$F,6,FALSE)</f>
        <v>1</v>
      </c>
      <c r="H1615">
        <f>VLOOKUP(A1615,Classifications!$A:$G,7,FALSE)</f>
        <v>43</v>
      </c>
      <c r="I1615" t="s">
        <v>1158</v>
      </c>
      <c r="J1615" s="2">
        <v>44178.000023148146</v>
      </c>
    </row>
    <row r="1616" spans="1:10" ht="12.75" customHeight="1" x14ac:dyDescent="0.3">
      <c r="A1616">
        <v>1328444</v>
      </c>
      <c r="B1616" t="s">
        <v>70</v>
      </c>
      <c r="C1616" t="s">
        <v>1496</v>
      </c>
      <c r="D1616" t="s">
        <v>3440</v>
      </c>
      <c r="E1616" s="1" t="s">
        <v>3441</v>
      </c>
      <c r="F1616">
        <f>VLOOKUP(A1616,Classifications!$A:$E,5,FALSE)</f>
        <v>2</v>
      </c>
      <c r="G1616">
        <f>VLOOKUP(A1616,Classifications!$A:$F,6,FALSE)</f>
        <v>2</v>
      </c>
      <c r="H1616">
        <f>VLOOKUP(A1616,Classifications!$A:$G,7,FALSE)</f>
        <v>43</v>
      </c>
      <c r="I1616" t="s">
        <v>24</v>
      </c>
      <c r="J1616" s="2">
        <v>44176.621828703705</v>
      </c>
    </row>
    <row r="1617" spans="1:10" ht="12.75" customHeight="1" x14ac:dyDescent="0.3">
      <c r="A1617">
        <v>1328414</v>
      </c>
      <c r="B1617" t="s">
        <v>7</v>
      </c>
      <c r="C1617" t="s">
        <v>107</v>
      </c>
      <c r="D1617" t="s">
        <v>3442</v>
      </c>
      <c r="E1617" s="1" t="s">
        <v>3443</v>
      </c>
      <c r="F1617">
        <f>VLOOKUP(A1617,Classifications!$A:$E,5,FALSE)</f>
        <v>1</v>
      </c>
      <c r="G1617">
        <f>VLOOKUP(A1617,Classifications!$A:$F,6,FALSE)</f>
        <v>1</v>
      </c>
      <c r="H1617">
        <f>VLOOKUP(A1617,Classifications!$A:$G,7,FALSE)</f>
        <v>43</v>
      </c>
      <c r="I1617" t="s">
        <v>11</v>
      </c>
      <c r="J1617" s="2">
        <v>44176.51021990741</v>
      </c>
    </row>
    <row r="1618" spans="1:10" ht="12.75" customHeight="1" x14ac:dyDescent="0.3">
      <c r="A1618">
        <v>1328385</v>
      </c>
      <c r="B1618" t="s">
        <v>53</v>
      </c>
      <c r="C1618" t="s">
        <v>54</v>
      </c>
      <c r="D1618" t="s">
        <v>3444</v>
      </c>
      <c r="E1618" s="1" t="s">
        <v>3445</v>
      </c>
      <c r="F1618">
        <f>VLOOKUP(A1618,Classifications!$A:$E,5,FALSE)</f>
        <v>2</v>
      </c>
      <c r="G1618">
        <f>VLOOKUP(A1618,Classifications!$A:$F,6,FALSE)</f>
        <v>3</v>
      </c>
      <c r="H1618">
        <f>VLOOKUP(A1618,Classifications!$A:$G,7,FALSE)</f>
        <v>41</v>
      </c>
      <c r="I1618" t="s">
        <v>11</v>
      </c>
      <c r="J1618" s="2">
        <v>44176.452800925923</v>
      </c>
    </row>
    <row r="1619" spans="1:10" ht="12.75" customHeight="1" x14ac:dyDescent="0.3">
      <c r="A1619">
        <v>1328379</v>
      </c>
      <c r="B1619" t="s">
        <v>301</v>
      </c>
      <c r="C1619" t="s">
        <v>2127</v>
      </c>
      <c r="D1619" t="s">
        <v>3446</v>
      </c>
      <c r="E1619" s="1" t="s">
        <v>3447</v>
      </c>
      <c r="F1619">
        <f>VLOOKUP(A1619,Classifications!$A:$E,5,FALSE)</f>
        <v>2</v>
      </c>
      <c r="G1619">
        <f>VLOOKUP(A1619,Classifications!$A:$F,6,FALSE)</f>
        <v>2</v>
      </c>
      <c r="H1619">
        <f>VLOOKUP(A1619,Classifications!$A:$G,7,FALSE)</f>
        <v>41</v>
      </c>
      <c r="I1619" t="s">
        <v>24</v>
      </c>
      <c r="J1619" s="2">
        <v>44176.438402777778</v>
      </c>
    </row>
    <row r="1620" spans="1:10" ht="12.75" customHeight="1" x14ac:dyDescent="0.3">
      <c r="A1620">
        <v>1328309</v>
      </c>
      <c r="B1620" t="s">
        <v>1574</v>
      </c>
      <c r="C1620" t="s">
        <v>3448</v>
      </c>
      <c r="D1620" t="s">
        <v>3449</v>
      </c>
      <c r="E1620" s="1" t="s">
        <v>3450</v>
      </c>
      <c r="F1620">
        <f>VLOOKUP(A1620,Classifications!$A:$E,5,FALSE)</f>
        <v>2</v>
      </c>
      <c r="G1620">
        <f>VLOOKUP(A1620,Classifications!$A:$F,6,FALSE)</f>
        <v>2</v>
      </c>
      <c r="H1620">
        <f>VLOOKUP(A1620,Classifications!$A:$G,7,FALSE)</f>
        <v>41</v>
      </c>
      <c r="I1620" t="s">
        <v>11</v>
      </c>
      <c r="J1620" s="2">
        <v>44176.369212962964</v>
      </c>
    </row>
    <row r="1621" spans="1:10" ht="12.75" customHeight="1" x14ac:dyDescent="0.3">
      <c r="A1621">
        <v>1327916</v>
      </c>
      <c r="B1621" t="s">
        <v>95</v>
      </c>
      <c r="C1621" t="s">
        <v>129</v>
      </c>
      <c r="D1621" t="s">
        <v>3451</v>
      </c>
      <c r="E1621" s="1" t="s">
        <v>3452</v>
      </c>
      <c r="F1621">
        <f>VLOOKUP(A1621,Classifications!$A:$E,5,FALSE)</f>
        <v>3</v>
      </c>
      <c r="G1621">
        <f>VLOOKUP(A1621,Classifications!$A:$F,6,FALSE)</f>
        <v>3</v>
      </c>
      <c r="H1621">
        <f>VLOOKUP(A1621,Classifications!$A:$G,7,FALSE)</f>
        <v>43</v>
      </c>
      <c r="I1621" t="s">
        <v>11</v>
      </c>
      <c r="J1621" s="2">
        <v>44175.667118055557</v>
      </c>
    </row>
    <row r="1622" spans="1:10" ht="12.75" customHeight="1" x14ac:dyDescent="0.3">
      <c r="A1622">
        <v>1327867</v>
      </c>
      <c r="B1622" t="s">
        <v>36</v>
      </c>
      <c r="C1622" t="s">
        <v>37</v>
      </c>
      <c r="D1622" t="s">
        <v>3453</v>
      </c>
      <c r="E1622" s="1" t="s">
        <v>3454</v>
      </c>
      <c r="F1622">
        <f>VLOOKUP(A1622,Classifications!$A:$E,5,FALSE)</f>
        <v>2</v>
      </c>
      <c r="G1622">
        <f>VLOOKUP(A1622,Classifications!$A:$F,6,FALSE)</f>
        <v>2</v>
      </c>
      <c r="H1622">
        <f>VLOOKUP(A1622,Classifications!$A:$G,7,FALSE)</f>
        <v>41</v>
      </c>
      <c r="I1622" t="s">
        <v>11</v>
      </c>
      <c r="J1622" s="2">
        <v>44175.542280092595</v>
      </c>
    </row>
    <row r="1623" spans="1:10" ht="12.75" customHeight="1" x14ac:dyDescent="0.3">
      <c r="A1623">
        <v>1327705</v>
      </c>
      <c r="B1623" t="s">
        <v>7</v>
      </c>
      <c r="C1623" t="s">
        <v>592</v>
      </c>
      <c r="D1623" t="s">
        <v>3455</v>
      </c>
      <c r="E1623" s="1" t="s">
        <v>3456</v>
      </c>
      <c r="F1623">
        <f>VLOOKUP(A1623,Classifications!$A:$E,5,FALSE)</f>
        <v>1</v>
      </c>
      <c r="G1623">
        <f>VLOOKUP(A1623,Classifications!$A:$F,6,FALSE)</f>
        <v>3</v>
      </c>
      <c r="H1623">
        <f>VLOOKUP(A1623,Classifications!$A:$G,7,FALSE)</f>
        <v>41</v>
      </c>
      <c r="I1623" t="s">
        <v>24</v>
      </c>
      <c r="J1623" s="2">
        <v>44175.242280092592</v>
      </c>
    </row>
    <row r="1624" spans="1:10" ht="12.75" customHeight="1" x14ac:dyDescent="0.3">
      <c r="A1624">
        <v>1327437</v>
      </c>
      <c r="B1624" t="s">
        <v>12</v>
      </c>
      <c r="C1624" t="s">
        <v>3457</v>
      </c>
      <c r="D1624" t="s">
        <v>3458</v>
      </c>
      <c r="E1624" s="1" t="s">
        <v>3459</v>
      </c>
      <c r="F1624">
        <f>VLOOKUP(A1624,Classifications!$A:$E,5,FALSE)</f>
        <v>1</v>
      </c>
      <c r="G1624">
        <f>VLOOKUP(A1624,Classifications!$A:$F,6,FALSE)</f>
        <v>3</v>
      </c>
      <c r="H1624">
        <f>VLOOKUP(A1624,Classifications!$A:$G,7,FALSE)</f>
        <v>41</v>
      </c>
      <c r="I1624" t="s">
        <v>11</v>
      </c>
      <c r="J1624" s="2">
        <v>44174.771134259259</v>
      </c>
    </row>
    <row r="1625" spans="1:10" ht="12.75" customHeight="1" x14ac:dyDescent="0.3">
      <c r="A1625">
        <v>1327362</v>
      </c>
      <c r="B1625" t="s">
        <v>746</v>
      </c>
      <c r="C1625" t="s">
        <v>1485</v>
      </c>
      <c r="D1625" t="s">
        <v>3460</v>
      </c>
      <c r="E1625" s="1" t="s">
        <v>3461</v>
      </c>
      <c r="F1625">
        <f>VLOOKUP(A1625,Classifications!$A:$E,5,FALSE)</f>
        <v>1</v>
      </c>
      <c r="G1625">
        <f>VLOOKUP(A1625,Classifications!$A:$F,6,FALSE)</f>
        <v>3</v>
      </c>
      <c r="H1625">
        <f>VLOOKUP(A1625,Classifications!$A:$G,7,FALSE)</f>
        <v>41</v>
      </c>
      <c r="I1625" t="s">
        <v>11</v>
      </c>
      <c r="J1625" s="2">
        <v>44174.653912037036</v>
      </c>
    </row>
    <row r="1626" spans="1:10" ht="12.75" customHeight="1" x14ac:dyDescent="0.3">
      <c r="A1626">
        <v>1326874</v>
      </c>
      <c r="B1626" t="s">
        <v>157</v>
      </c>
      <c r="C1626" t="s">
        <v>627</v>
      </c>
      <c r="D1626" t="s">
        <v>3462</v>
      </c>
      <c r="E1626" s="1" t="s">
        <v>3463</v>
      </c>
      <c r="F1626">
        <f>VLOOKUP(A1626,Classifications!$A:$E,5,FALSE)</f>
        <v>3</v>
      </c>
      <c r="G1626">
        <f>VLOOKUP(A1626,Classifications!$A:$F,6,FALSE)</f>
        <v>2</v>
      </c>
      <c r="H1626">
        <f>VLOOKUP(A1626,Classifications!$A:$G,7,FALSE)</f>
        <v>41</v>
      </c>
      <c r="I1626" t="s">
        <v>11</v>
      </c>
      <c r="J1626" s="2">
        <v>44173.87228009259</v>
      </c>
    </row>
    <row r="1627" spans="1:10" ht="12.75" customHeight="1" x14ac:dyDescent="0.3">
      <c r="A1627">
        <v>1326702</v>
      </c>
      <c r="B1627" t="s">
        <v>36</v>
      </c>
      <c r="C1627" t="s">
        <v>509</v>
      </c>
      <c r="D1627" t="s">
        <v>3464</v>
      </c>
      <c r="E1627" s="1" t="s">
        <v>3465</v>
      </c>
      <c r="F1627">
        <f>VLOOKUP(A1627,Classifications!$A:$E,5,FALSE)</f>
        <v>3</v>
      </c>
      <c r="G1627">
        <f>VLOOKUP(A1627,Classifications!$A:$F,6,FALSE)</f>
        <v>2</v>
      </c>
      <c r="H1627">
        <f>VLOOKUP(A1627,Classifications!$A:$G,7,FALSE)</f>
        <v>43</v>
      </c>
      <c r="I1627" t="s">
        <v>24</v>
      </c>
      <c r="J1627" s="2">
        <v>44173.624282407407</v>
      </c>
    </row>
    <row r="1628" spans="1:10" ht="12.75" customHeight="1" x14ac:dyDescent="0.3">
      <c r="A1628">
        <v>1326643</v>
      </c>
      <c r="B1628" t="s">
        <v>7</v>
      </c>
      <c r="C1628" t="s">
        <v>366</v>
      </c>
      <c r="D1628" t="s">
        <v>3466</v>
      </c>
      <c r="E1628" s="1" t="s">
        <v>3467</v>
      </c>
      <c r="F1628">
        <f>VLOOKUP(A1628,Classifications!$A:$E,5,FALSE)</f>
        <v>1</v>
      </c>
      <c r="G1628">
        <f>VLOOKUP(A1628,Classifications!$A:$F,6,FALSE)</f>
        <v>2</v>
      </c>
      <c r="H1628">
        <f>VLOOKUP(A1628,Classifications!$A:$G,7,FALSE)</f>
        <v>41</v>
      </c>
      <c r="I1628" t="s">
        <v>24</v>
      </c>
      <c r="J1628" s="2">
        <v>44173.529363425929</v>
      </c>
    </row>
    <row r="1629" spans="1:10" ht="12.75" customHeight="1" x14ac:dyDescent="0.3">
      <c r="A1629">
        <v>1326594</v>
      </c>
      <c r="B1629" t="s">
        <v>36</v>
      </c>
      <c r="C1629" t="s">
        <v>343</v>
      </c>
      <c r="D1629" t="s">
        <v>3468</v>
      </c>
      <c r="E1629" s="1" t="s">
        <v>3469</v>
      </c>
      <c r="F1629">
        <f>VLOOKUP(A1629,Classifications!$A:$E,5,FALSE)</f>
        <v>3</v>
      </c>
      <c r="G1629">
        <f>VLOOKUP(A1629,Classifications!$A:$F,6,FALSE)</f>
        <v>2</v>
      </c>
      <c r="H1629">
        <f>VLOOKUP(A1629,Classifications!$A:$G,7,FALSE)</f>
        <v>41</v>
      </c>
      <c r="I1629" t="s">
        <v>24</v>
      </c>
      <c r="J1629" s="2">
        <v>44173.460451388892</v>
      </c>
    </row>
    <row r="1630" spans="1:10" ht="12.75" customHeight="1" x14ac:dyDescent="0.3">
      <c r="A1630">
        <v>1326518</v>
      </c>
      <c r="B1630" t="s">
        <v>222</v>
      </c>
      <c r="C1630" t="s">
        <v>3470</v>
      </c>
      <c r="D1630" t="s">
        <v>3471</v>
      </c>
      <c r="E1630" s="1" t="s">
        <v>3472</v>
      </c>
      <c r="F1630">
        <f>VLOOKUP(A1630,Classifications!$A:$E,5,FALSE)</f>
        <v>1</v>
      </c>
      <c r="G1630">
        <f>VLOOKUP(A1630,Classifications!$A:$F,6,FALSE)</f>
        <v>2</v>
      </c>
      <c r="H1630">
        <f>VLOOKUP(A1630,Classifications!$A:$G,7,FALSE)</f>
        <v>41</v>
      </c>
      <c r="I1630" t="s">
        <v>24</v>
      </c>
      <c r="J1630" s="2">
        <v>44173.400254629632</v>
      </c>
    </row>
    <row r="1631" spans="1:10" ht="12.75" customHeight="1" x14ac:dyDescent="0.3">
      <c r="A1631">
        <v>1326479</v>
      </c>
      <c r="B1631" t="s">
        <v>301</v>
      </c>
      <c r="C1631" t="s">
        <v>2127</v>
      </c>
      <c r="D1631" t="s">
        <v>3473</v>
      </c>
      <c r="E1631" s="1" t="s">
        <v>3474</v>
      </c>
      <c r="F1631">
        <f>VLOOKUP(A1631,Classifications!$A:$E,5,FALSE)</f>
        <v>3</v>
      </c>
      <c r="G1631">
        <f>VLOOKUP(A1631,Classifications!$A:$F,6,FALSE)</f>
        <v>2</v>
      </c>
      <c r="H1631">
        <f>VLOOKUP(A1631,Classifications!$A:$G,7,FALSE)</f>
        <v>41</v>
      </c>
      <c r="I1631" t="s">
        <v>11</v>
      </c>
      <c r="J1631" s="2">
        <v>44173.340740740743</v>
      </c>
    </row>
    <row r="1632" spans="1:10" ht="12.75" customHeight="1" x14ac:dyDescent="0.3">
      <c r="A1632">
        <v>1326001</v>
      </c>
      <c r="B1632" t="s">
        <v>53</v>
      </c>
      <c r="C1632" t="s">
        <v>54</v>
      </c>
      <c r="D1632" t="s">
        <v>3475</v>
      </c>
      <c r="E1632" s="1" t="s">
        <v>3476</v>
      </c>
      <c r="F1632">
        <f>VLOOKUP(A1632,Classifications!$A:$E,5,FALSE)</f>
        <v>2</v>
      </c>
      <c r="G1632">
        <f>VLOOKUP(A1632,Classifications!$A:$F,6,FALSE)</f>
        <v>2</v>
      </c>
      <c r="H1632">
        <f>VLOOKUP(A1632,Classifications!$A:$G,7,FALSE)</f>
        <v>41</v>
      </c>
      <c r="I1632" t="s">
        <v>11</v>
      </c>
      <c r="J1632" s="2">
        <v>44172.598067129627</v>
      </c>
    </row>
    <row r="1633" spans="1:10" ht="12.75" customHeight="1" x14ac:dyDescent="0.3">
      <c r="A1633">
        <v>1325878</v>
      </c>
      <c r="B1633" t="s">
        <v>36</v>
      </c>
      <c r="C1633" t="s">
        <v>2969</v>
      </c>
      <c r="D1633" t="s">
        <v>3477</v>
      </c>
      <c r="E1633" s="1" t="s">
        <v>3478</v>
      </c>
      <c r="F1633">
        <f>VLOOKUP(A1633,Classifications!$A:$E,5,FALSE)</f>
        <v>1</v>
      </c>
      <c r="G1633">
        <f>VLOOKUP(A1633,Classifications!$A:$F,6,FALSE)</f>
        <v>2</v>
      </c>
      <c r="H1633">
        <f>VLOOKUP(A1633,Classifications!$A:$G,7,FALSE)</f>
        <v>41</v>
      </c>
      <c r="I1633" t="s">
        <v>24</v>
      </c>
      <c r="J1633" s="2">
        <v>44172.455717592595</v>
      </c>
    </row>
    <row r="1634" spans="1:10" ht="12.75" customHeight="1" x14ac:dyDescent="0.3">
      <c r="A1634">
        <v>1325863</v>
      </c>
      <c r="B1634" t="s">
        <v>63</v>
      </c>
      <c r="C1634" t="s">
        <v>2259</v>
      </c>
      <c r="D1634" t="s">
        <v>3479</v>
      </c>
      <c r="E1634" s="1" t="s">
        <v>3480</v>
      </c>
      <c r="F1634">
        <f>VLOOKUP(A1634,Classifications!$A:$E,5,FALSE)</f>
        <v>2</v>
      </c>
      <c r="G1634">
        <f>VLOOKUP(A1634,Classifications!$A:$F,6,FALSE)</f>
        <v>2</v>
      </c>
      <c r="H1634">
        <f>VLOOKUP(A1634,Classifications!$A:$G,7,FALSE)</f>
        <v>43</v>
      </c>
      <c r="I1634" t="s">
        <v>11</v>
      </c>
      <c r="J1634" s="2">
        <v>44172.441724537035</v>
      </c>
    </row>
    <row r="1635" spans="1:10" ht="12.75" customHeight="1" x14ac:dyDescent="0.3">
      <c r="A1635">
        <v>1324077</v>
      </c>
      <c r="B1635" t="s">
        <v>36</v>
      </c>
      <c r="C1635" t="s">
        <v>3481</v>
      </c>
      <c r="D1635" t="s">
        <v>3482</v>
      </c>
      <c r="E1635" s="1" t="s">
        <v>3483</v>
      </c>
      <c r="F1635">
        <f>VLOOKUP(A1635,Classifications!$A:$E,5,FALSE)</f>
        <v>3</v>
      </c>
      <c r="G1635">
        <f>VLOOKUP(A1635,Classifications!$A:$F,6,FALSE)</f>
        <v>2</v>
      </c>
      <c r="H1635">
        <f>VLOOKUP(A1635,Classifications!$A:$G,7,FALSE)</f>
        <v>41</v>
      </c>
      <c r="I1635" t="s">
        <v>24</v>
      </c>
      <c r="J1635" s="2">
        <v>44169.413946759261</v>
      </c>
    </row>
    <row r="1636" spans="1:10" ht="12.75" customHeight="1" x14ac:dyDescent="0.3">
      <c r="A1636">
        <v>1323570</v>
      </c>
      <c r="B1636" t="s">
        <v>3484</v>
      </c>
      <c r="C1636" t="s">
        <v>3485</v>
      </c>
      <c r="D1636" t="s">
        <v>3486</v>
      </c>
      <c r="E1636" s="1" t="s">
        <v>3487</v>
      </c>
      <c r="F1636">
        <f>VLOOKUP(A1636,Classifications!$A:$E,5,FALSE)</f>
        <v>3</v>
      </c>
      <c r="G1636">
        <f>VLOOKUP(A1636,Classifications!$A:$F,6,FALSE)</f>
        <v>3</v>
      </c>
      <c r="H1636">
        <f>VLOOKUP(A1636,Classifications!$A:$G,7,FALSE)</f>
        <v>43</v>
      </c>
      <c r="I1636" t="s">
        <v>11</v>
      </c>
      <c r="J1636" s="2">
        <v>44168.566365740742</v>
      </c>
    </row>
    <row r="1637" spans="1:10" ht="12.75" customHeight="1" x14ac:dyDescent="0.3">
      <c r="A1637">
        <v>1323374</v>
      </c>
      <c r="B1637" t="s">
        <v>53</v>
      </c>
      <c r="C1637" t="s">
        <v>1240</v>
      </c>
      <c r="D1637" t="s">
        <v>3488</v>
      </c>
      <c r="E1637" s="1" t="s">
        <v>3489</v>
      </c>
      <c r="F1637">
        <f>VLOOKUP(A1637,Classifications!$A:$E,5,FALSE)</f>
        <v>1</v>
      </c>
      <c r="G1637">
        <f>VLOOKUP(A1637,Classifications!$A:$F,6,FALSE)</f>
        <v>2</v>
      </c>
      <c r="H1637">
        <f>VLOOKUP(A1637,Classifications!$A:$G,7,FALSE)</f>
        <v>41</v>
      </c>
      <c r="I1637" t="s">
        <v>11</v>
      </c>
      <c r="J1637" s="2">
        <v>44168.326053240744</v>
      </c>
    </row>
    <row r="1638" spans="1:10" ht="12.75" customHeight="1" x14ac:dyDescent="0.3">
      <c r="A1638">
        <v>1323365</v>
      </c>
      <c r="B1638" t="s">
        <v>3027</v>
      </c>
      <c r="C1638" t="s">
        <v>3490</v>
      </c>
      <c r="D1638" t="s">
        <v>3491</v>
      </c>
      <c r="E1638" s="1" t="s">
        <v>3492</v>
      </c>
      <c r="F1638">
        <f>VLOOKUP(A1638,Classifications!$A:$E,5,FALSE)</f>
        <v>2</v>
      </c>
      <c r="G1638">
        <f>VLOOKUP(A1638,Classifications!$A:$F,6,FALSE)</f>
        <v>2</v>
      </c>
      <c r="H1638">
        <f>VLOOKUP(A1638,Classifications!$A:$G,7,FALSE)</f>
        <v>41</v>
      </c>
      <c r="I1638" t="s">
        <v>11</v>
      </c>
      <c r="J1638" s="2">
        <v>44168.307789351849</v>
      </c>
    </row>
    <row r="1639" spans="1:10" ht="12.75" customHeight="1" x14ac:dyDescent="0.3">
      <c r="A1639">
        <v>1322790</v>
      </c>
      <c r="B1639" t="s">
        <v>2134</v>
      </c>
      <c r="C1639" t="s">
        <v>2135</v>
      </c>
      <c r="D1639" t="s">
        <v>3493</v>
      </c>
      <c r="E1639" s="1" t="s">
        <v>3494</v>
      </c>
      <c r="F1639">
        <f>VLOOKUP(A1639,Classifications!$A:$E,5,FALSE)</f>
        <v>3</v>
      </c>
      <c r="G1639">
        <f>VLOOKUP(A1639,Classifications!$A:$F,6,FALSE)</f>
        <v>2</v>
      </c>
      <c r="H1639">
        <f>VLOOKUP(A1639,Classifications!$A:$G,7,FALSE)</f>
        <v>43</v>
      </c>
      <c r="I1639" t="s">
        <v>11</v>
      </c>
      <c r="J1639" s="2">
        <v>44167.411689814813</v>
      </c>
    </row>
    <row r="1640" spans="1:10" ht="12.75" customHeight="1" x14ac:dyDescent="0.3">
      <c r="A1640">
        <v>1322781</v>
      </c>
      <c r="B1640" t="s">
        <v>222</v>
      </c>
      <c r="C1640" t="s">
        <v>681</v>
      </c>
      <c r="D1640" t="s">
        <v>3495</v>
      </c>
      <c r="E1640" s="1" t="s">
        <v>3496</v>
      </c>
      <c r="F1640">
        <f>VLOOKUP(A1640,Classifications!$A:$E,5,FALSE)</f>
        <v>3</v>
      </c>
      <c r="G1640">
        <f>VLOOKUP(A1640,Classifications!$A:$F,6,FALSE)</f>
        <v>3</v>
      </c>
      <c r="H1640">
        <f>VLOOKUP(A1640,Classifications!$A:$G,7,FALSE)</f>
        <v>41</v>
      </c>
      <c r="I1640" t="s">
        <v>24</v>
      </c>
      <c r="J1640" s="2">
        <v>44167.398668981485</v>
      </c>
    </row>
    <row r="1641" spans="1:10" ht="12.75" customHeight="1" x14ac:dyDescent="0.3">
      <c r="A1641">
        <v>1322766</v>
      </c>
      <c r="B1641" t="s">
        <v>36</v>
      </c>
      <c r="C1641" t="s">
        <v>124</v>
      </c>
      <c r="D1641" t="s">
        <v>3497</v>
      </c>
      <c r="E1641" s="1" t="s">
        <v>3498</v>
      </c>
      <c r="F1641">
        <f>VLOOKUP(A1641,Classifications!$A:$E,5,FALSE)</f>
        <v>1</v>
      </c>
      <c r="G1641">
        <f>VLOOKUP(A1641,Classifications!$A:$F,6,FALSE)</f>
        <v>3</v>
      </c>
      <c r="H1641">
        <f>VLOOKUP(A1641,Classifications!$A:$G,7,FALSE)</f>
        <v>41</v>
      </c>
      <c r="I1641" t="s">
        <v>24</v>
      </c>
      <c r="J1641" s="2">
        <v>44167.374872685185</v>
      </c>
    </row>
    <row r="1642" spans="1:10" ht="12.75" customHeight="1" x14ac:dyDescent="0.3">
      <c r="A1642">
        <v>1322237</v>
      </c>
      <c r="B1642" t="s">
        <v>473</v>
      </c>
      <c r="C1642" t="s">
        <v>1381</v>
      </c>
      <c r="D1642" t="s">
        <v>3499</v>
      </c>
      <c r="E1642" s="1" t="s">
        <v>3500</v>
      </c>
      <c r="F1642">
        <f>VLOOKUP(A1642,Classifications!$A:$E,5,FALSE)</f>
        <v>1</v>
      </c>
      <c r="G1642">
        <f>VLOOKUP(A1642,Classifications!$A:$F,6,FALSE)</f>
        <v>2</v>
      </c>
      <c r="H1642">
        <f>VLOOKUP(A1642,Classifications!$A:$G,7,FALSE)</f>
        <v>41</v>
      </c>
      <c r="I1642" t="s">
        <v>11</v>
      </c>
      <c r="J1642" s="2">
        <v>44166.502129629633</v>
      </c>
    </row>
    <row r="1643" spans="1:10" ht="12.75" customHeight="1" x14ac:dyDescent="0.3">
      <c r="A1643">
        <v>1322203</v>
      </c>
      <c r="B1643" t="s">
        <v>3501</v>
      </c>
      <c r="C1643" t="s">
        <v>3502</v>
      </c>
      <c r="D1643" t="s">
        <v>3503</v>
      </c>
      <c r="E1643" s="1" t="s">
        <v>3504</v>
      </c>
      <c r="F1643">
        <f>VLOOKUP(A1643,Classifications!$A:$E,5,FALSE)</f>
        <v>3</v>
      </c>
      <c r="G1643">
        <f>VLOOKUP(A1643,Classifications!$A:$F,6,FALSE)</f>
        <v>3</v>
      </c>
      <c r="H1643">
        <f>VLOOKUP(A1643,Classifications!$A:$G,7,FALSE)</f>
        <v>41</v>
      </c>
      <c r="I1643" t="s">
        <v>11</v>
      </c>
      <c r="J1643" s="2">
        <v>44166.455057870371</v>
      </c>
    </row>
    <row r="1644" spans="1:10" ht="12.75" customHeight="1" x14ac:dyDescent="0.3">
      <c r="A1644">
        <v>1321558</v>
      </c>
      <c r="B1644" t="s">
        <v>36</v>
      </c>
      <c r="C1644" t="s">
        <v>324</v>
      </c>
      <c r="D1644" t="s">
        <v>3505</v>
      </c>
      <c r="E1644" s="1" t="s">
        <v>3506</v>
      </c>
      <c r="F1644">
        <f>VLOOKUP(A1644,Classifications!$A:$E,5,FALSE)</f>
        <v>3</v>
      </c>
      <c r="G1644">
        <f>VLOOKUP(A1644,Classifications!$A:$F,6,FALSE)</f>
        <v>2</v>
      </c>
      <c r="H1644">
        <f>VLOOKUP(A1644,Classifications!$A:$G,7,FALSE)</f>
        <v>43</v>
      </c>
      <c r="I1644" t="s">
        <v>24</v>
      </c>
      <c r="J1644" s="2">
        <v>44165.639247685183</v>
      </c>
    </row>
    <row r="1645" spans="1:10" ht="12.75" customHeight="1" x14ac:dyDescent="0.3">
      <c r="A1645">
        <v>1321506</v>
      </c>
      <c r="B1645" t="s">
        <v>7</v>
      </c>
      <c r="C1645" t="s">
        <v>3351</v>
      </c>
      <c r="D1645" t="s">
        <v>3507</v>
      </c>
      <c r="E1645" s="1" t="s">
        <v>3508</v>
      </c>
      <c r="F1645">
        <f>VLOOKUP(A1645,Classifications!$A:$E,5,FALSE)</f>
        <v>2</v>
      </c>
      <c r="G1645">
        <f>VLOOKUP(A1645,Classifications!$A:$F,6,FALSE)</f>
        <v>2</v>
      </c>
      <c r="H1645">
        <f>VLOOKUP(A1645,Classifications!$A:$G,7,FALSE)</f>
        <v>41</v>
      </c>
      <c r="I1645" t="s">
        <v>24</v>
      </c>
      <c r="J1645" s="2">
        <v>44165.530092592591</v>
      </c>
    </row>
    <row r="1646" spans="1:10" ht="12.75" customHeight="1" x14ac:dyDescent="0.3">
      <c r="A1646">
        <v>1321470</v>
      </c>
      <c r="B1646" t="s">
        <v>1825</v>
      </c>
      <c r="C1646" t="s">
        <v>3509</v>
      </c>
      <c r="D1646" t="s">
        <v>3510</v>
      </c>
      <c r="E1646" s="1" t="s">
        <v>3511</v>
      </c>
      <c r="F1646">
        <f>VLOOKUP(A1646,Classifications!$A:$E,5,FALSE)</f>
        <v>1</v>
      </c>
      <c r="G1646">
        <f>VLOOKUP(A1646,Classifications!$A:$F,6,FALSE)</f>
        <v>2</v>
      </c>
      <c r="H1646">
        <f>VLOOKUP(A1646,Classifications!$A:$G,7,FALSE)</f>
        <v>41</v>
      </c>
      <c r="I1646" t="s">
        <v>11</v>
      </c>
      <c r="J1646" s="2">
        <v>44165.460543981484</v>
      </c>
    </row>
    <row r="1647" spans="1:10" ht="12.75" customHeight="1" x14ac:dyDescent="0.3">
      <c r="A1647">
        <v>1321459</v>
      </c>
      <c r="B1647" t="s">
        <v>36</v>
      </c>
      <c r="C1647" t="s">
        <v>700</v>
      </c>
      <c r="D1647" t="s">
        <v>3512</v>
      </c>
      <c r="E1647" s="1" t="s">
        <v>3513</v>
      </c>
      <c r="F1647">
        <f>VLOOKUP(A1647,Classifications!$A:$E,5,FALSE)</f>
        <v>1</v>
      </c>
      <c r="G1647">
        <f>VLOOKUP(A1647,Classifications!$A:$F,6,FALSE)</f>
        <v>2</v>
      </c>
      <c r="H1647">
        <f>VLOOKUP(A1647,Classifications!$A:$G,7,FALSE)</f>
        <v>43</v>
      </c>
      <c r="I1647" t="s">
        <v>24</v>
      </c>
      <c r="J1647" s="2">
        <v>44165.438958333332</v>
      </c>
    </row>
    <row r="1648" spans="1:10" ht="12.75" customHeight="1" x14ac:dyDescent="0.3">
      <c r="A1648">
        <v>1321440</v>
      </c>
      <c r="B1648" t="s">
        <v>12</v>
      </c>
      <c r="C1648" t="s">
        <v>2346</v>
      </c>
      <c r="D1648" t="s">
        <v>3514</v>
      </c>
      <c r="E1648" s="1" t="s">
        <v>3515</v>
      </c>
      <c r="F1648">
        <f>VLOOKUP(A1648,Classifications!$A:$E,5,FALSE)</f>
        <v>1</v>
      </c>
      <c r="G1648">
        <f>VLOOKUP(A1648,Classifications!$A:$F,6,FALSE)</f>
        <v>3</v>
      </c>
      <c r="H1648">
        <f>VLOOKUP(A1648,Classifications!$A:$G,7,FALSE)</f>
        <v>41</v>
      </c>
      <c r="I1648" t="s">
        <v>24</v>
      </c>
      <c r="J1648" s="2">
        <v>44165.421180555553</v>
      </c>
    </row>
    <row r="1649" spans="1:10" ht="12.75" customHeight="1" x14ac:dyDescent="0.3">
      <c r="A1649">
        <v>1321406</v>
      </c>
      <c r="B1649" t="s">
        <v>36</v>
      </c>
      <c r="C1649" t="s">
        <v>2562</v>
      </c>
      <c r="D1649" t="s">
        <v>3516</v>
      </c>
      <c r="E1649" s="1" t="s">
        <v>3517</v>
      </c>
      <c r="F1649">
        <f>VLOOKUP(A1649,Classifications!$A:$E,5,FALSE)</f>
        <v>1</v>
      </c>
      <c r="G1649">
        <f>VLOOKUP(A1649,Classifications!$A:$F,6,FALSE)</f>
        <v>2</v>
      </c>
      <c r="H1649">
        <f>VLOOKUP(A1649,Classifications!$A:$G,7,FALSE)</f>
        <v>43</v>
      </c>
      <c r="I1649" t="s">
        <v>24</v>
      </c>
      <c r="J1649" s="2">
        <v>44165.401365740741</v>
      </c>
    </row>
    <row r="1650" spans="1:10" ht="12.75" customHeight="1" x14ac:dyDescent="0.3">
      <c r="A1650">
        <v>1321381</v>
      </c>
      <c r="B1650" t="s">
        <v>222</v>
      </c>
      <c r="C1650" t="s">
        <v>681</v>
      </c>
      <c r="D1650" t="s">
        <v>3518</v>
      </c>
      <c r="E1650" s="1" t="s">
        <v>3519</v>
      </c>
      <c r="F1650">
        <f>VLOOKUP(A1650,Classifications!$A:$E,5,FALSE)</f>
        <v>3</v>
      </c>
      <c r="G1650">
        <f>VLOOKUP(A1650,Classifications!$A:$F,6,FALSE)</f>
        <v>3</v>
      </c>
      <c r="H1650">
        <f>VLOOKUP(A1650,Classifications!$A:$G,7,FALSE)</f>
        <v>43</v>
      </c>
      <c r="I1650" t="s">
        <v>24</v>
      </c>
      <c r="J1650" s="2">
        <v>44165.374305555553</v>
      </c>
    </row>
    <row r="1651" spans="1:10" ht="12.75" customHeight="1" x14ac:dyDescent="0.3">
      <c r="A1651">
        <v>1321321</v>
      </c>
      <c r="B1651" t="s">
        <v>36</v>
      </c>
      <c r="C1651" t="s">
        <v>1342</v>
      </c>
      <c r="D1651" t="s">
        <v>3520</v>
      </c>
      <c r="E1651" s="1" t="s">
        <v>3521</v>
      </c>
      <c r="F1651">
        <f>VLOOKUP(A1651,Classifications!$A:$E,5,FALSE)</f>
        <v>3</v>
      </c>
      <c r="G1651">
        <f>VLOOKUP(A1651,Classifications!$A:$F,6,FALSE)</f>
        <v>2</v>
      </c>
      <c r="H1651">
        <f>VLOOKUP(A1651,Classifications!$A:$G,7,FALSE)</f>
        <v>43</v>
      </c>
      <c r="I1651" t="s">
        <v>11</v>
      </c>
      <c r="J1651" s="2">
        <v>44165.29010416667</v>
      </c>
    </row>
    <row r="1652" spans="1:10" ht="12.75" customHeight="1" x14ac:dyDescent="0.3">
      <c r="A1652">
        <v>1319842</v>
      </c>
      <c r="B1652" t="s">
        <v>157</v>
      </c>
      <c r="C1652" t="s">
        <v>627</v>
      </c>
      <c r="D1652" t="s">
        <v>3522</v>
      </c>
      <c r="E1652" s="1" t="s">
        <v>3523</v>
      </c>
      <c r="F1652">
        <f>VLOOKUP(A1652,Classifications!$A:$E,5,FALSE)</f>
        <v>2</v>
      </c>
      <c r="G1652">
        <f>VLOOKUP(A1652,Classifications!$A:$F,6,FALSE)</f>
        <v>2</v>
      </c>
      <c r="H1652">
        <f>VLOOKUP(A1652,Classifications!$A:$G,7,FALSE)</f>
        <v>41</v>
      </c>
      <c r="I1652" t="s">
        <v>11</v>
      </c>
      <c r="J1652" s="2">
        <v>44162.640208333331</v>
      </c>
    </row>
    <row r="1653" spans="1:10" ht="12.75" customHeight="1" x14ac:dyDescent="0.3">
      <c r="A1653">
        <v>1319204</v>
      </c>
      <c r="B1653" t="s">
        <v>20</v>
      </c>
      <c r="C1653" t="s">
        <v>692</v>
      </c>
      <c r="D1653" t="s">
        <v>3524</v>
      </c>
      <c r="E1653" s="1" t="s">
        <v>3525</v>
      </c>
      <c r="F1653">
        <f>VLOOKUP(A1653,Classifications!$A:$E,5,FALSE)</f>
        <v>1</v>
      </c>
      <c r="G1653">
        <f>VLOOKUP(A1653,Classifications!$A:$F,6,FALSE)</f>
        <v>2</v>
      </c>
      <c r="H1653">
        <f>VLOOKUP(A1653,Classifications!$A:$G,7,FALSE)</f>
        <v>41</v>
      </c>
      <c r="I1653" t="s">
        <v>11</v>
      </c>
      <c r="J1653" s="2">
        <v>44161.58520833333</v>
      </c>
    </row>
    <row r="1654" spans="1:10" ht="12.75" customHeight="1" x14ac:dyDescent="0.3">
      <c r="A1654">
        <v>1319089</v>
      </c>
      <c r="B1654" t="s">
        <v>7</v>
      </c>
      <c r="C1654" t="s">
        <v>3526</v>
      </c>
      <c r="D1654" t="s">
        <v>3527</v>
      </c>
      <c r="E1654" s="1" t="s">
        <v>3528</v>
      </c>
      <c r="F1654">
        <f>VLOOKUP(A1654,Classifications!$A:$E,5,FALSE)</f>
        <v>2</v>
      </c>
      <c r="G1654">
        <f>VLOOKUP(A1654,Classifications!$A:$F,6,FALSE)</f>
        <v>2</v>
      </c>
      <c r="H1654">
        <f>VLOOKUP(A1654,Classifications!$A:$G,7,FALSE)</f>
        <v>43</v>
      </c>
      <c r="I1654" t="s">
        <v>24</v>
      </c>
      <c r="J1654" s="2">
        <v>44161.399953703702</v>
      </c>
    </row>
    <row r="1655" spans="1:10" ht="12.75" customHeight="1" x14ac:dyDescent="0.3">
      <c r="A1655">
        <v>1318587</v>
      </c>
      <c r="B1655" t="s">
        <v>7</v>
      </c>
      <c r="C1655" t="s">
        <v>107</v>
      </c>
      <c r="D1655" t="s">
        <v>3529</v>
      </c>
      <c r="E1655" s="1" t="s">
        <v>3530</v>
      </c>
      <c r="F1655">
        <f>VLOOKUP(A1655,Classifications!$A:$E,5,FALSE)</f>
        <v>2</v>
      </c>
      <c r="G1655">
        <f>VLOOKUP(A1655,Classifications!$A:$F,6,FALSE)</f>
        <v>1</v>
      </c>
      <c r="H1655">
        <f>VLOOKUP(A1655,Classifications!$A:$G,7,FALSE)</f>
        <v>43</v>
      </c>
      <c r="I1655" t="s">
        <v>11</v>
      </c>
      <c r="J1655" s="2">
        <v>44160.602847222224</v>
      </c>
    </row>
    <row r="1656" spans="1:10" ht="12.75" customHeight="1" x14ac:dyDescent="0.3">
      <c r="A1656">
        <v>1318469</v>
      </c>
      <c r="B1656" t="s">
        <v>7</v>
      </c>
      <c r="C1656" t="s">
        <v>789</v>
      </c>
      <c r="D1656" t="s">
        <v>3531</v>
      </c>
      <c r="E1656" s="1" t="s">
        <v>3532</v>
      </c>
      <c r="F1656">
        <f>VLOOKUP(A1656,Classifications!$A:$E,5,FALSE)</f>
        <v>3</v>
      </c>
      <c r="G1656">
        <f>VLOOKUP(A1656,Classifications!$A:$F,6,FALSE)</f>
        <v>1</v>
      </c>
      <c r="H1656">
        <f>VLOOKUP(A1656,Classifications!$A:$G,7,FALSE)</f>
        <v>43</v>
      </c>
      <c r="I1656" t="s">
        <v>11</v>
      </c>
      <c r="J1656" s="2">
        <v>44160.443842592591</v>
      </c>
    </row>
    <row r="1657" spans="1:10" ht="12.75" customHeight="1" x14ac:dyDescent="0.3">
      <c r="A1657">
        <v>1317892</v>
      </c>
      <c r="B1657" t="s">
        <v>515</v>
      </c>
      <c r="C1657" t="s">
        <v>3533</v>
      </c>
      <c r="D1657" t="s">
        <v>3534</v>
      </c>
      <c r="E1657" s="1" t="s">
        <v>3535</v>
      </c>
      <c r="F1657">
        <f>VLOOKUP(A1657,Classifications!$A:$E,5,FALSE)</f>
        <v>1</v>
      </c>
      <c r="G1657">
        <f>VLOOKUP(A1657,Classifications!$A:$F,6,FALSE)</f>
        <v>2</v>
      </c>
      <c r="H1657">
        <f>VLOOKUP(A1657,Classifications!$A:$G,7,FALSE)</f>
        <v>43</v>
      </c>
      <c r="I1657" t="s">
        <v>11</v>
      </c>
      <c r="J1657" s="2">
        <v>44159.551342592589</v>
      </c>
    </row>
    <row r="1658" spans="1:10" ht="12.75" customHeight="1" x14ac:dyDescent="0.3">
      <c r="A1658">
        <v>1317872</v>
      </c>
      <c r="B1658" t="s">
        <v>7</v>
      </c>
      <c r="C1658" t="s">
        <v>40</v>
      </c>
      <c r="D1658" t="s">
        <v>3536</v>
      </c>
      <c r="E1658" s="1" t="s">
        <v>3537</v>
      </c>
      <c r="F1658">
        <f>VLOOKUP(A1658,Classifications!$A:$E,5,FALSE)</f>
        <v>1</v>
      </c>
      <c r="G1658">
        <f>VLOOKUP(A1658,Classifications!$A:$F,6,FALSE)</f>
        <v>2</v>
      </c>
      <c r="H1658">
        <f>VLOOKUP(A1658,Classifications!$A:$G,7,FALSE)</f>
        <v>41</v>
      </c>
      <c r="I1658" t="s">
        <v>24</v>
      </c>
      <c r="J1658" s="2">
        <v>44159.512094907404</v>
      </c>
    </row>
    <row r="1659" spans="1:10" ht="12.75" customHeight="1" x14ac:dyDescent="0.3">
      <c r="A1659">
        <v>1317867</v>
      </c>
      <c r="B1659" t="s">
        <v>3538</v>
      </c>
      <c r="C1659" t="s">
        <v>3539</v>
      </c>
      <c r="D1659" t="s">
        <v>3540</v>
      </c>
      <c r="E1659" s="1" t="s">
        <v>3541</v>
      </c>
      <c r="F1659">
        <f>VLOOKUP(A1659,Classifications!$A:$E,5,FALSE)</f>
        <v>1</v>
      </c>
      <c r="G1659">
        <f>VLOOKUP(A1659,Classifications!$A:$F,6,FALSE)</f>
        <v>2</v>
      </c>
      <c r="H1659">
        <f>VLOOKUP(A1659,Classifications!$A:$G,7,FALSE)</f>
        <v>41</v>
      </c>
      <c r="I1659" t="s">
        <v>11</v>
      </c>
      <c r="J1659" s="2">
        <v>44159.504965277774</v>
      </c>
    </row>
    <row r="1660" spans="1:10" ht="12.75" customHeight="1" x14ac:dyDescent="0.3">
      <c r="A1660">
        <v>1317835</v>
      </c>
      <c r="B1660" t="s">
        <v>489</v>
      </c>
      <c r="C1660" t="s">
        <v>490</v>
      </c>
      <c r="D1660" t="s">
        <v>3542</v>
      </c>
      <c r="E1660" s="1" t="s">
        <v>3543</v>
      </c>
      <c r="F1660">
        <f>VLOOKUP(A1660,Classifications!$A:$E,5,FALSE)</f>
        <v>1</v>
      </c>
      <c r="G1660">
        <f>VLOOKUP(A1660,Classifications!$A:$F,6,FALSE)</f>
        <v>2</v>
      </c>
      <c r="H1660">
        <f>VLOOKUP(A1660,Classifications!$A:$G,7,FALSE)</f>
        <v>41</v>
      </c>
      <c r="I1660" t="s">
        <v>11</v>
      </c>
      <c r="J1660" s="2">
        <v>44159.464259259257</v>
      </c>
    </row>
    <row r="1661" spans="1:10" ht="12.75" customHeight="1" x14ac:dyDescent="0.3">
      <c r="A1661">
        <v>1317828</v>
      </c>
      <c r="B1661" t="s">
        <v>2134</v>
      </c>
      <c r="C1661" t="s">
        <v>2135</v>
      </c>
      <c r="D1661" t="s">
        <v>3544</v>
      </c>
      <c r="E1661" s="1" t="s">
        <v>3545</v>
      </c>
      <c r="F1661">
        <f>VLOOKUP(A1661,Classifications!$A:$E,5,FALSE)</f>
        <v>1</v>
      </c>
      <c r="G1661">
        <f>VLOOKUP(A1661,Classifications!$A:$F,6,FALSE)</f>
        <v>2</v>
      </c>
      <c r="H1661">
        <f>VLOOKUP(A1661,Classifications!$A:$G,7,FALSE)</f>
        <v>41</v>
      </c>
      <c r="I1661" t="s">
        <v>11</v>
      </c>
      <c r="J1661" s="2">
        <v>44159.451909722222</v>
      </c>
    </row>
    <row r="1662" spans="1:10" ht="12.75" customHeight="1" x14ac:dyDescent="0.3">
      <c r="A1662">
        <v>1317821</v>
      </c>
      <c r="B1662" t="s">
        <v>350</v>
      </c>
      <c r="C1662" t="s">
        <v>351</v>
      </c>
      <c r="D1662" t="s">
        <v>3546</v>
      </c>
      <c r="E1662" s="1" t="s">
        <v>3547</v>
      </c>
      <c r="F1662">
        <f>VLOOKUP(A1662,Classifications!$A:$E,5,FALSE)</f>
        <v>2</v>
      </c>
      <c r="G1662">
        <f>VLOOKUP(A1662,Classifications!$A:$F,6,FALSE)</f>
        <v>2</v>
      </c>
      <c r="H1662">
        <f>VLOOKUP(A1662,Classifications!$A:$G,7,FALSE)</f>
        <v>41</v>
      </c>
      <c r="I1662" t="s">
        <v>11</v>
      </c>
      <c r="J1662" s="2">
        <v>44159.446342592593</v>
      </c>
    </row>
    <row r="1663" spans="1:10" ht="12.75" customHeight="1" x14ac:dyDescent="0.3">
      <c r="A1663">
        <v>1317765</v>
      </c>
      <c r="B1663" t="s">
        <v>36</v>
      </c>
      <c r="C1663" t="s">
        <v>1342</v>
      </c>
      <c r="D1663" t="s">
        <v>3548</v>
      </c>
      <c r="E1663" s="1" t="s">
        <v>3549</v>
      </c>
      <c r="F1663">
        <f>VLOOKUP(A1663,Classifications!$A:$E,5,FALSE)</f>
        <v>1</v>
      </c>
      <c r="G1663">
        <f>VLOOKUP(A1663,Classifications!$A:$F,6,FALSE)</f>
        <v>2</v>
      </c>
      <c r="H1663">
        <f>VLOOKUP(A1663,Classifications!$A:$G,7,FALSE)</f>
        <v>41</v>
      </c>
      <c r="I1663" t="s">
        <v>24</v>
      </c>
      <c r="J1663" s="2">
        <v>44159.415532407409</v>
      </c>
    </row>
    <row r="1664" spans="1:10" ht="12.75" customHeight="1" x14ac:dyDescent="0.3">
      <c r="A1664">
        <v>1317748</v>
      </c>
      <c r="B1664" t="s">
        <v>318</v>
      </c>
      <c r="C1664" t="s">
        <v>319</v>
      </c>
      <c r="D1664" t="s">
        <v>3550</v>
      </c>
      <c r="E1664" s="1" t="s">
        <v>3551</v>
      </c>
      <c r="F1664">
        <f>VLOOKUP(A1664,Classifications!$A:$E,5,FALSE)</f>
        <v>1</v>
      </c>
      <c r="G1664">
        <f>VLOOKUP(A1664,Classifications!$A:$F,6,FALSE)</f>
        <v>2</v>
      </c>
      <c r="H1664">
        <f>VLOOKUP(A1664,Classifications!$A:$G,7,FALSE)</f>
        <v>41</v>
      </c>
      <c r="I1664" t="s">
        <v>11</v>
      </c>
      <c r="J1664" s="2">
        <v>44159.400937500002</v>
      </c>
    </row>
    <row r="1665" spans="1:10" ht="12.75" customHeight="1" x14ac:dyDescent="0.3">
      <c r="A1665">
        <v>1317734</v>
      </c>
      <c r="B1665" t="s">
        <v>36</v>
      </c>
      <c r="C1665" t="s">
        <v>700</v>
      </c>
      <c r="D1665" t="s">
        <v>3552</v>
      </c>
      <c r="E1665" s="1" t="s">
        <v>3553</v>
      </c>
      <c r="F1665">
        <f>VLOOKUP(A1665,Classifications!$A:$E,5,FALSE)</f>
        <v>3</v>
      </c>
      <c r="G1665">
        <f>VLOOKUP(A1665,Classifications!$A:$F,6,FALSE)</f>
        <v>2</v>
      </c>
      <c r="H1665">
        <f>VLOOKUP(A1665,Classifications!$A:$G,7,FALSE)</f>
        <v>43</v>
      </c>
      <c r="I1665" t="s">
        <v>24</v>
      </c>
      <c r="J1665" s="2">
        <v>44159.390451388892</v>
      </c>
    </row>
    <row r="1666" spans="1:10" ht="12.75" customHeight="1" x14ac:dyDescent="0.3">
      <c r="A1666">
        <v>1317721</v>
      </c>
      <c r="B1666" t="s">
        <v>301</v>
      </c>
      <c r="C1666" t="s">
        <v>2127</v>
      </c>
      <c r="D1666" t="s">
        <v>3554</v>
      </c>
      <c r="E1666" s="1" t="s">
        <v>3555</v>
      </c>
      <c r="F1666">
        <f>VLOOKUP(A1666,Classifications!$A:$E,5,FALSE)</f>
        <v>1</v>
      </c>
      <c r="G1666">
        <f>VLOOKUP(A1666,Classifications!$A:$F,6,FALSE)</f>
        <v>2</v>
      </c>
      <c r="H1666">
        <f>VLOOKUP(A1666,Classifications!$A:$G,7,FALSE)</f>
        <v>41</v>
      </c>
      <c r="I1666" t="s">
        <v>11</v>
      </c>
      <c r="J1666" s="2">
        <v>44159.373564814814</v>
      </c>
    </row>
    <row r="1667" spans="1:10" ht="12.75" customHeight="1" x14ac:dyDescent="0.3">
      <c r="A1667">
        <v>1317680</v>
      </c>
      <c r="B1667" t="s">
        <v>7</v>
      </c>
      <c r="C1667" t="s">
        <v>1371</v>
      </c>
      <c r="D1667" t="s">
        <v>3556</v>
      </c>
      <c r="E1667" s="1" t="s">
        <v>3557</v>
      </c>
      <c r="F1667">
        <f>VLOOKUP(A1667,Classifications!$A:$E,5,FALSE)</f>
        <v>1</v>
      </c>
      <c r="G1667">
        <f>VLOOKUP(A1667,Classifications!$A:$F,6,FALSE)</f>
        <v>3</v>
      </c>
      <c r="H1667">
        <f>VLOOKUP(A1667,Classifications!$A:$G,7,FALSE)</f>
        <v>41</v>
      </c>
      <c r="I1667" t="s">
        <v>24</v>
      </c>
      <c r="J1667" s="2">
        <v>44159.328819444447</v>
      </c>
    </row>
    <row r="1668" spans="1:10" ht="12.75" customHeight="1" x14ac:dyDescent="0.3">
      <c r="A1668">
        <v>1317375</v>
      </c>
      <c r="B1668" t="s">
        <v>157</v>
      </c>
      <c r="C1668" t="s">
        <v>1178</v>
      </c>
      <c r="D1668" t="s">
        <v>3558</v>
      </c>
      <c r="E1668" s="1" t="s">
        <v>3559</v>
      </c>
      <c r="F1668">
        <f>VLOOKUP(A1668,Classifications!$A:$E,5,FALSE)</f>
        <v>2</v>
      </c>
      <c r="G1668">
        <f>VLOOKUP(A1668,Classifications!$A:$F,6,FALSE)</f>
        <v>1</v>
      </c>
      <c r="H1668">
        <f>VLOOKUP(A1668,Classifications!$A:$G,7,FALSE)</f>
        <v>43</v>
      </c>
      <c r="I1668" t="s">
        <v>11</v>
      </c>
      <c r="J1668" s="2">
        <v>44158.82671296296</v>
      </c>
    </row>
    <row r="1669" spans="1:10" ht="12.75" customHeight="1" x14ac:dyDescent="0.3">
      <c r="A1669">
        <v>1317171</v>
      </c>
      <c r="B1669" t="s">
        <v>16</v>
      </c>
      <c r="C1669" t="s">
        <v>3560</v>
      </c>
      <c r="D1669" t="s">
        <v>3561</v>
      </c>
      <c r="E1669" s="1" t="s">
        <v>3562</v>
      </c>
      <c r="F1669">
        <f>VLOOKUP(A1669,Classifications!$A:$E,5,FALSE)</f>
        <v>1</v>
      </c>
      <c r="G1669">
        <f>VLOOKUP(A1669,Classifications!$A:$F,6,FALSE)</f>
        <v>2</v>
      </c>
      <c r="H1669">
        <f>VLOOKUP(A1669,Classifications!$A:$G,7,FALSE)</f>
        <v>43</v>
      </c>
      <c r="I1669" t="s">
        <v>11</v>
      </c>
      <c r="J1669" s="2">
        <v>44158.473425925928</v>
      </c>
    </row>
    <row r="1670" spans="1:10" ht="12.75" customHeight="1" x14ac:dyDescent="0.3">
      <c r="A1670">
        <v>1317104</v>
      </c>
      <c r="B1670" t="s">
        <v>20</v>
      </c>
      <c r="C1670" t="s">
        <v>57</v>
      </c>
      <c r="D1670" t="s">
        <v>3563</v>
      </c>
      <c r="E1670" s="1" t="s">
        <v>3564</v>
      </c>
      <c r="F1670">
        <f>VLOOKUP(A1670,Classifications!$A:$E,5,FALSE)</f>
        <v>2</v>
      </c>
      <c r="G1670">
        <f>VLOOKUP(A1670,Classifications!$A:$F,6,FALSE)</f>
        <v>2</v>
      </c>
      <c r="H1670">
        <f>VLOOKUP(A1670,Classifications!$A:$G,7,FALSE)</f>
        <v>41</v>
      </c>
      <c r="I1670" t="s">
        <v>24</v>
      </c>
      <c r="J1670" s="2">
        <v>44158.417592592596</v>
      </c>
    </row>
    <row r="1671" spans="1:10" ht="12.75" customHeight="1" x14ac:dyDescent="0.3">
      <c r="A1671">
        <v>1317087</v>
      </c>
      <c r="B1671" t="s">
        <v>7</v>
      </c>
      <c r="C1671" t="s">
        <v>107</v>
      </c>
      <c r="D1671" t="s">
        <v>3565</v>
      </c>
      <c r="E1671" s="1" t="s">
        <v>3566</v>
      </c>
      <c r="F1671">
        <f>VLOOKUP(A1671,Classifications!$A:$E,5,FALSE)</f>
        <v>1</v>
      </c>
      <c r="G1671">
        <f>VLOOKUP(A1671,Classifications!$A:$F,6,FALSE)</f>
        <v>1</v>
      </c>
      <c r="H1671">
        <f>VLOOKUP(A1671,Classifications!$A:$G,7,FALSE)</f>
        <v>43</v>
      </c>
      <c r="I1671" t="s">
        <v>11</v>
      </c>
      <c r="J1671" s="2">
        <v>44158.410856481481</v>
      </c>
    </row>
    <row r="1672" spans="1:10" ht="12.75" customHeight="1" x14ac:dyDescent="0.3">
      <c r="A1672">
        <v>1315608</v>
      </c>
      <c r="B1672" t="s">
        <v>318</v>
      </c>
      <c r="C1672" t="s">
        <v>3071</v>
      </c>
      <c r="D1672" t="s">
        <v>3567</v>
      </c>
      <c r="E1672" s="1" t="s">
        <v>3568</v>
      </c>
      <c r="F1672">
        <f>VLOOKUP(A1672,Classifications!$A:$E,5,FALSE)</f>
        <v>2</v>
      </c>
      <c r="G1672">
        <f>VLOOKUP(A1672,Classifications!$A:$F,6,FALSE)</f>
        <v>2</v>
      </c>
      <c r="H1672">
        <f>VLOOKUP(A1672,Classifications!$A:$G,7,FALSE)</f>
        <v>43</v>
      </c>
      <c r="I1672" t="s">
        <v>11</v>
      </c>
      <c r="J1672" s="2">
        <v>44155.526655092595</v>
      </c>
    </row>
    <row r="1673" spans="1:10" ht="12.75" customHeight="1" x14ac:dyDescent="0.3">
      <c r="A1673">
        <v>1315556</v>
      </c>
      <c r="B1673" t="s">
        <v>545</v>
      </c>
      <c r="C1673" t="s">
        <v>2209</v>
      </c>
      <c r="D1673" t="s">
        <v>3569</v>
      </c>
      <c r="E1673" s="1" t="s">
        <v>3570</v>
      </c>
      <c r="F1673">
        <f>VLOOKUP(A1673,Classifications!$A:$E,5,FALSE)</f>
        <v>2</v>
      </c>
      <c r="G1673">
        <f>VLOOKUP(A1673,Classifications!$A:$F,6,FALSE)</f>
        <v>2</v>
      </c>
      <c r="H1673">
        <f>VLOOKUP(A1673,Classifications!$A:$G,7,FALSE)</f>
        <v>41</v>
      </c>
      <c r="I1673" t="s">
        <v>11</v>
      </c>
      <c r="J1673" s="2">
        <v>44155.443715277775</v>
      </c>
    </row>
    <row r="1674" spans="1:10" ht="12.75" customHeight="1" x14ac:dyDescent="0.3">
      <c r="A1674">
        <v>1315501</v>
      </c>
      <c r="B1674" t="s">
        <v>36</v>
      </c>
      <c r="C1674" t="s">
        <v>822</v>
      </c>
      <c r="D1674" t="s">
        <v>3571</v>
      </c>
      <c r="E1674" s="1" t="s">
        <v>3572</v>
      </c>
      <c r="F1674">
        <f>VLOOKUP(A1674,Classifications!$A:$E,5,FALSE)</f>
        <v>2</v>
      </c>
      <c r="G1674">
        <f>VLOOKUP(A1674,Classifications!$A:$F,6,FALSE)</f>
        <v>2</v>
      </c>
      <c r="H1674">
        <f>VLOOKUP(A1674,Classifications!$A:$G,7,FALSE)</f>
        <v>41</v>
      </c>
      <c r="I1674" t="s">
        <v>24</v>
      </c>
      <c r="J1674" s="2">
        <v>44155.408796296295</v>
      </c>
    </row>
    <row r="1675" spans="1:10" ht="12.75" customHeight="1" x14ac:dyDescent="0.3">
      <c r="A1675">
        <v>1315487</v>
      </c>
      <c r="B1675" t="s">
        <v>36</v>
      </c>
      <c r="C1675" t="s">
        <v>765</v>
      </c>
      <c r="D1675" t="s">
        <v>3573</v>
      </c>
      <c r="E1675" s="1" t="s">
        <v>3574</v>
      </c>
      <c r="F1675">
        <f>VLOOKUP(A1675,Classifications!$A:$E,5,FALSE)</f>
        <v>3</v>
      </c>
      <c r="G1675">
        <f>VLOOKUP(A1675,Classifications!$A:$F,6,FALSE)</f>
        <v>2</v>
      </c>
      <c r="H1675">
        <f>VLOOKUP(A1675,Classifications!$A:$G,7,FALSE)</f>
        <v>41</v>
      </c>
      <c r="I1675" t="s">
        <v>24</v>
      </c>
      <c r="J1675" s="2">
        <v>44155.401782407411</v>
      </c>
    </row>
    <row r="1676" spans="1:10" ht="12.75" customHeight="1" x14ac:dyDescent="0.3">
      <c r="A1676">
        <v>1315178</v>
      </c>
      <c r="B1676" t="s">
        <v>45</v>
      </c>
      <c r="C1676" t="s">
        <v>1743</v>
      </c>
      <c r="D1676" t="s">
        <v>3575</v>
      </c>
      <c r="E1676" s="1" t="s">
        <v>3576</v>
      </c>
      <c r="F1676">
        <f>VLOOKUP(A1676,Classifications!$A:$E,5,FALSE)</f>
        <v>2</v>
      </c>
      <c r="G1676">
        <f>VLOOKUP(A1676,Classifications!$A:$F,6,FALSE)</f>
        <v>2</v>
      </c>
      <c r="H1676">
        <f>VLOOKUP(A1676,Classifications!$A:$G,7,FALSE)</f>
        <v>41</v>
      </c>
      <c r="I1676" t="s">
        <v>11</v>
      </c>
      <c r="J1676" s="2">
        <v>44154.825740740744</v>
      </c>
    </row>
    <row r="1677" spans="1:10" ht="12.75" customHeight="1" x14ac:dyDescent="0.3">
      <c r="A1677">
        <v>1315080</v>
      </c>
      <c r="B1677" t="s">
        <v>20</v>
      </c>
      <c r="C1677" t="s">
        <v>1596</v>
      </c>
      <c r="D1677" t="s">
        <v>3577</v>
      </c>
      <c r="E1677" s="1" t="s">
        <v>3578</v>
      </c>
      <c r="F1677">
        <f>VLOOKUP(A1677,Classifications!$A:$E,5,FALSE)</f>
        <v>2</v>
      </c>
      <c r="G1677">
        <f>VLOOKUP(A1677,Classifications!$A:$F,6,FALSE)</f>
        <v>2</v>
      </c>
      <c r="H1677">
        <f>VLOOKUP(A1677,Classifications!$A:$G,7,FALSE)</f>
        <v>43</v>
      </c>
      <c r="I1677" t="s">
        <v>24</v>
      </c>
      <c r="J1677" s="2">
        <v>44154.684074074074</v>
      </c>
    </row>
    <row r="1678" spans="1:10" ht="12.75" customHeight="1" x14ac:dyDescent="0.3">
      <c r="A1678">
        <v>1315073</v>
      </c>
      <c r="B1678" t="s">
        <v>606</v>
      </c>
      <c r="C1678" t="s">
        <v>2534</v>
      </c>
      <c r="D1678" t="s">
        <v>3579</v>
      </c>
      <c r="E1678" s="1" t="s">
        <v>3580</v>
      </c>
      <c r="F1678">
        <f>VLOOKUP(A1678,Classifications!$A:$E,5,FALSE)</f>
        <v>2</v>
      </c>
      <c r="G1678">
        <f>VLOOKUP(A1678,Classifications!$A:$F,6,FALSE)</f>
        <v>2</v>
      </c>
      <c r="H1678">
        <f>VLOOKUP(A1678,Classifications!$A:$G,7,FALSE)</f>
        <v>43</v>
      </c>
      <c r="I1678" t="s">
        <v>24</v>
      </c>
      <c r="J1678" s="2">
        <v>44154.668171296296</v>
      </c>
    </row>
    <row r="1679" spans="1:10" ht="12.75" customHeight="1" x14ac:dyDescent="0.3">
      <c r="A1679">
        <v>1314989</v>
      </c>
      <c r="B1679" t="s">
        <v>36</v>
      </c>
      <c r="C1679" t="s">
        <v>67</v>
      </c>
      <c r="D1679" t="s">
        <v>3581</v>
      </c>
      <c r="E1679" s="1" t="s">
        <v>3582</v>
      </c>
      <c r="F1679">
        <f>VLOOKUP(A1679,Classifications!$A:$E,5,FALSE)</f>
        <v>3</v>
      </c>
      <c r="G1679">
        <f>VLOOKUP(A1679,Classifications!$A:$F,6,FALSE)</f>
        <v>2</v>
      </c>
      <c r="H1679">
        <f>VLOOKUP(A1679,Classifications!$A:$G,7,FALSE)</f>
        <v>43</v>
      </c>
      <c r="I1679" t="s">
        <v>24</v>
      </c>
      <c r="J1679" s="2">
        <v>44154.506944444445</v>
      </c>
    </row>
    <row r="1680" spans="1:10" ht="12.75" customHeight="1" x14ac:dyDescent="0.3">
      <c r="A1680">
        <v>1314983</v>
      </c>
      <c r="B1680" t="s">
        <v>12</v>
      </c>
      <c r="C1680" t="s">
        <v>338</v>
      </c>
      <c r="D1680" t="s">
        <v>3583</v>
      </c>
      <c r="E1680" s="1" t="s">
        <v>3584</v>
      </c>
      <c r="F1680">
        <f>VLOOKUP(A1680,Classifications!$A:$E,5,FALSE)</f>
        <v>3</v>
      </c>
      <c r="G1680">
        <f>VLOOKUP(A1680,Classifications!$A:$F,6,FALSE)</f>
        <v>2</v>
      </c>
      <c r="H1680">
        <f>VLOOKUP(A1680,Classifications!$A:$G,7,FALSE)</f>
        <v>41</v>
      </c>
      <c r="I1680" t="s">
        <v>11</v>
      </c>
      <c r="J1680" s="2">
        <v>44154.496446759258</v>
      </c>
    </row>
    <row r="1681" spans="1:10" ht="12.75" customHeight="1" x14ac:dyDescent="0.3">
      <c r="A1681">
        <v>1314970</v>
      </c>
      <c r="B1681" t="s">
        <v>813</v>
      </c>
      <c r="C1681" t="s">
        <v>814</v>
      </c>
      <c r="D1681" t="s">
        <v>3585</v>
      </c>
      <c r="E1681" s="1" t="s">
        <v>3586</v>
      </c>
      <c r="F1681">
        <f>VLOOKUP(A1681,Classifications!$A:$E,5,FALSE)</f>
        <v>3</v>
      </c>
      <c r="G1681">
        <f>VLOOKUP(A1681,Classifications!$A:$F,6,FALSE)</f>
        <v>2</v>
      </c>
      <c r="H1681">
        <f>VLOOKUP(A1681,Classifications!$A:$G,7,FALSE)</f>
        <v>41</v>
      </c>
      <c r="I1681" t="s">
        <v>24</v>
      </c>
      <c r="J1681" s="2">
        <v>44154.461388888885</v>
      </c>
    </row>
    <row r="1682" spans="1:10" ht="12.75" customHeight="1" x14ac:dyDescent="0.3">
      <c r="A1682">
        <v>1314960</v>
      </c>
      <c r="B1682" t="s">
        <v>177</v>
      </c>
      <c r="C1682" t="s">
        <v>3587</v>
      </c>
      <c r="D1682" t="s">
        <v>3588</v>
      </c>
      <c r="E1682" s="1" t="s">
        <v>3589</v>
      </c>
      <c r="F1682">
        <f>VLOOKUP(A1682,Classifications!$A:$E,5,FALSE)</f>
        <v>1</v>
      </c>
      <c r="G1682">
        <f>VLOOKUP(A1682,Classifications!$A:$F,6,FALSE)</f>
        <v>1</v>
      </c>
      <c r="H1682">
        <f>VLOOKUP(A1682,Classifications!$A:$G,7,FALSE)</f>
        <v>43</v>
      </c>
      <c r="I1682" t="s">
        <v>24</v>
      </c>
      <c r="J1682" s="2">
        <v>44154.433472222219</v>
      </c>
    </row>
    <row r="1683" spans="1:10" ht="12.75" customHeight="1" x14ac:dyDescent="0.3">
      <c r="A1683">
        <v>1314948</v>
      </c>
      <c r="B1683" t="s">
        <v>157</v>
      </c>
      <c r="C1683" t="s">
        <v>3590</v>
      </c>
      <c r="D1683" t="s">
        <v>3591</v>
      </c>
      <c r="E1683" s="1" t="s">
        <v>3592</v>
      </c>
      <c r="F1683">
        <f>VLOOKUP(A1683,Classifications!$A:$E,5,FALSE)</f>
        <v>2</v>
      </c>
      <c r="G1683">
        <f>VLOOKUP(A1683,Classifications!$A:$F,6,FALSE)</f>
        <v>2</v>
      </c>
      <c r="H1683">
        <f>VLOOKUP(A1683,Classifications!$A:$G,7,FALSE)</f>
        <v>41</v>
      </c>
      <c r="I1683" t="s">
        <v>11</v>
      </c>
      <c r="J1683" s="2">
        <v>44154.418703703705</v>
      </c>
    </row>
    <row r="1684" spans="1:10" ht="12.75" customHeight="1" x14ac:dyDescent="0.3">
      <c r="A1684">
        <v>1314918</v>
      </c>
      <c r="B1684" t="s">
        <v>16</v>
      </c>
      <c r="C1684" t="s">
        <v>181</v>
      </c>
      <c r="D1684" t="s">
        <v>3593</v>
      </c>
      <c r="E1684" s="1" t="s">
        <v>3594</v>
      </c>
      <c r="F1684">
        <f>VLOOKUP(A1684,Classifications!$A:$E,5,FALSE)</f>
        <v>2</v>
      </c>
      <c r="G1684">
        <f>VLOOKUP(A1684,Classifications!$A:$F,6,FALSE)</f>
        <v>2</v>
      </c>
      <c r="H1684">
        <f>VLOOKUP(A1684,Classifications!$A:$G,7,FALSE)</f>
        <v>41</v>
      </c>
      <c r="I1684" t="s">
        <v>11</v>
      </c>
      <c r="J1684" s="2">
        <v>44154.413506944446</v>
      </c>
    </row>
    <row r="1685" spans="1:10" ht="12.75" customHeight="1" x14ac:dyDescent="0.3">
      <c r="A1685">
        <v>1314917</v>
      </c>
      <c r="B1685" t="s">
        <v>545</v>
      </c>
      <c r="C1685" t="s">
        <v>2579</v>
      </c>
      <c r="D1685" t="s">
        <v>3595</v>
      </c>
      <c r="E1685" s="1" t="s">
        <v>3596</v>
      </c>
      <c r="F1685">
        <f>VLOOKUP(A1685,Classifications!$A:$E,5,FALSE)</f>
        <v>2</v>
      </c>
      <c r="G1685">
        <f>VLOOKUP(A1685,Classifications!$A:$F,6,FALSE)</f>
        <v>2</v>
      </c>
      <c r="H1685">
        <f>VLOOKUP(A1685,Classifications!$A:$G,7,FALSE)</f>
        <v>41</v>
      </c>
      <c r="I1685" t="s">
        <v>24</v>
      </c>
      <c r="J1685" s="2">
        <v>44154.412499999999</v>
      </c>
    </row>
    <row r="1686" spans="1:10" ht="12.75" customHeight="1" x14ac:dyDescent="0.3">
      <c r="A1686">
        <v>1314912</v>
      </c>
      <c r="B1686" t="s">
        <v>36</v>
      </c>
      <c r="C1686" t="s">
        <v>67</v>
      </c>
      <c r="D1686" t="s">
        <v>3597</v>
      </c>
      <c r="E1686" s="1" t="s">
        <v>3598</v>
      </c>
      <c r="F1686">
        <f>VLOOKUP(A1686,Classifications!$A:$E,5,FALSE)</f>
        <v>3</v>
      </c>
      <c r="G1686">
        <f>VLOOKUP(A1686,Classifications!$A:$F,6,FALSE)</f>
        <v>2</v>
      </c>
      <c r="H1686">
        <f>VLOOKUP(A1686,Classifications!$A:$G,7,FALSE)</f>
        <v>43</v>
      </c>
      <c r="I1686" t="s">
        <v>24</v>
      </c>
      <c r="J1686" s="2">
        <v>44154.404849537037</v>
      </c>
    </row>
    <row r="1687" spans="1:10" ht="12.75" customHeight="1" x14ac:dyDescent="0.3">
      <c r="A1687">
        <v>1314904</v>
      </c>
      <c r="B1687" t="s">
        <v>489</v>
      </c>
      <c r="C1687" t="s">
        <v>158</v>
      </c>
      <c r="D1687" t="s">
        <v>3599</v>
      </c>
      <c r="E1687" s="1" t="s">
        <v>3600</v>
      </c>
      <c r="F1687">
        <f>VLOOKUP(A1687,Classifications!$A:$E,5,FALSE)</f>
        <v>2</v>
      </c>
      <c r="G1687">
        <f>VLOOKUP(A1687,Classifications!$A:$F,6,FALSE)</f>
        <v>2</v>
      </c>
      <c r="H1687">
        <f>VLOOKUP(A1687,Classifications!$A:$G,7,FALSE)</f>
        <v>41</v>
      </c>
      <c r="I1687" t="s">
        <v>11</v>
      </c>
      <c r="J1687" s="2">
        <v>44154.393240740741</v>
      </c>
    </row>
    <row r="1688" spans="1:10" ht="12.75" customHeight="1" x14ac:dyDescent="0.3">
      <c r="A1688">
        <v>1314899</v>
      </c>
      <c r="B1688" t="s">
        <v>16</v>
      </c>
      <c r="C1688" t="s">
        <v>3601</v>
      </c>
      <c r="D1688" t="s">
        <v>3602</v>
      </c>
      <c r="E1688" s="1" t="s">
        <v>3603</v>
      </c>
      <c r="F1688">
        <f>VLOOKUP(A1688,Classifications!$A:$E,5,FALSE)</f>
        <v>1</v>
      </c>
      <c r="G1688">
        <f>VLOOKUP(A1688,Classifications!$A:$F,6,FALSE)</f>
        <v>2</v>
      </c>
      <c r="H1688">
        <f>VLOOKUP(A1688,Classifications!$A:$G,7,FALSE)</f>
        <v>41</v>
      </c>
      <c r="I1688" t="s">
        <v>11</v>
      </c>
      <c r="J1688" s="2">
        <v>44154.388680555552</v>
      </c>
    </row>
    <row r="1689" spans="1:10" ht="12.75" customHeight="1" x14ac:dyDescent="0.3">
      <c r="A1689">
        <v>1314342</v>
      </c>
      <c r="B1689" t="s">
        <v>3604</v>
      </c>
      <c r="C1689" t="s">
        <v>3605</v>
      </c>
      <c r="D1689" t="s">
        <v>3606</v>
      </c>
      <c r="E1689" s="1" t="s">
        <v>3607</v>
      </c>
      <c r="F1689">
        <f>VLOOKUP(A1689,Classifications!$A:$E,5,FALSE)</f>
        <v>3</v>
      </c>
      <c r="G1689">
        <f>VLOOKUP(A1689,Classifications!$A:$F,6,FALSE)</f>
        <v>3</v>
      </c>
      <c r="H1689">
        <f>VLOOKUP(A1689,Classifications!$A:$G,7,FALSE)</f>
        <v>41</v>
      </c>
      <c r="I1689" t="s">
        <v>11</v>
      </c>
      <c r="J1689" s="2">
        <v>44153.623703703706</v>
      </c>
    </row>
    <row r="1690" spans="1:10" ht="12.75" customHeight="1" x14ac:dyDescent="0.3">
      <c r="A1690">
        <v>1314327</v>
      </c>
      <c r="B1690" t="s">
        <v>157</v>
      </c>
      <c r="C1690" t="s">
        <v>627</v>
      </c>
      <c r="D1690" t="s">
        <v>3608</v>
      </c>
      <c r="E1690" s="1" t="s">
        <v>3609</v>
      </c>
      <c r="F1690">
        <f>VLOOKUP(A1690,Classifications!$A:$E,5,FALSE)</f>
        <v>3</v>
      </c>
      <c r="G1690">
        <f>VLOOKUP(A1690,Classifications!$A:$F,6,FALSE)</f>
        <v>2</v>
      </c>
      <c r="H1690">
        <f>VLOOKUP(A1690,Classifications!$A:$G,7,FALSE)</f>
        <v>43</v>
      </c>
      <c r="I1690" t="s">
        <v>11</v>
      </c>
      <c r="J1690" s="2">
        <v>44153.588680555556</v>
      </c>
    </row>
    <row r="1691" spans="1:10" ht="12.75" customHeight="1" x14ac:dyDescent="0.3">
      <c r="A1691">
        <v>1314319</v>
      </c>
      <c r="B1691" t="s">
        <v>36</v>
      </c>
      <c r="C1691" t="s">
        <v>762</v>
      </c>
      <c r="D1691" t="s">
        <v>3610</v>
      </c>
      <c r="E1691" s="1" t="s">
        <v>3611</v>
      </c>
      <c r="F1691">
        <f>VLOOKUP(A1691,Classifications!$A:$E,5,FALSE)</f>
        <v>3</v>
      </c>
      <c r="G1691">
        <f>VLOOKUP(A1691,Classifications!$A:$F,6,FALSE)</f>
        <v>2</v>
      </c>
      <c r="H1691">
        <f>VLOOKUP(A1691,Classifications!$A:$G,7,FALSE)</f>
        <v>41</v>
      </c>
      <c r="I1691" t="s">
        <v>24</v>
      </c>
      <c r="J1691" s="2">
        <v>44153.562268518515</v>
      </c>
    </row>
    <row r="1692" spans="1:10" ht="12.75" customHeight="1" x14ac:dyDescent="0.3">
      <c r="A1692">
        <v>1314275</v>
      </c>
      <c r="B1692" t="s">
        <v>53</v>
      </c>
      <c r="C1692" t="s">
        <v>54</v>
      </c>
      <c r="D1692" t="s">
        <v>3612</v>
      </c>
      <c r="E1692" s="1" t="s">
        <v>3613</v>
      </c>
      <c r="F1692">
        <f>VLOOKUP(A1692,Classifications!$A:$E,5,FALSE)</f>
        <v>3</v>
      </c>
      <c r="G1692">
        <f>VLOOKUP(A1692,Classifications!$A:$F,6,FALSE)</f>
        <v>2</v>
      </c>
      <c r="H1692">
        <f>VLOOKUP(A1692,Classifications!$A:$G,7,FALSE)</f>
        <v>43</v>
      </c>
      <c r="I1692" t="s">
        <v>11</v>
      </c>
      <c r="J1692" s="2">
        <v>44153.470312500001</v>
      </c>
    </row>
    <row r="1693" spans="1:10" ht="12.75" customHeight="1" x14ac:dyDescent="0.3">
      <c r="A1693">
        <v>1314272</v>
      </c>
      <c r="B1693" t="s">
        <v>36</v>
      </c>
      <c r="C1693" t="s">
        <v>343</v>
      </c>
      <c r="D1693" t="s">
        <v>3614</v>
      </c>
      <c r="E1693" s="1" t="s">
        <v>3615</v>
      </c>
      <c r="F1693">
        <f>VLOOKUP(A1693,Classifications!$A:$E,5,FALSE)</f>
        <v>3</v>
      </c>
      <c r="G1693">
        <f>VLOOKUP(A1693,Classifications!$A:$F,6,FALSE)</f>
        <v>2</v>
      </c>
      <c r="H1693">
        <f>VLOOKUP(A1693,Classifications!$A:$G,7,FALSE)</f>
        <v>43</v>
      </c>
      <c r="I1693" t="s">
        <v>24</v>
      </c>
      <c r="J1693" s="2">
        <v>44153.46162037037</v>
      </c>
    </row>
    <row r="1694" spans="1:10" ht="12.75" customHeight="1" x14ac:dyDescent="0.3">
      <c r="A1694">
        <v>1314271</v>
      </c>
      <c r="B1694" t="s">
        <v>36</v>
      </c>
      <c r="C1694" t="s">
        <v>343</v>
      </c>
      <c r="D1694" t="s">
        <v>3616</v>
      </c>
      <c r="E1694" s="1" t="s">
        <v>3617</v>
      </c>
      <c r="F1694">
        <f>VLOOKUP(A1694,Classifications!$A:$E,5,FALSE)</f>
        <v>2</v>
      </c>
      <c r="G1694">
        <f>VLOOKUP(A1694,Classifications!$A:$F,6,FALSE)</f>
        <v>2</v>
      </c>
      <c r="H1694">
        <f>VLOOKUP(A1694,Classifications!$A:$G,7,FALSE)</f>
        <v>41</v>
      </c>
      <c r="I1694" t="s">
        <v>24</v>
      </c>
      <c r="J1694" s="2">
        <v>44153.460416666669</v>
      </c>
    </row>
    <row r="1695" spans="1:10" ht="12.75" customHeight="1" x14ac:dyDescent="0.3">
      <c r="A1695">
        <v>1314257</v>
      </c>
      <c r="B1695" t="s">
        <v>1137</v>
      </c>
      <c r="C1695" t="s">
        <v>1138</v>
      </c>
      <c r="D1695" t="s">
        <v>3618</v>
      </c>
      <c r="E1695" s="1" t="s">
        <v>3619</v>
      </c>
      <c r="F1695">
        <f>VLOOKUP(A1695,Classifications!$A:$E,5,FALSE)</f>
        <v>3</v>
      </c>
      <c r="G1695">
        <f>VLOOKUP(A1695,Classifications!$A:$F,6,FALSE)</f>
        <v>1</v>
      </c>
      <c r="H1695">
        <f>VLOOKUP(A1695,Classifications!$A:$G,7,FALSE)</f>
        <v>41</v>
      </c>
      <c r="I1695" t="s">
        <v>24</v>
      </c>
      <c r="J1695" s="2">
        <v>44153.441759259258</v>
      </c>
    </row>
    <row r="1696" spans="1:10" ht="12.75" customHeight="1" x14ac:dyDescent="0.3">
      <c r="A1696">
        <v>1314256</v>
      </c>
      <c r="B1696" t="s">
        <v>36</v>
      </c>
      <c r="C1696" t="s">
        <v>124</v>
      </c>
      <c r="D1696" t="s">
        <v>3620</v>
      </c>
      <c r="E1696" s="1" t="s">
        <v>3621</v>
      </c>
      <c r="F1696">
        <f>VLOOKUP(A1696,Classifications!$A:$E,5,FALSE)</f>
        <v>2</v>
      </c>
      <c r="G1696">
        <f>VLOOKUP(A1696,Classifications!$A:$F,6,FALSE)</f>
        <v>2</v>
      </c>
      <c r="H1696">
        <f>VLOOKUP(A1696,Classifications!$A:$G,7,FALSE)</f>
        <v>43</v>
      </c>
      <c r="I1696" t="s">
        <v>24</v>
      </c>
      <c r="J1696" s="2">
        <v>44153.441469907404</v>
      </c>
    </row>
    <row r="1697" spans="1:10" ht="12.75" customHeight="1" x14ac:dyDescent="0.3">
      <c r="A1697">
        <v>1314212</v>
      </c>
      <c r="B1697" t="s">
        <v>860</v>
      </c>
      <c r="C1697" t="s">
        <v>158</v>
      </c>
      <c r="D1697" t="s">
        <v>3622</v>
      </c>
      <c r="E1697" s="1" t="s">
        <v>3623</v>
      </c>
      <c r="F1697">
        <f>VLOOKUP(A1697,Classifications!$A:$E,5,FALSE)</f>
        <v>3</v>
      </c>
      <c r="G1697">
        <f>VLOOKUP(A1697,Classifications!$A:$F,6,FALSE)</f>
        <v>2</v>
      </c>
      <c r="H1697">
        <f>VLOOKUP(A1697,Classifications!$A:$G,7,FALSE)</f>
        <v>41</v>
      </c>
      <c r="I1697" t="s">
        <v>24</v>
      </c>
      <c r="J1697" s="2">
        <v>44153.398252314815</v>
      </c>
    </row>
    <row r="1698" spans="1:10" ht="12.75" customHeight="1" x14ac:dyDescent="0.3">
      <c r="A1698">
        <v>1313776</v>
      </c>
      <c r="B1698" t="s">
        <v>36</v>
      </c>
      <c r="C1698" t="s">
        <v>343</v>
      </c>
      <c r="D1698" t="s">
        <v>3624</v>
      </c>
      <c r="E1698" s="1" t="s">
        <v>3625</v>
      </c>
      <c r="F1698">
        <f>VLOOKUP(A1698,Classifications!$A:$E,5,FALSE)</f>
        <v>1</v>
      </c>
      <c r="G1698">
        <f>VLOOKUP(A1698,Classifications!$A:$F,6,FALSE)</f>
        <v>1</v>
      </c>
      <c r="H1698">
        <f>VLOOKUP(A1698,Classifications!$A:$G,7,FALSE)</f>
        <v>43</v>
      </c>
      <c r="I1698" t="s">
        <v>24</v>
      </c>
      <c r="J1698" s="2">
        <v>44152.634583333333</v>
      </c>
    </row>
    <row r="1699" spans="1:10" ht="12.75" customHeight="1" x14ac:dyDescent="0.3">
      <c r="A1699">
        <v>1313772</v>
      </c>
      <c r="B1699" t="s">
        <v>53</v>
      </c>
      <c r="C1699" t="s">
        <v>54</v>
      </c>
      <c r="D1699" t="s">
        <v>3626</v>
      </c>
      <c r="E1699" s="1" t="s">
        <v>3627</v>
      </c>
      <c r="F1699">
        <f>VLOOKUP(A1699,Classifications!$A:$E,5,FALSE)</f>
        <v>2</v>
      </c>
      <c r="G1699">
        <f>VLOOKUP(A1699,Classifications!$A:$F,6,FALSE)</f>
        <v>2</v>
      </c>
      <c r="H1699">
        <f>VLOOKUP(A1699,Classifications!$A:$G,7,FALSE)</f>
        <v>41</v>
      </c>
      <c r="I1699" t="s">
        <v>11</v>
      </c>
      <c r="J1699" s="2">
        <v>44152.630729166667</v>
      </c>
    </row>
    <row r="1700" spans="1:10" ht="12.75" customHeight="1" x14ac:dyDescent="0.3">
      <c r="A1700">
        <v>1313762</v>
      </c>
      <c r="B1700" t="s">
        <v>545</v>
      </c>
      <c r="C1700" t="s">
        <v>2209</v>
      </c>
      <c r="D1700" t="s">
        <v>3628</v>
      </c>
      <c r="E1700" s="1" t="s">
        <v>3629</v>
      </c>
      <c r="F1700">
        <f>VLOOKUP(A1700,Classifications!$A:$E,5,FALSE)</f>
        <v>2</v>
      </c>
      <c r="G1700">
        <f>VLOOKUP(A1700,Classifications!$A:$F,6,FALSE)</f>
        <v>2</v>
      </c>
      <c r="H1700">
        <f>VLOOKUP(A1700,Classifications!$A:$G,7,FALSE)</f>
        <v>41</v>
      </c>
      <c r="I1700" t="s">
        <v>24</v>
      </c>
      <c r="J1700" s="2">
        <v>44152.611712962964</v>
      </c>
    </row>
    <row r="1701" spans="1:10" ht="12.75" customHeight="1" x14ac:dyDescent="0.3">
      <c r="A1701">
        <v>1313746</v>
      </c>
      <c r="B1701" t="s">
        <v>3002</v>
      </c>
      <c r="C1701" t="s">
        <v>3630</v>
      </c>
      <c r="D1701" t="s">
        <v>3631</v>
      </c>
      <c r="E1701" s="1" t="s">
        <v>3632</v>
      </c>
      <c r="F1701">
        <f>VLOOKUP(A1701,Classifications!$A:$E,5,FALSE)</f>
        <v>1</v>
      </c>
      <c r="G1701">
        <f>VLOOKUP(A1701,Classifications!$A:$F,6,FALSE)</f>
        <v>2</v>
      </c>
      <c r="H1701">
        <f>VLOOKUP(A1701,Classifications!$A:$G,7,FALSE)</f>
        <v>41</v>
      </c>
      <c r="I1701" t="s">
        <v>11</v>
      </c>
      <c r="J1701" s="2">
        <v>44152.580682870372</v>
      </c>
    </row>
    <row r="1702" spans="1:10" ht="12.75" customHeight="1" x14ac:dyDescent="0.3">
      <c r="A1702">
        <v>1313726</v>
      </c>
      <c r="B1702" t="s">
        <v>318</v>
      </c>
      <c r="C1702" t="s">
        <v>319</v>
      </c>
      <c r="D1702" t="s">
        <v>3633</v>
      </c>
      <c r="E1702" s="1" t="s">
        <v>3634</v>
      </c>
      <c r="F1702">
        <f>VLOOKUP(A1702,Classifications!$A:$E,5,FALSE)</f>
        <v>2</v>
      </c>
      <c r="G1702">
        <f>VLOOKUP(A1702,Classifications!$A:$F,6,FALSE)</f>
        <v>2</v>
      </c>
      <c r="H1702">
        <f>VLOOKUP(A1702,Classifications!$A:$G,7,FALSE)</f>
        <v>43</v>
      </c>
      <c r="I1702" t="s">
        <v>24</v>
      </c>
      <c r="J1702" s="2">
        <v>44152.552777777775</v>
      </c>
    </row>
    <row r="1703" spans="1:10" ht="12.75" customHeight="1" x14ac:dyDescent="0.3">
      <c r="A1703">
        <v>1313676</v>
      </c>
      <c r="B1703" t="s">
        <v>12</v>
      </c>
      <c r="C1703" t="s">
        <v>338</v>
      </c>
      <c r="D1703" t="s">
        <v>3635</v>
      </c>
      <c r="E1703" s="1" t="s">
        <v>3636</v>
      </c>
      <c r="F1703">
        <f>VLOOKUP(A1703,Classifications!$A:$E,5,FALSE)</f>
        <v>2</v>
      </c>
      <c r="G1703">
        <f>VLOOKUP(A1703,Classifications!$A:$F,6,FALSE)</f>
        <v>2</v>
      </c>
      <c r="H1703">
        <f>VLOOKUP(A1703,Classifications!$A:$G,7,FALSE)</f>
        <v>41</v>
      </c>
      <c r="I1703" t="s">
        <v>11</v>
      </c>
      <c r="J1703" s="2">
        <v>44152.474907407406</v>
      </c>
    </row>
    <row r="1704" spans="1:10" ht="12.75" customHeight="1" x14ac:dyDescent="0.3">
      <c r="A1704">
        <v>1313561</v>
      </c>
      <c r="B1704" t="s">
        <v>36</v>
      </c>
      <c r="C1704" t="s">
        <v>67</v>
      </c>
      <c r="D1704" t="s">
        <v>3637</v>
      </c>
      <c r="E1704" s="1" t="s">
        <v>3638</v>
      </c>
      <c r="F1704">
        <f>VLOOKUP(A1704,Classifications!$A:$E,5,FALSE)</f>
        <v>3</v>
      </c>
      <c r="G1704">
        <f>VLOOKUP(A1704,Classifications!$A:$F,6,FALSE)</f>
        <v>2</v>
      </c>
      <c r="H1704">
        <f>VLOOKUP(A1704,Classifications!$A:$G,7,FALSE)</f>
        <v>43</v>
      </c>
      <c r="I1704" t="s">
        <v>24</v>
      </c>
      <c r="J1704" s="2">
        <v>44152.340173611112</v>
      </c>
    </row>
    <row r="1705" spans="1:10" ht="12.75" customHeight="1" x14ac:dyDescent="0.3">
      <c r="A1705">
        <v>1313277</v>
      </c>
      <c r="B1705" t="s">
        <v>53</v>
      </c>
      <c r="C1705" t="s">
        <v>54</v>
      </c>
      <c r="D1705" t="s">
        <v>3639</v>
      </c>
      <c r="E1705" s="1" t="s">
        <v>3640</v>
      </c>
      <c r="F1705">
        <f>VLOOKUP(A1705,Classifications!$A:$E,5,FALSE)</f>
        <v>2</v>
      </c>
      <c r="G1705">
        <f>VLOOKUP(A1705,Classifications!$A:$F,6,FALSE)</f>
        <v>2</v>
      </c>
      <c r="H1705">
        <f>VLOOKUP(A1705,Classifications!$A:$G,7,FALSE)</f>
        <v>43</v>
      </c>
      <c r="I1705" t="s">
        <v>11</v>
      </c>
      <c r="J1705" s="2">
        <v>44151.767199074071</v>
      </c>
    </row>
    <row r="1706" spans="1:10" ht="12.75" customHeight="1" x14ac:dyDescent="0.3">
      <c r="A1706">
        <v>1313199</v>
      </c>
      <c r="B1706" t="s">
        <v>36</v>
      </c>
      <c r="C1706" t="s">
        <v>3641</v>
      </c>
      <c r="D1706" t="s">
        <v>3642</v>
      </c>
      <c r="E1706" s="1" t="s">
        <v>3643</v>
      </c>
      <c r="F1706">
        <f>VLOOKUP(A1706,Classifications!$A:$E,5,FALSE)</f>
        <v>2</v>
      </c>
      <c r="G1706">
        <f>VLOOKUP(A1706,Classifications!$A:$F,6,FALSE)</f>
        <v>2</v>
      </c>
      <c r="H1706">
        <f>VLOOKUP(A1706,Classifications!$A:$G,7,FALSE)</f>
        <v>43</v>
      </c>
      <c r="I1706" t="s">
        <v>24</v>
      </c>
      <c r="J1706" s="2">
        <v>44151.63685185185</v>
      </c>
    </row>
    <row r="1707" spans="1:10" ht="12.75" customHeight="1" x14ac:dyDescent="0.3">
      <c r="A1707">
        <v>1313195</v>
      </c>
      <c r="B1707" t="s">
        <v>1825</v>
      </c>
      <c r="C1707" t="s">
        <v>3509</v>
      </c>
      <c r="D1707" t="s">
        <v>3644</v>
      </c>
      <c r="E1707" s="1" t="s">
        <v>3645</v>
      </c>
      <c r="F1707">
        <f>VLOOKUP(A1707,Classifications!$A:$E,5,FALSE)</f>
        <v>1</v>
      </c>
      <c r="G1707">
        <f>VLOOKUP(A1707,Classifications!$A:$F,6,FALSE)</f>
        <v>2</v>
      </c>
      <c r="H1707">
        <f>VLOOKUP(A1707,Classifications!$A:$G,7,FALSE)</f>
        <v>43</v>
      </c>
      <c r="I1707" t="s">
        <v>11</v>
      </c>
      <c r="J1707" s="2">
        <v>44151.63108796296</v>
      </c>
    </row>
    <row r="1708" spans="1:10" ht="12.75" customHeight="1" x14ac:dyDescent="0.3">
      <c r="A1708">
        <v>1313128</v>
      </c>
      <c r="B1708" t="s">
        <v>53</v>
      </c>
      <c r="C1708" t="s">
        <v>54</v>
      </c>
      <c r="D1708" t="s">
        <v>3646</v>
      </c>
      <c r="E1708" s="1" t="s">
        <v>3647</v>
      </c>
      <c r="F1708">
        <f>VLOOKUP(A1708,Classifications!$A:$E,5,FALSE)</f>
        <v>3</v>
      </c>
      <c r="G1708">
        <f>VLOOKUP(A1708,Classifications!$A:$F,6,FALSE)</f>
        <v>1</v>
      </c>
      <c r="H1708">
        <f>VLOOKUP(A1708,Classifications!$A:$G,7,FALSE)</f>
        <v>43</v>
      </c>
      <c r="I1708" t="s">
        <v>11</v>
      </c>
      <c r="J1708" s="2">
        <v>44151.475752314815</v>
      </c>
    </row>
    <row r="1709" spans="1:10" ht="12.75" customHeight="1" x14ac:dyDescent="0.3">
      <c r="A1709">
        <v>1313096</v>
      </c>
      <c r="B1709" t="s">
        <v>318</v>
      </c>
      <c r="C1709" t="s">
        <v>319</v>
      </c>
      <c r="D1709" t="s">
        <v>3648</v>
      </c>
      <c r="E1709" s="1" t="s">
        <v>3649</v>
      </c>
      <c r="F1709">
        <f>VLOOKUP(A1709,Classifications!$A:$E,5,FALSE)</f>
        <v>3</v>
      </c>
      <c r="G1709">
        <f>VLOOKUP(A1709,Classifications!$A:$F,6,FALSE)</f>
        <v>1</v>
      </c>
      <c r="H1709">
        <f>VLOOKUP(A1709,Classifications!$A:$G,7,FALSE)</f>
        <v>43</v>
      </c>
      <c r="I1709" t="s">
        <v>11</v>
      </c>
      <c r="J1709" s="2">
        <v>44151.446516203701</v>
      </c>
    </row>
    <row r="1710" spans="1:10" ht="12.75" customHeight="1" x14ac:dyDescent="0.3">
      <c r="A1710">
        <v>1313083</v>
      </c>
      <c r="B1710" t="s">
        <v>32</v>
      </c>
      <c r="C1710" t="s">
        <v>3650</v>
      </c>
      <c r="D1710" t="s">
        <v>3651</v>
      </c>
      <c r="E1710" s="1" t="s">
        <v>3652</v>
      </c>
      <c r="F1710">
        <f>VLOOKUP(A1710,Classifications!$A:$E,5,FALSE)</f>
        <v>1</v>
      </c>
      <c r="G1710">
        <f>VLOOKUP(A1710,Classifications!$A:$F,6,FALSE)</f>
        <v>2</v>
      </c>
      <c r="H1710">
        <f>VLOOKUP(A1710,Classifications!$A:$G,7,FALSE)</f>
        <v>41</v>
      </c>
      <c r="I1710" t="s">
        <v>11</v>
      </c>
      <c r="J1710" s="2">
        <v>44151.436307870368</v>
      </c>
    </row>
    <row r="1711" spans="1:10" ht="12.75" customHeight="1" x14ac:dyDescent="0.3">
      <c r="A1711">
        <v>1312925</v>
      </c>
      <c r="B1711" t="s">
        <v>36</v>
      </c>
      <c r="C1711" t="s">
        <v>1342</v>
      </c>
      <c r="D1711" t="s">
        <v>3653</v>
      </c>
      <c r="E1711" s="1" t="s">
        <v>3654</v>
      </c>
      <c r="F1711">
        <f>VLOOKUP(A1711,Classifications!$A:$E,5,FALSE)</f>
        <v>3</v>
      </c>
      <c r="G1711">
        <f>VLOOKUP(A1711,Classifications!$A:$F,6,FALSE)</f>
        <v>2</v>
      </c>
      <c r="H1711">
        <f>VLOOKUP(A1711,Classifications!$A:$G,7,FALSE)</f>
        <v>41</v>
      </c>
      <c r="I1711" t="s">
        <v>11</v>
      </c>
      <c r="J1711" s="2">
        <v>44151.115613425929</v>
      </c>
    </row>
    <row r="1712" spans="1:10" ht="12.75" customHeight="1" x14ac:dyDescent="0.3">
      <c r="A1712">
        <v>1311686</v>
      </c>
      <c r="B1712" t="s">
        <v>45</v>
      </c>
      <c r="C1712" t="s">
        <v>1743</v>
      </c>
      <c r="D1712" t="s">
        <v>3655</v>
      </c>
      <c r="E1712" s="1" t="s">
        <v>3656</v>
      </c>
      <c r="F1712">
        <f>VLOOKUP(A1712,Classifications!$A:$E,5,FALSE)</f>
        <v>2</v>
      </c>
      <c r="G1712">
        <f>VLOOKUP(A1712,Classifications!$A:$F,6,FALSE)</f>
        <v>2</v>
      </c>
      <c r="H1712">
        <f>VLOOKUP(A1712,Classifications!$A:$G,7,FALSE)</f>
        <v>41</v>
      </c>
      <c r="I1712" t="s">
        <v>11</v>
      </c>
      <c r="J1712" s="2">
        <v>44148.423391203702</v>
      </c>
    </row>
    <row r="1713" spans="1:10" ht="12.75" customHeight="1" x14ac:dyDescent="0.3">
      <c r="A1713">
        <v>1311683</v>
      </c>
      <c r="B1713" t="s">
        <v>95</v>
      </c>
      <c r="C1713" t="s">
        <v>2189</v>
      </c>
      <c r="D1713" t="s">
        <v>3657</v>
      </c>
      <c r="E1713" s="1" t="s">
        <v>3658</v>
      </c>
      <c r="F1713">
        <f>VLOOKUP(A1713,Classifications!$A:$E,5,FALSE)</f>
        <v>1</v>
      </c>
      <c r="G1713">
        <f>VLOOKUP(A1713,Classifications!$A:$F,6,FALSE)</f>
        <v>2</v>
      </c>
      <c r="H1713">
        <f>VLOOKUP(A1713,Classifications!$A:$G,7,FALSE)</f>
        <v>43</v>
      </c>
      <c r="I1713" t="s">
        <v>24</v>
      </c>
      <c r="J1713" s="2">
        <v>44148.419016203705</v>
      </c>
    </row>
    <row r="1714" spans="1:10" ht="12.75" customHeight="1" x14ac:dyDescent="0.3">
      <c r="A1714">
        <v>1311620</v>
      </c>
      <c r="B1714" t="s">
        <v>7</v>
      </c>
      <c r="C1714" t="s">
        <v>3659</v>
      </c>
      <c r="D1714" t="s">
        <v>3660</v>
      </c>
      <c r="E1714" s="1" t="s">
        <v>3661</v>
      </c>
      <c r="F1714">
        <f>VLOOKUP(A1714,Classifications!$A:$E,5,FALSE)</f>
        <v>1</v>
      </c>
      <c r="G1714">
        <f>VLOOKUP(A1714,Classifications!$A:$F,6,FALSE)</f>
        <v>2</v>
      </c>
      <c r="H1714">
        <f>VLOOKUP(A1714,Classifications!$A:$G,7,FALSE)</f>
        <v>43</v>
      </c>
      <c r="I1714" t="s">
        <v>11</v>
      </c>
      <c r="J1714" s="2">
        <v>44148.357604166667</v>
      </c>
    </row>
    <row r="1715" spans="1:10" ht="12.75" customHeight="1" x14ac:dyDescent="0.3">
      <c r="A1715">
        <v>1311612</v>
      </c>
      <c r="B1715" t="s">
        <v>7</v>
      </c>
      <c r="C1715" t="s">
        <v>107</v>
      </c>
      <c r="D1715" t="s">
        <v>3662</v>
      </c>
      <c r="E1715" s="1" t="s">
        <v>3661</v>
      </c>
      <c r="F1715">
        <f>VLOOKUP(A1715,Classifications!$A:$E,5,FALSE)</f>
        <v>2</v>
      </c>
      <c r="G1715">
        <f>VLOOKUP(A1715,Classifications!$A:$F,6,FALSE)</f>
        <v>1</v>
      </c>
      <c r="H1715">
        <f>VLOOKUP(A1715,Classifications!$A:$G,7,FALSE)</f>
        <v>43</v>
      </c>
      <c r="I1715" t="s">
        <v>11</v>
      </c>
      <c r="J1715" s="2">
        <v>44148.346168981479</v>
      </c>
    </row>
    <row r="1716" spans="1:10" ht="12.75" customHeight="1" x14ac:dyDescent="0.3">
      <c r="A1716">
        <v>1311223</v>
      </c>
      <c r="B1716" t="s">
        <v>36</v>
      </c>
      <c r="C1716" t="s">
        <v>1666</v>
      </c>
      <c r="D1716" t="s">
        <v>3663</v>
      </c>
      <c r="E1716" s="1" t="s">
        <v>3664</v>
      </c>
      <c r="F1716">
        <f>VLOOKUP(A1716,Classifications!$A:$E,5,FALSE)</f>
        <v>3</v>
      </c>
      <c r="G1716">
        <f>VLOOKUP(A1716,Classifications!$A:$F,6,FALSE)</f>
        <v>2</v>
      </c>
      <c r="H1716">
        <f>VLOOKUP(A1716,Classifications!$A:$G,7,FALSE)</f>
        <v>43</v>
      </c>
      <c r="I1716" t="s">
        <v>11</v>
      </c>
      <c r="J1716" s="2">
        <v>44147.643703703703</v>
      </c>
    </row>
    <row r="1717" spans="1:10" ht="12.75" customHeight="1" x14ac:dyDescent="0.3">
      <c r="A1717">
        <v>1310943</v>
      </c>
      <c r="B1717" t="s">
        <v>32</v>
      </c>
      <c r="C1717" t="s">
        <v>463</v>
      </c>
      <c r="D1717" t="s">
        <v>3665</v>
      </c>
      <c r="E1717" s="1" t="s">
        <v>3666</v>
      </c>
      <c r="F1717">
        <f>VLOOKUP(A1717,Classifications!$A:$E,5,FALSE)</f>
        <v>2</v>
      </c>
      <c r="G1717">
        <f>VLOOKUP(A1717,Classifications!$A:$F,6,FALSE)</f>
        <v>2</v>
      </c>
      <c r="H1717">
        <f>VLOOKUP(A1717,Classifications!$A:$G,7,FALSE)</f>
        <v>41</v>
      </c>
      <c r="I1717" t="s">
        <v>11</v>
      </c>
      <c r="J1717" s="2">
        <v>44147.465173611112</v>
      </c>
    </row>
    <row r="1718" spans="1:10" ht="12.75" customHeight="1" x14ac:dyDescent="0.3">
      <c r="A1718">
        <v>1310933</v>
      </c>
      <c r="B1718" t="s">
        <v>36</v>
      </c>
      <c r="C1718" t="s">
        <v>324</v>
      </c>
      <c r="D1718" t="s">
        <v>3667</v>
      </c>
      <c r="E1718" s="1" t="s">
        <v>3668</v>
      </c>
      <c r="F1718">
        <f>VLOOKUP(A1718,Classifications!$A:$E,5,FALSE)</f>
        <v>3</v>
      </c>
      <c r="G1718">
        <f>VLOOKUP(A1718,Classifications!$A:$F,6,FALSE)</f>
        <v>2</v>
      </c>
      <c r="H1718">
        <f>VLOOKUP(A1718,Classifications!$A:$G,7,FALSE)</f>
        <v>43</v>
      </c>
      <c r="I1718" t="s">
        <v>24</v>
      </c>
      <c r="J1718" s="2">
        <v>44147.450624999998</v>
      </c>
    </row>
    <row r="1719" spans="1:10" ht="12.75" customHeight="1" x14ac:dyDescent="0.3">
      <c r="A1719">
        <v>1310924</v>
      </c>
      <c r="B1719" t="s">
        <v>53</v>
      </c>
      <c r="C1719" t="s">
        <v>1510</v>
      </c>
      <c r="D1719" t="s">
        <v>3669</v>
      </c>
      <c r="E1719" s="1" t="s">
        <v>3670</v>
      </c>
      <c r="F1719">
        <f>VLOOKUP(A1719,Classifications!$A:$E,5,FALSE)</f>
        <v>1</v>
      </c>
      <c r="G1719">
        <f>VLOOKUP(A1719,Classifications!$A:$F,6,FALSE)</f>
        <v>2</v>
      </c>
      <c r="H1719">
        <f>VLOOKUP(A1719,Classifications!$A:$G,7,FALSE)</f>
        <v>41</v>
      </c>
      <c r="I1719" t="s">
        <v>24</v>
      </c>
      <c r="J1719" s="2">
        <v>44147.42391203704</v>
      </c>
    </row>
    <row r="1720" spans="1:10" ht="12.75" customHeight="1" x14ac:dyDescent="0.3">
      <c r="A1720">
        <v>1310883</v>
      </c>
      <c r="B1720" t="s">
        <v>95</v>
      </c>
      <c r="C1720" t="s">
        <v>668</v>
      </c>
      <c r="D1720" t="s">
        <v>3671</v>
      </c>
      <c r="E1720" s="1" t="s">
        <v>3672</v>
      </c>
      <c r="F1720">
        <f>VLOOKUP(A1720,Classifications!$A:$E,5,FALSE)</f>
        <v>3</v>
      </c>
      <c r="G1720">
        <f>VLOOKUP(A1720,Classifications!$A:$F,6,FALSE)</f>
        <v>3</v>
      </c>
      <c r="H1720">
        <f>VLOOKUP(A1720,Classifications!$A:$G,7,FALSE)</f>
        <v>43</v>
      </c>
      <c r="I1720" t="s">
        <v>24</v>
      </c>
      <c r="J1720" s="2">
        <v>44147.408692129633</v>
      </c>
    </row>
    <row r="1721" spans="1:10" ht="12.75" customHeight="1" x14ac:dyDescent="0.3">
      <c r="A1721">
        <v>1310802</v>
      </c>
      <c r="B1721" t="s">
        <v>16</v>
      </c>
      <c r="C1721" t="s">
        <v>649</v>
      </c>
      <c r="D1721" t="s">
        <v>3673</v>
      </c>
      <c r="E1721" s="1" t="s">
        <v>3674</v>
      </c>
      <c r="F1721">
        <f>VLOOKUP(A1721,Classifications!$A:$E,5,FALSE)</f>
        <v>1</v>
      </c>
      <c r="G1721">
        <f>VLOOKUP(A1721,Classifications!$A:$F,6,FALSE)</f>
        <v>1</v>
      </c>
      <c r="H1721">
        <f>VLOOKUP(A1721,Classifications!$A:$G,7,FALSE)</f>
        <v>41</v>
      </c>
      <c r="I1721" t="s">
        <v>11</v>
      </c>
      <c r="J1721" s="2">
        <v>44147.287256944444</v>
      </c>
    </row>
    <row r="1722" spans="1:10" ht="12.75" customHeight="1" x14ac:dyDescent="0.3">
      <c r="A1722">
        <v>1310457</v>
      </c>
      <c r="B1722" t="s">
        <v>1396</v>
      </c>
      <c r="C1722" t="s">
        <v>3675</v>
      </c>
      <c r="D1722" t="s">
        <v>3676</v>
      </c>
      <c r="E1722" s="1" t="s">
        <v>3677</v>
      </c>
      <c r="F1722">
        <f>VLOOKUP(A1722,Classifications!$A:$E,5,FALSE)</f>
        <v>3</v>
      </c>
      <c r="G1722">
        <f>VLOOKUP(A1722,Classifications!$A:$F,6,FALSE)</f>
        <v>2</v>
      </c>
      <c r="H1722">
        <f>VLOOKUP(A1722,Classifications!$A:$G,7,FALSE)</f>
        <v>41</v>
      </c>
      <c r="I1722" t="s">
        <v>11</v>
      </c>
      <c r="J1722" s="2">
        <v>44146.644803240742</v>
      </c>
    </row>
    <row r="1723" spans="1:10" ht="12.75" customHeight="1" x14ac:dyDescent="0.3">
      <c r="A1723">
        <v>1310360</v>
      </c>
      <c r="B1723" t="s">
        <v>2355</v>
      </c>
      <c r="C1723" t="s">
        <v>2356</v>
      </c>
      <c r="D1723" t="s">
        <v>3678</v>
      </c>
      <c r="E1723" s="1" t="s">
        <v>3679</v>
      </c>
      <c r="F1723">
        <f>VLOOKUP(A1723,Classifications!$A:$E,5,FALSE)</f>
        <v>2</v>
      </c>
      <c r="G1723">
        <f>VLOOKUP(A1723,Classifications!$A:$F,6,FALSE)</f>
        <v>3</v>
      </c>
      <c r="H1723">
        <f>VLOOKUP(A1723,Classifications!$A:$G,7,FALSE)</f>
        <v>41</v>
      </c>
      <c r="I1723" t="s">
        <v>11</v>
      </c>
      <c r="J1723" s="2">
        <v>44146.399236111109</v>
      </c>
    </row>
    <row r="1724" spans="1:10" ht="12.75" customHeight="1" x14ac:dyDescent="0.3">
      <c r="A1724">
        <v>1310351</v>
      </c>
      <c r="B1724" t="s">
        <v>606</v>
      </c>
      <c r="C1724" t="s">
        <v>2534</v>
      </c>
      <c r="D1724" t="s">
        <v>3680</v>
      </c>
      <c r="E1724" s="1" t="s">
        <v>3681</v>
      </c>
      <c r="F1724">
        <f>VLOOKUP(A1724,Classifications!$A:$E,5,FALSE)</f>
        <v>1</v>
      </c>
      <c r="G1724">
        <f>VLOOKUP(A1724,Classifications!$A:$F,6,FALSE)</f>
        <v>2</v>
      </c>
      <c r="H1724">
        <f>VLOOKUP(A1724,Classifications!$A:$G,7,FALSE)</f>
        <v>41</v>
      </c>
      <c r="I1724" t="s">
        <v>11</v>
      </c>
      <c r="J1724" s="2">
        <v>44146.338831018518</v>
      </c>
    </row>
    <row r="1725" spans="1:10" ht="12.75" customHeight="1" x14ac:dyDescent="0.3">
      <c r="A1725">
        <v>1309934</v>
      </c>
      <c r="B1725" t="s">
        <v>157</v>
      </c>
      <c r="C1725" t="s">
        <v>3590</v>
      </c>
      <c r="D1725" t="s">
        <v>3682</v>
      </c>
      <c r="E1725" s="1" t="s">
        <v>3683</v>
      </c>
      <c r="F1725">
        <f>VLOOKUP(A1725,Classifications!$A:$E,5,FALSE)</f>
        <v>1</v>
      </c>
      <c r="G1725">
        <f>VLOOKUP(A1725,Classifications!$A:$F,6,FALSE)</f>
        <v>2</v>
      </c>
      <c r="H1725">
        <f>VLOOKUP(A1725,Classifications!$A:$G,7,FALSE)</f>
        <v>41</v>
      </c>
      <c r="I1725" t="s">
        <v>11</v>
      </c>
      <c r="J1725" s="2">
        <v>44145.675057870372</v>
      </c>
    </row>
    <row r="1726" spans="1:10" ht="12.75" customHeight="1" x14ac:dyDescent="0.3">
      <c r="A1726">
        <v>1309911</v>
      </c>
      <c r="B1726" t="s">
        <v>431</v>
      </c>
      <c r="C1726" t="s">
        <v>432</v>
      </c>
      <c r="D1726" t="s">
        <v>3684</v>
      </c>
      <c r="E1726" s="1" t="s">
        <v>3685</v>
      </c>
      <c r="F1726">
        <f>VLOOKUP(A1726,Classifications!$A:$E,5,FALSE)</f>
        <v>1</v>
      </c>
      <c r="G1726">
        <f>VLOOKUP(A1726,Classifications!$A:$F,6,FALSE)</f>
        <v>2</v>
      </c>
      <c r="H1726">
        <f>VLOOKUP(A1726,Classifications!$A:$G,7,FALSE)</f>
        <v>41</v>
      </c>
      <c r="I1726" t="s">
        <v>24</v>
      </c>
      <c r="J1726" s="2">
        <v>44145.639293981483</v>
      </c>
    </row>
    <row r="1727" spans="1:10" ht="12.75" customHeight="1" x14ac:dyDescent="0.3">
      <c r="A1727">
        <v>1309898</v>
      </c>
      <c r="B1727" t="s">
        <v>350</v>
      </c>
      <c r="C1727" t="s">
        <v>1119</v>
      </c>
      <c r="D1727" t="s">
        <v>3686</v>
      </c>
      <c r="E1727" s="1" t="s">
        <v>3687</v>
      </c>
      <c r="F1727">
        <f>VLOOKUP(A1727,Classifications!$A:$E,5,FALSE)</f>
        <v>1</v>
      </c>
      <c r="G1727">
        <f>VLOOKUP(A1727,Classifications!$A:$F,6,FALSE)</f>
        <v>2</v>
      </c>
      <c r="H1727">
        <f>VLOOKUP(A1727,Classifications!$A:$G,7,FALSE)</f>
        <v>41</v>
      </c>
      <c r="I1727" t="s">
        <v>24</v>
      </c>
      <c r="J1727" s="2">
        <v>44145.621631944443</v>
      </c>
    </row>
    <row r="1728" spans="1:10" ht="12.75" customHeight="1" x14ac:dyDescent="0.3">
      <c r="A1728">
        <v>1309833</v>
      </c>
      <c r="B1728" t="s">
        <v>1684</v>
      </c>
      <c r="C1728" t="s">
        <v>2695</v>
      </c>
      <c r="D1728" t="s">
        <v>3688</v>
      </c>
      <c r="E1728" s="1" t="s">
        <v>3689</v>
      </c>
      <c r="F1728">
        <f>VLOOKUP(A1728,Classifications!$A:$E,5,FALSE)</f>
        <v>2</v>
      </c>
      <c r="G1728">
        <f>VLOOKUP(A1728,Classifications!$A:$F,6,FALSE)</f>
        <v>2</v>
      </c>
      <c r="H1728">
        <f>VLOOKUP(A1728,Classifications!$A:$G,7,FALSE)</f>
        <v>41</v>
      </c>
      <c r="I1728" t="s">
        <v>11</v>
      </c>
      <c r="J1728" s="2">
        <v>44145.464039351849</v>
      </c>
    </row>
    <row r="1729" spans="1:10" ht="12.75" customHeight="1" x14ac:dyDescent="0.3">
      <c r="A1729">
        <v>1309739</v>
      </c>
      <c r="B1729" t="s">
        <v>3690</v>
      </c>
      <c r="C1729" t="s">
        <v>3691</v>
      </c>
      <c r="D1729" t="s">
        <v>3692</v>
      </c>
      <c r="E1729" s="1" t="s">
        <v>3693</v>
      </c>
      <c r="F1729">
        <f>VLOOKUP(A1729,Classifications!$A:$E,5,FALSE)</f>
        <v>3</v>
      </c>
      <c r="G1729">
        <f>VLOOKUP(A1729,Classifications!$A:$F,6,FALSE)</f>
        <v>2</v>
      </c>
      <c r="H1729">
        <f>VLOOKUP(A1729,Classifications!$A:$G,7,FALSE)</f>
        <v>41</v>
      </c>
      <c r="I1729" t="s">
        <v>24</v>
      </c>
      <c r="J1729" s="2">
        <v>44145.39203703704</v>
      </c>
    </row>
    <row r="1730" spans="1:10" ht="12.75" customHeight="1" x14ac:dyDescent="0.3">
      <c r="A1730">
        <v>1309725</v>
      </c>
      <c r="B1730" t="s">
        <v>7</v>
      </c>
      <c r="C1730" t="s">
        <v>107</v>
      </c>
      <c r="D1730" t="s">
        <v>3694</v>
      </c>
      <c r="E1730" s="1" t="s">
        <v>3695</v>
      </c>
      <c r="F1730">
        <f>VLOOKUP(A1730,Classifications!$A:$E,5,FALSE)</f>
        <v>2</v>
      </c>
      <c r="G1730">
        <f>VLOOKUP(A1730,Classifications!$A:$F,6,FALSE)</f>
        <v>2</v>
      </c>
      <c r="H1730">
        <f>VLOOKUP(A1730,Classifications!$A:$G,7,FALSE)</f>
        <v>43</v>
      </c>
      <c r="I1730" t="s">
        <v>11</v>
      </c>
      <c r="J1730" s="2">
        <v>44145.375081018516</v>
      </c>
    </row>
    <row r="1731" spans="1:10" ht="12.75" customHeight="1" x14ac:dyDescent="0.3">
      <c r="A1731">
        <v>1309714</v>
      </c>
      <c r="B1731" t="s">
        <v>45</v>
      </c>
      <c r="D1731" t="s">
        <v>3696</v>
      </c>
      <c r="E1731" s="1" t="s">
        <v>3697</v>
      </c>
      <c r="F1731">
        <f>VLOOKUP(A1731,Classifications!$A:$E,5,FALSE)</f>
        <v>3</v>
      </c>
      <c r="G1731">
        <f>VLOOKUP(A1731,Classifications!$A:$F,6,FALSE)</f>
        <v>2</v>
      </c>
      <c r="H1731">
        <f>VLOOKUP(A1731,Classifications!$A:$G,7,FALSE)</f>
        <v>41</v>
      </c>
      <c r="I1731" t="s">
        <v>11</v>
      </c>
      <c r="J1731" s="2">
        <v>44145.347592592596</v>
      </c>
    </row>
    <row r="1732" spans="1:10" ht="12.75" customHeight="1" x14ac:dyDescent="0.3">
      <c r="A1732">
        <v>1309700</v>
      </c>
      <c r="B1732" t="s">
        <v>91</v>
      </c>
      <c r="C1732" t="s">
        <v>1855</v>
      </c>
      <c r="D1732" t="s">
        <v>3698</v>
      </c>
      <c r="E1732" s="1" t="s">
        <v>3699</v>
      </c>
      <c r="F1732">
        <f>VLOOKUP(A1732,Classifications!$A:$E,5,FALSE)</f>
        <v>1</v>
      </c>
      <c r="G1732">
        <f>VLOOKUP(A1732,Classifications!$A:$F,6,FALSE)</f>
        <v>2</v>
      </c>
      <c r="H1732">
        <f>VLOOKUP(A1732,Classifications!$A:$G,7,FALSE)</f>
        <v>43</v>
      </c>
      <c r="I1732" t="s">
        <v>11</v>
      </c>
      <c r="J1732" s="2">
        <v>44145.324756944443</v>
      </c>
    </row>
    <row r="1733" spans="1:10" ht="12.75" customHeight="1" x14ac:dyDescent="0.3">
      <c r="A1733">
        <v>1309226</v>
      </c>
      <c r="B1733" t="s">
        <v>226</v>
      </c>
      <c r="C1733" t="s">
        <v>227</v>
      </c>
      <c r="D1733" t="s">
        <v>3700</v>
      </c>
      <c r="E1733" s="1" t="s">
        <v>3701</v>
      </c>
      <c r="F1733">
        <f>VLOOKUP(A1733,Classifications!$A:$E,5,FALSE)</f>
        <v>3</v>
      </c>
      <c r="G1733">
        <f>VLOOKUP(A1733,Classifications!$A:$F,6,FALSE)</f>
        <v>2</v>
      </c>
      <c r="H1733">
        <f>VLOOKUP(A1733,Classifications!$A:$G,7,FALSE)</f>
        <v>41</v>
      </c>
      <c r="I1733" t="s">
        <v>11</v>
      </c>
      <c r="J1733" s="2">
        <v>44144.477708333332</v>
      </c>
    </row>
    <row r="1734" spans="1:10" ht="12.75" customHeight="1" x14ac:dyDescent="0.3">
      <c r="A1734">
        <v>1309196</v>
      </c>
      <c r="B1734" t="s">
        <v>16</v>
      </c>
      <c r="C1734" t="s">
        <v>3560</v>
      </c>
      <c r="D1734" t="s">
        <v>3702</v>
      </c>
      <c r="E1734" s="1" t="s">
        <v>3703</v>
      </c>
      <c r="F1734">
        <f>VLOOKUP(A1734,Classifications!$A:$E,5,FALSE)</f>
        <v>1</v>
      </c>
      <c r="G1734">
        <f>VLOOKUP(A1734,Classifications!$A:$F,6,FALSE)</f>
        <v>2</v>
      </c>
      <c r="H1734">
        <f>VLOOKUP(A1734,Classifications!$A:$G,7,FALSE)</f>
        <v>41</v>
      </c>
      <c r="I1734" t="s">
        <v>11</v>
      </c>
      <c r="J1734" s="2">
        <v>44144.434467592589</v>
      </c>
    </row>
    <row r="1735" spans="1:10" ht="12.75" customHeight="1" x14ac:dyDescent="0.3">
      <c r="A1735">
        <v>1309195</v>
      </c>
      <c r="B1735" t="s">
        <v>545</v>
      </c>
      <c r="C1735" t="s">
        <v>3704</v>
      </c>
      <c r="D1735" t="s">
        <v>3705</v>
      </c>
      <c r="E1735" s="1" t="s">
        <v>3706</v>
      </c>
      <c r="F1735">
        <f>VLOOKUP(A1735,Classifications!$A:$E,5,FALSE)</f>
        <v>2</v>
      </c>
      <c r="G1735">
        <f>VLOOKUP(A1735,Classifications!$A:$F,6,FALSE)</f>
        <v>2</v>
      </c>
      <c r="H1735">
        <f>VLOOKUP(A1735,Classifications!$A:$G,7,FALSE)</f>
        <v>41</v>
      </c>
      <c r="I1735" t="s">
        <v>11</v>
      </c>
      <c r="J1735" s="2">
        <v>44144.433622685188</v>
      </c>
    </row>
    <row r="1736" spans="1:10" ht="12.75" customHeight="1" x14ac:dyDescent="0.3">
      <c r="A1736">
        <v>1309124</v>
      </c>
      <c r="B1736" t="s">
        <v>7</v>
      </c>
      <c r="C1736" t="s">
        <v>3707</v>
      </c>
      <c r="D1736" t="s">
        <v>3708</v>
      </c>
      <c r="E1736" s="1" t="s">
        <v>3709</v>
      </c>
      <c r="F1736">
        <f>VLOOKUP(A1736,Classifications!$A:$E,5,FALSE)</f>
        <v>2</v>
      </c>
      <c r="G1736">
        <f>VLOOKUP(A1736,Classifications!$A:$F,6,FALSE)</f>
        <v>2</v>
      </c>
      <c r="H1736">
        <f>VLOOKUP(A1736,Classifications!$A:$G,7,FALSE)</f>
        <v>41</v>
      </c>
      <c r="I1736" t="s">
        <v>11</v>
      </c>
      <c r="J1736" s="2">
        <v>44144.37740740741</v>
      </c>
    </row>
    <row r="1737" spans="1:10" ht="12.75" customHeight="1" x14ac:dyDescent="0.3">
      <c r="A1737">
        <v>1307467</v>
      </c>
      <c r="B1737" t="s">
        <v>545</v>
      </c>
      <c r="C1737" t="s">
        <v>1769</v>
      </c>
      <c r="D1737" t="s">
        <v>3710</v>
      </c>
      <c r="E1737" s="1" t="s">
        <v>3711</v>
      </c>
      <c r="F1737">
        <f>VLOOKUP(A1737,Classifications!$A:$E,5,FALSE)</f>
        <v>2</v>
      </c>
      <c r="G1737">
        <f>VLOOKUP(A1737,Classifications!$A:$F,6,FALSE)</f>
        <v>1</v>
      </c>
      <c r="H1737">
        <f>VLOOKUP(A1737,Classifications!$A:$G,7,FALSE)</f>
        <v>43</v>
      </c>
      <c r="I1737" t="s">
        <v>11</v>
      </c>
      <c r="J1737" s="2">
        <v>44141.631226851852</v>
      </c>
    </row>
    <row r="1738" spans="1:10" ht="12.75" customHeight="1" x14ac:dyDescent="0.3">
      <c r="A1738">
        <v>1307231</v>
      </c>
      <c r="B1738" t="s">
        <v>53</v>
      </c>
      <c r="C1738" t="s">
        <v>54</v>
      </c>
      <c r="D1738" t="s">
        <v>3712</v>
      </c>
      <c r="E1738" s="1" t="s">
        <v>3713</v>
      </c>
      <c r="F1738">
        <f>VLOOKUP(A1738,Classifications!$A:$E,5,FALSE)</f>
        <v>1</v>
      </c>
      <c r="G1738">
        <f>VLOOKUP(A1738,Classifications!$A:$F,6,FALSE)</f>
        <v>1</v>
      </c>
      <c r="H1738">
        <f>VLOOKUP(A1738,Classifications!$A:$G,7,FALSE)</f>
        <v>43</v>
      </c>
      <c r="I1738" t="s">
        <v>11</v>
      </c>
      <c r="J1738" s="2">
        <v>44141.450266203705</v>
      </c>
    </row>
    <row r="1739" spans="1:10" ht="12.75" customHeight="1" x14ac:dyDescent="0.3">
      <c r="A1739">
        <v>1305395</v>
      </c>
      <c r="B1739" t="s">
        <v>157</v>
      </c>
      <c r="C1739" t="s">
        <v>443</v>
      </c>
      <c r="D1739" t="s">
        <v>3714</v>
      </c>
      <c r="E1739" s="1" t="s">
        <v>445</v>
      </c>
      <c r="F1739">
        <f>VLOOKUP(A1739,Classifications!$A:$E,5,FALSE)</f>
        <v>3</v>
      </c>
      <c r="G1739">
        <f>VLOOKUP(A1739,Classifications!$A:$F,6,FALSE)</f>
        <v>3</v>
      </c>
      <c r="H1739">
        <f>VLOOKUP(A1739,Classifications!$A:$G,7,FALSE)</f>
        <v>41</v>
      </c>
      <c r="I1739" t="s">
        <v>11</v>
      </c>
      <c r="J1739" s="2">
        <v>44141.39439814815</v>
      </c>
    </row>
    <row r="1740" spans="1:10" ht="12.75" customHeight="1" x14ac:dyDescent="0.3">
      <c r="A1740">
        <v>1305287</v>
      </c>
      <c r="B1740" t="s">
        <v>1105</v>
      </c>
      <c r="C1740" t="s">
        <v>1106</v>
      </c>
      <c r="D1740" t="s">
        <v>3715</v>
      </c>
      <c r="E1740" s="1" t="s">
        <v>3716</v>
      </c>
      <c r="F1740">
        <f>VLOOKUP(A1740,Classifications!$A:$E,5,FALSE)</f>
        <v>3</v>
      </c>
      <c r="G1740">
        <f>VLOOKUP(A1740,Classifications!$A:$F,6,FALSE)</f>
        <v>2</v>
      </c>
      <c r="H1740">
        <f>VLOOKUP(A1740,Classifications!$A:$G,7,FALSE)</f>
        <v>41</v>
      </c>
      <c r="I1740" t="s">
        <v>24</v>
      </c>
      <c r="J1740" s="2">
        <v>44141.391562500001</v>
      </c>
    </row>
    <row r="1741" spans="1:10" ht="12.75" customHeight="1" x14ac:dyDescent="0.3">
      <c r="A1741">
        <v>1304513</v>
      </c>
      <c r="B1741" t="s">
        <v>36</v>
      </c>
      <c r="C1741" t="s">
        <v>700</v>
      </c>
      <c r="D1741" t="s">
        <v>3717</v>
      </c>
      <c r="E1741" s="1" t="s">
        <v>3718</v>
      </c>
      <c r="F1741">
        <f>VLOOKUP(A1741,Classifications!$A:$E,5,FALSE)</f>
        <v>2</v>
      </c>
      <c r="G1741">
        <f>VLOOKUP(A1741,Classifications!$A:$F,6,FALSE)</f>
        <v>3</v>
      </c>
      <c r="H1741">
        <f>VLOOKUP(A1741,Classifications!$A:$G,7,FALSE)</f>
        <v>41</v>
      </c>
      <c r="I1741" t="s">
        <v>24</v>
      </c>
      <c r="J1741" s="2">
        <v>44140.435972222222</v>
      </c>
    </row>
    <row r="1742" spans="1:10" ht="12.75" customHeight="1" x14ac:dyDescent="0.3">
      <c r="A1742">
        <v>1303862</v>
      </c>
      <c r="B1742" t="s">
        <v>36</v>
      </c>
      <c r="C1742" t="s">
        <v>164</v>
      </c>
      <c r="D1742" t="s">
        <v>3719</v>
      </c>
      <c r="E1742" s="1" t="s">
        <v>3720</v>
      </c>
      <c r="F1742">
        <f>VLOOKUP(A1742,Classifications!$A:$E,5,FALSE)</f>
        <v>3</v>
      </c>
      <c r="G1742">
        <f>VLOOKUP(A1742,Classifications!$A:$F,6,FALSE)</f>
        <v>2</v>
      </c>
      <c r="H1742">
        <f>VLOOKUP(A1742,Classifications!$A:$G,7,FALSE)</f>
        <v>43</v>
      </c>
      <c r="I1742" t="s">
        <v>24</v>
      </c>
      <c r="J1742" s="2">
        <v>44140.394907407404</v>
      </c>
    </row>
    <row r="1743" spans="1:10" ht="12.75" customHeight="1" x14ac:dyDescent="0.3">
      <c r="A1743">
        <v>1303841</v>
      </c>
      <c r="B1743" t="s">
        <v>7</v>
      </c>
      <c r="C1743" t="s">
        <v>3396</v>
      </c>
      <c r="D1743" t="s">
        <v>3721</v>
      </c>
      <c r="E1743" s="1" t="s">
        <v>3722</v>
      </c>
      <c r="F1743">
        <f>VLOOKUP(A1743,Classifications!$A:$E,5,FALSE)</f>
        <v>2</v>
      </c>
      <c r="G1743">
        <f>VLOOKUP(A1743,Classifications!$A:$F,6,FALSE)</f>
        <v>2</v>
      </c>
      <c r="H1743">
        <f>VLOOKUP(A1743,Classifications!$A:$G,7,FALSE)</f>
        <v>41</v>
      </c>
      <c r="I1743" t="s">
        <v>11</v>
      </c>
      <c r="J1743" s="2">
        <v>44140.379328703704</v>
      </c>
    </row>
    <row r="1744" spans="1:10" ht="12.75" customHeight="1" x14ac:dyDescent="0.3">
      <c r="A1744">
        <v>1303826</v>
      </c>
      <c r="B1744" t="s">
        <v>95</v>
      </c>
      <c r="C1744" t="s">
        <v>3723</v>
      </c>
      <c r="D1744" t="s">
        <v>3724</v>
      </c>
      <c r="E1744" t="s">
        <v>3725</v>
      </c>
      <c r="F1744">
        <f>VLOOKUP(A1744,Classifications!$A:$E,5,FALSE)</f>
        <v>3</v>
      </c>
      <c r="G1744">
        <f>VLOOKUP(A1744,Classifications!$A:$F,6,FALSE)</f>
        <v>3</v>
      </c>
      <c r="H1744">
        <f>VLOOKUP(A1744,Classifications!$A:$G,7,FALSE)</f>
        <v>41</v>
      </c>
      <c r="I1744" t="s">
        <v>24</v>
      </c>
      <c r="J1744" s="2">
        <v>44140.349166666667</v>
      </c>
    </row>
    <row r="1745" spans="1:10" ht="12.75" customHeight="1" x14ac:dyDescent="0.3">
      <c r="A1745">
        <v>1303359</v>
      </c>
      <c r="B1745" t="s">
        <v>614</v>
      </c>
      <c r="C1745" t="s">
        <v>3726</v>
      </c>
      <c r="D1745" t="s">
        <v>3727</v>
      </c>
      <c r="E1745" s="1" t="s">
        <v>3728</v>
      </c>
      <c r="F1745">
        <f>VLOOKUP(A1745,Classifications!$A:$E,5,FALSE)</f>
        <v>1</v>
      </c>
      <c r="G1745">
        <f>VLOOKUP(A1745,Classifications!$A:$F,6,FALSE)</f>
        <v>2</v>
      </c>
      <c r="H1745">
        <f>VLOOKUP(A1745,Classifications!$A:$G,7,FALSE)</f>
        <v>41</v>
      </c>
      <c r="I1745" t="s">
        <v>11</v>
      </c>
      <c r="J1745" s="2">
        <v>44139.527384259258</v>
      </c>
    </row>
    <row r="1746" spans="1:10" ht="12.75" customHeight="1" x14ac:dyDescent="0.3">
      <c r="A1746">
        <v>1303351</v>
      </c>
      <c r="B1746" t="s">
        <v>32</v>
      </c>
      <c r="C1746" t="s">
        <v>3729</v>
      </c>
      <c r="D1746" t="s">
        <v>3730</v>
      </c>
      <c r="E1746" s="1" t="s">
        <v>3731</v>
      </c>
      <c r="F1746">
        <f>VLOOKUP(A1746,Classifications!$A:$E,5,FALSE)</f>
        <v>2</v>
      </c>
      <c r="G1746">
        <f>VLOOKUP(A1746,Classifications!$A:$F,6,FALSE)</f>
        <v>2</v>
      </c>
      <c r="H1746">
        <f>VLOOKUP(A1746,Classifications!$A:$G,7,FALSE)</f>
        <v>43</v>
      </c>
      <c r="I1746" t="s">
        <v>11</v>
      </c>
      <c r="J1746" s="2">
        <v>44139.511041666665</v>
      </c>
    </row>
    <row r="1747" spans="1:10" ht="12.75" customHeight="1" x14ac:dyDescent="0.3">
      <c r="A1747">
        <v>1303319</v>
      </c>
      <c r="B1747" t="s">
        <v>431</v>
      </c>
      <c r="C1747" t="s">
        <v>432</v>
      </c>
      <c r="D1747" t="s">
        <v>3732</v>
      </c>
      <c r="E1747" s="1" t="s">
        <v>3733</v>
      </c>
      <c r="F1747">
        <f>VLOOKUP(A1747,Classifications!$A:$E,5,FALSE)</f>
        <v>1</v>
      </c>
      <c r="G1747">
        <f>VLOOKUP(A1747,Classifications!$A:$F,6,FALSE)</f>
        <v>1</v>
      </c>
      <c r="H1747">
        <f>VLOOKUP(A1747,Classifications!$A:$G,7,FALSE)</f>
        <v>36</v>
      </c>
      <c r="I1747" t="s">
        <v>11</v>
      </c>
      <c r="J1747" s="2">
        <v>44139.445069444446</v>
      </c>
    </row>
    <row r="1748" spans="1:10" ht="12.75" customHeight="1" x14ac:dyDescent="0.3">
      <c r="A1748">
        <v>1302801</v>
      </c>
      <c r="B1748" t="s">
        <v>12</v>
      </c>
      <c r="C1748" t="s">
        <v>3734</v>
      </c>
      <c r="D1748" t="s">
        <v>3735</v>
      </c>
      <c r="E1748" s="1" t="s">
        <v>3736</v>
      </c>
      <c r="F1748">
        <f>VLOOKUP(A1748,Classifications!$A:$E,5,FALSE)</f>
        <v>2</v>
      </c>
      <c r="G1748">
        <f>VLOOKUP(A1748,Classifications!$A:$F,6,FALSE)</f>
        <v>2</v>
      </c>
      <c r="H1748">
        <f>VLOOKUP(A1748,Classifications!$A:$G,7,FALSE)</f>
        <v>41</v>
      </c>
      <c r="I1748" t="s">
        <v>11</v>
      </c>
      <c r="J1748" s="2">
        <v>44138.564293981479</v>
      </c>
    </row>
    <row r="1749" spans="1:10" ht="12.75" customHeight="1" x14ac:dyDescent="0.3">
      <c r="A1749">
        <v>1302790</v>
      </c>
      <c r="B1749" t="s">
        <v>36</v>
      </c>
      <c r="C1749" t="s">
        <v>37</v>
      </c>
      <c r="D1749" t="s">
        <v>3737</v>
      </c>
      <c r="E1749" s="1" t="s">
        <v>3738</v>
      </c>
      <c r="F1749">
        <f>VLOOKUP(A1749,Classifications!$A:$E,5,FALSE)</f>
        <v>2</v>
      </c>
      <c r="G1749">
        <f>VLOOKUP(A1749,Classifications!$A:$F,6,FALSE)</f>
        <v>3</v>
      </c>
      <c r="H1749">
        <f>VLOOKUP(A1749,Classifications!$A:$G,7,FALSE)</f>
        <v>43</v>
      </c>
      <c r="I1749" t="s">
        <v>11</v>
      </c>
      <c r="J1749" s="2">
        <v>44138.524282407408</v>
      </c>
    </row>
    <row r="1750" spans="1:10" ht="12.75" customHeight="1" x14ac:dyDescent="0.3">
      <c r="A1750">
        <v>1302753</v>
      </c>
      <c r="B1750" t="s">
        <v>157</v>
      </c>
      <c r="C1750" t="s">
        <v>3739</v>
      </c>
      <c r="D1750" t="s">
        <v>3740</v>
      </c>
      <c r="E1750" s="1" t="s">
        <v>3741</v>
      </c>
      <c r="F1750">
        <f>VLOOKUP(A1750,Classifications!$A:$E,5,FALSE)</f>
        <v>2</v>
      </c>
      <c r="G1750">
        <f>VLOOKUP(A1750,Classifications!$A:$F,6,FALSE)</f>
        <v>2</v>
      </c>
      <c r="H1750">
        <f>VLOOKUP(A1750,Classifications!$A:$G,7,FALSE)</f>
        <v>41</v>
      </c>
      <c r="I1750" t="s">
        <v>11</v>
      </c>
      <c r="J1750" s="2">
        <v>44138.420844907407</v>
      </c>
    </row>
    <row r="1751" spans="1:10" ht="12.75" customHeight="1" x14ac:dyDescent="0.3">
      <c r="A1751">
        <v>1302365</v>
      </c>
      <c r="B1751" t="s">
        <v>36</v>
      </c>
      <c r="C1751" t="s">
        <v>263</v>
      </c>
      <c r="D1751" t="s">
        <v>3742</v>
      </c>
      <c r="E1751" s="1" t="s">
        <v>3743</v>
      </c>
      <c r="F1751">
        <f>VLOOKUP(A1751,Classifications!$A:$E,5,FALSE)</f>
        <v>2</v>
      </c>
      <c r="G1751">
        <f>VLOOKUP(A1751,Classifications!$A:$F,6,FALSE)</f>
        <v>1</v>
      </c>
      <c r="H1751">
        <f>VLOOKUP(A1751,Classifications!$A:$G,7,FALSE)</f>
        <v>41</v>
      </c>
      <c r="I1751" t="s">
        <v>24</v>
      </c>
      <c r="J1751" s="2">
        <v>44137.72016203704</v>
      </c>
    </row>
    <row r="1752" spans="1:10" ht="12.75" customHeight="1" x14ac:dyDescent="0.3">
      <c r="A1752">
        <v>1302244</v>
      </c>
      <c r="B1752" t="s">
        <v>146</v>
      </c>
      <c r="C1752" t="s">
        <v>147</v>
      </c>
      <c r="D1752" t="s">
        <v>3744</v>
      </c>
      <c r="E1752" s="1" t="s">
        <v>3745</v>
      </c>
      <c r="F1752">
        <f>VLOOKUP(A1752,Classifications!$A:$E,5,FALSE)</f>
        <v>2</v>
      </c>
      <c r="G1752">
        <f>VLOOKUP(A1752,Classifications!$A:$F,6,FALSE)</f>
        <v>2</v>
      </c>
      <c r="H1752">
        <f>VLOOKUP(A1752,Classifications!$A:$G,7,FALSE)</f>
        <v>41</v>
      </c>
      <c r="I1752" t="s">
        <v>11</v>
      </c>
      <c r="J1752" s="2">
        <v>44137.461053240739</v>
      </c>
    </row>
    <row r="1753" spans="1:10" ht="12.75" customHeight="1" x14ac:dyDescent="0.3">
      <c r="A1753">
        <v>1302184</v>
      </c>
      <c r="B1753" t="s">
        <v>277</v>
      </c>
      <c r="C1753" t="s">
        <v>3746</v>
      </c>
      <c r="D1753" t="s">
        <v>3747</v>
      </c>
      <c r="E1753" s="1" t="s">
        <v>3748</v>
      </c>
      <c r="F1753">
        <f>VLOOKUP(A1753,Classifications!$A:$E,5,FALSE)</f>
        <v>2</v>
      </c>
      <c r="G1753">
        <f>VLOOKUP(A1753,Classifications!$A:$F,6,FALSE)</f>
        <v>2</v>
      </c>
      <c r="H1753">
        <f>VLOOKUP(A1753,Classifications!$A:$G,7,FALSE)</f>
        <v>41</v>
      </c>
      <c r="I1753" t="s">
        <v>11</v>
      </c>
      <c r="J1753" s="2">
        <v>44137.387453703705</v>
      </c>
    </row>
    <row r="1754" spans="1:10" ht="12.75" customHeight="1" x14ac:dyDescent="0.3">
      <c r="A1754">
        <v>1300661</v>
      </c>
      <c r="B1754" t="s">
        <v>12</v>
      </c>
      <c r="C1754" t="s">
        <v>1864</v>
      </c>
      <c r="D1754" t="s">
        <v>3749</v>
      </c>
      <c r="E1754" s="1" t="s">
        <v>3750</v>
      </c>
      <c r="F1754">
        <f>VLOOKUP(A1754,Classifications!$A:$E,5,FALSE)</f>
        <v>2</v>
      </c>
      <c r="G1754">
        <f>VLOOKUP(A1754,Classifications!$A:$F,6,FALSE)</f>
        <v>2</v>
      </c>
      <c r="H1754">
        <f>VLOOKUP(A1754,Classifications!$A:$G,7,FALSE)</f>
        <v>41</v>
      </c>
      <c r="I1754" t="s">
        <v>11</v>
      </c>
      <c r="J1754" s="2">
        <v>44134.561967592592</v>
      </c>
    </row>
    <row r="1755" spans="1:10" ht="12.75" customHeight="1" x14ac:dyDescent="0.3">
      <c r="A1755">
        <v>1300657</v>
      </c>
      <c r="B1755" t="s">
        <v>157</v>
      </c>
      <c r="C1755" t="s">
        <v>627</v>
      </c>
      <c r="D1755" t="s">
        <v>3751</v>
      </c>
      <c r="E1755" s="1" t="s">
        <v>3752</v>
      </c>
      <c r="F1755">
        <f>VLOOKUP(A1755,Classifications!$A:$E,5,FALSE)</f>
        <v>2</v>
      </c>
      <c r="G1755">
        <f>VLOOKUP(A1755,Classifications!$A:$F,6,FALSE)</f>
        <v>1</v>
      </c>
      <c r="H1755">
        <f>VLOOKUP(A1755,Classifications!$A:$G,7,FALSE)</f>
        <v>43</v>
      </c>
      <c r="I1755" t="s">
        <v>11</v>
      </c>
      <c r="J1755" s="2">
        <v>44134.543206018519</v>
      </c>
    </row>
    <row r="1756" spans="1:10" ht="12.75" customHeight="1" x14ac:dyDescent="0.3">
      <c r="A1756">
        <v>1300632</v>
      </c>
      <c r="B1756" t="s">
        <v>431</v>
      </c>
      <c r="C1756" t="s">
        <v>3753</v>
      </c>
      <c r="D1756" t="s">
        <v>3754</v>
      </c>
      <c r="E1756" s="1" t="s">
        <v>3755</v>
      </c>
      <c r="F1756">
        <f>VLOOKUP(A1756,Classifications!$A:$E,5,FALSE)</f>
        <v>3</v>
      </c>
      <c r="G1756">
        <f>VLOOKUP(A1756,Classifications!$A:$F,6,FALSE)</f>
        <v>3</v>
      </c>
      <c r="H1756">
        <f>VLOOKUP(A1756,Classifications!$A:$G,7,FALSE)</f>
        <v>43</v>
      </c>
      <c r="I1756" t="s">
        <v>24</v>
      </c>
      <c r="J1756" s="2">
        <v>44134.467638888891</v>
      </c>
    </row>
    <row r="1757" spans="1:10" ht="12.75" customHeight="1" x14ac:dyDescent="0.3">
      <c r="A1757">
        <v>1300614</v>
      </c>
      <c r="B1757" t="s">
        <v>774</v>
      </c>
      <c r="C1757" t="s">
        <v>775</v>
      </c>
      <c r="D1757" t="s">
        <v>3756</v>
      </c>
      <c r="E1757" s="1" t="s">
        <v>3757</v>
      </c>
      <c r="F1757">
        <f>VLOOKUP(A1757,Classifications!$A:$E,5,FALSE)</f>
        <v>3</v>
      </c>
      <c r="G1757">
        <f>VLOOKUP(A1757,Classifications!$A:$F,6,FALSE)</f>
        <v>1</v>
      </c>
      <c r="H1757">
        <f>VLOOKUP(A1757,Classifications!$A:$G,7,FALSE)</f>
        <v>43</v>
      </c>
      <c r="I1757" t="s">
        <v>11</v>
      </c>
      <c r="J1757" s="2">
        <v>44134.438078703701</v>
      </c>
    </row>
    <row r="1758" spans="1:10" ht="12.75" customHeight="1" x14ac:dyDescent="0.3">
      <c r="A1758">
        <v>1300522</v>
      </c>
      <c r="B1758" t="s">
        <v>36</v>
      </c>
      <c r="C1758" t="s">
        <v>67</v>
      </c>
      <c r="D1758" t="s">
        <v>3758</v>
      </c>
      <c r="E1758" s="1" t="s">
        <v>3759</v>
      </c>
      <c r="F1758">
        <f>VLOOKUP(A1758,Classifications!$A:$E,5,FALSE)</f>
        <v>3</v>
      </c>
      <c r="G1758">
        <f>VLOOKUP(A1758,Classifications!$A:$F,6,FALSE)</f>
        <v>2</v>
      </c>
      <c r="H1758">
        <f>VLOOKUP(A1758,Classifications!$A:$G,7,FALSE)</f>
        <v>43</v>
      </c>
      <c r="I1758" t="s">
        <v>24</v>
      </c>
      <c r="J1758" s="2">
        <v>44134.328645833331</v>
      </c>
    </row>
    <row r="1759" spans="1:10" ht="12.75" customHeight="1" x14ac:dyDescent="0.3">
      <c r="A1759">
        <v>1300040</v>
      </c>
      <c r="B1759" t="s">
        <v>1079</v>
      </c>
      <c r="C1759" t="s">
        <v>3760</v>
      </c>
      <c r="D1759" t="s">
        <v>3761</v>
      </c>
      <c r="E1759" s="1" t="s">
        <v>3762</v>
      </c>
      <c r="F1759">
        <f>VLOOKUP(A1759,Classifications!$A:$E,5,FALSE)</f>
        <v>2</v>
      </c>
      <c r="G1759">
        <f>VLOOKUP(A1759,Classifications!$A:$F,6,FALSE)</f>
        <v>2</v>
      </c>
      <c r="H1759">
        <f>VLOOKUP(A1759,Classifications!$A:$G,7,FALSE)</f>
        <v>41</v>
      </c>
      <c r="I1759" t="s">
        <v>24</v>
      </c>
      <c r="J1759" s="2">
        <v>44133.592962962961</v>
      </c>
    </row>
    <row r="1760" spans="1:10" ht="12.75" customHeight="1" x14ac:dyDescent="0.3">
      <c r="A1760">
        <v>1299931</v>
      </c>
      <c r="B1760" t="s">
        <v>95</v>
      </c>
      <c r="C1760" t="s">
        <v>129</v>
      </c>
      <c r="D1760" t="s">
        <v>3763</v>
      </c>
      <c r="E1760" s="1" t="s">
        <v>3764</v>
      </c>
      <c r="F1760">
        <f>VLOOKUP(A1760,Classifications!$A:$E,5,FALSE)</f>
        <v>1</v>
      </c>
      <c r="G1760">
        <f>VLOOKUP(A1760,Classifications!$A:$F,6,FALSE)</f>
        <v>2</v>
      </c>
      <c r="H1760">
        <f>VLOOKUP(A1760,Classifications!$A:$G,7,FALSE)</f>
        <v>41</v>
      </c>
      <c r="I1760" t="s">
        <v>11</v>
      </c>
      <c r="J1760" s="2">
        <v>44133.440509259257</v>
      </c>
    </row>
    <row r="1761" spans="1:10" ht="12.75" customHeight="1" x14ac:dyDescent="0.3">
      <c r="A1761">
        <v>1299925</v>
      </c>
      <c r="B1761" t="s">
        <v>184</v>
      </c>
      <c r="C1761" t="s">
        <v>825</v>
      </c>
      <c r="D1761" t="s">
        <v>3765</v>
      </c>
      <c r="E1761" s="1" t="s">
        <v>3766</v>
      </c>
      <c r="F1761">
        <f>VLOOKUP(A1761,Classifications!$A:$E,5,FALSE)</f>
        <v>2</v>
      </c>
      <c r="G1761">
        <f>VLOOKUP(A1761,Classifications!$A:$F,6,FALSE)</f>
        <v>1</v>
      </c>
      <c r="H1761">
        <f>VLOOKUP(A1761,Classifications!$A:$G,7,FALSE)</f>
        <v>41</v>
      </c>
      <c r="I1761" t="s">
        <v>11</v>
      </c>
      <c r="J1761" s="2">
        <v>44133.433946759258</v>
      </c>
    </row>
    <row r="1762" spans="1:10" ht="12.75" customHeight="1" x14ac:dyDescent="0.3">
      <c r="A1762">
        <v>1299861</v>
      </c>
      <c r="B1762" t="s">
        <v>20</v>
      </c>
      <c r="C1762" t="s">
        <v>3767</v>
      </c>
      <c r="D1762" t="s">
        <v>3768</v>
      </c>
      <c r="E1762" s="1" t="s">
        <v>3769</v>
      </c>
      <c r="F1762">
        <f>VLOOKUP(A1762,Classifications!$A:$E,5,FALSE)</f>
        <v>1</v>
      </c>
      <c r="G1762">
        <f>VLOOKUP(A1762,Classifications!$A:$F,6,FALSE)</f>
        <v>2</v>
      </c>
      <c r="H1762">
        <f>VLOOKUP(A1762,Classifications!$A:$G,7,FALSE)</f>
        <v>43</v>
      </c>
      <c r="I1762" t="s">
        <v>24</v>
      </c>
      <c r="J1762" s="2">
        <v>44133.378553240742</v>
      </c>
    </row>
    <row r="1763" spans="1:10" ht="12.75" customHeight="1" x14ac:dyDescent="0.3">
      <c r="A1763">
        <v>1299858</v>
      </c>
      <c r="B1763" t="s">
        <v>20</v>
      </c>
      <c r="C1763" t="s">
        <v>269</v>
      </c>
      <c r="D1763" t="s">
        <v>3770</v>
      </c>
      <c r="E1763" s="1" t="s">
        <v>3771</v>
      </c>
      <c r="F1763">
        <f>VLOOKUP(A1763,Classifications!$A:$E,5,FALSE)</f>
        <v>1</v>
      </c>
      <c r="G1763">
        <f>VLOOKUP(A1763,Classifications!$A:$F,6,FALSE)</f>
        <v>2</v>
      </c>
      <c r="H1763">
        <f>VLOOKUP(A1763,Classifications!$A:$G,7,FALSE)</f>
        <v>41</v>
      </c>
      <c r="I1763" t="s">
        <v>24</v>
      </c>
      <c r="J1763" s="2">
        <v>44133.3672337963</v>
      </c>
    </row>
    <row r="1764" spans="1:10" ht="12.75" customHeight="1" x14ac:dyDescent="0.3">
      <c r="A1764">
        <v>1299850</v>
      </c>
      <c r="B1764" t="s">
        <v>431</v>
      </c>
      <c r="C1764" t="s">
        <v>3772</v>
      </c>
      <c r="D1764" t="s">
        <v>3773</v>
      </c>
      <c r="E1764" s="1" t="s">
        <v>3774</v>
      </c>
      <c r="F1764">
        <f>VLOOKUP(A1764,Classifications!$A:$E,5,FALSE)</f>
        <v>2</v>
      </c>
      <c r="G1764">
        <f>VLOOKUP(A1764,Classifications!$A:$F,6,FALSE)</f>
        <v>3</v>
      </c>
      <c r="H1764">
        <f>VLOOKUP(A1764,Classifications!$A:$G,7,FALSE)</f>
        <v>41</v>
      </c>
      <c r="I1764" t="s">
        <v>24</v>
      </c>
      <c r="J1764" s="2">
        <v>44133.344502314816</v>
      </c>
    </row>
    <row r="1765" spans="1:10" ht="12.75" customHeight="1" x14ac:dyDescent="0.3">
      <c r="A1765">
        <v>1299472</v>
      </c>
      <c r="B1765" t="s">
        <v>431</v>
      </c>
      <c r="C1765" t="s">
        <v>432</v>
      </c>
      <c r="D1765" t="s">
        <v>3775</v>
      </c>
      <c r="E1765" s="1" t="s">
        <v>3776</v>
      </c>
      <c r="F1765">
        <f>VLOOKUP(A1765,Classifications!$A:$E,5,FALSE)</f>
        <v>3</v>
      </c>
      <c r="G1765">
        <f>VLOOKUP(A1765,Classifications!$A:$F,6,FALSE)</f>
        <v>1</v>
      </c>
      <c r="H1765">
        <f>VLOOKUP(A1765,Classifications!$A:$G,7,FALSE)</f>
        <v>43</v>
      </c>
      <c r="I1765" t="s">
        <v>11</v>
      </c>
      <c r="J1765" s="2">
        <v>44132.678229166668</v>
      </c>
    </row>
    <row r="1766" spans="1:10" ht="12.75" customHeight="1" x14ac:dyDescent="0.3">
      <c r="A1766">
        <v>1299359</v>
      </c>
      <c r="B1766" t="s">
        <v>184</v>
      </c>
      <c r="C1766" t="s">
        <v>1069</v>
      </c>
      <c r="D1766" t="s">
        <v>3777</v>
      </c>
      <c r="E1766" s="1" t="s">
        <v>3778</v>
      </c>
      <c r="F1766">
        <f>VLOOKUP(A1766,Classifications!$A:$E,5,FALSE)</f>
        <v>2</v>
      </c>
      <c r="G1766">
        <f>VLOOKUP(A1766,Classifications!$A:$F,6,FALSE)</f>
        <v>2</v>
      </c>
      <c r="H1766">
        <f>VLOOKUP(A1766,Classifications!$A:$G,7,FALSE)</f>
        <v>41</v>
      </c>
      <c r="I1766" t="s">
        <v>11</v>
      </c>
      <c r="J1766" s="2">
        <v>44132.483101851853</v>
      </c>
    </row>
    <row r="1767" spans="1:10" ht="12.75" customHeight="1" x14ac:dyDescent="0.3">
      <c r="A1767">
        <v>1299349</v>
      </c>
      <c r="B1767" t="s">
        <v>431</v>
      </c>
      <c r="C1767" t="s">
        <v>432</v>
      </c>
      <c r="D1767" t="s">
        <v>3779</v>
      </c>
      <c r="E1767" s="1" t="s">
        <v>3780</v>
      </c>
      <c r="F1767">
        <f>VLOOKUP(A1767,Classifications!$A:$E,5,FALSE)</f>
        <v>3</v>
      </c>
      <c r="G1767">
        <f>VLOOKUP(A1767,Classifications!$A:$F,6,FALSE)</f>
        <v>2</v>
      </c>
      <c r="H1767">
        <f>VLOOKUP(A1767,Classifications!$A:$G,7,FALSE)</f>
        <v>41</v>
      </c>
      <c r="I1767" t="s">
        <v>11</v>
      </c>
      <c r="J1767" s="2">
        <v>44132.461284722223</v>
      </c>
    </row>
    <row r="1768" spans="1:10" ht="12.75" customHeight="1" x14ac:dyDescent="0.3">
      <c r="A1768">
        <v>1299345</v>
      </c>
      <c r="B1768" t="s">
        <v>36</v>
      </c>
      <c r="C1768" t="s">
        <v>3781</v>
      </c>
      <c r="D1768" t="s">
        <v>3782</v>
      </c>
      <c r="E1768" s="1" t="s">
        <v>3783</v>
      </c>
      <c r="F1768">
        <f>VLOOKUP(A1768,Classifications!$A:$E,5,FALSE)</f>
        <v>3</v>
      </c>
      <c r="G1768">
        <f>VLOOKUP(A1768,Classifications!$A:$F,6,FALSE)</f>
        <v>2</v>
      </c>
      <c r="H1768">
        <f>VLOOKUP(A1768,Classifications!$A:$G,7,FALSE)</f>
        <v>43</v>
      </c>
      <c r="I1768" t="s">
        <v>24</v>
      </c>
      <c r="J1768" s="2">
        <v>44132.451388888891</v>
      </c>
    </row>
    <row r="1769" spans="1:10" ht="12.75" customHeight="1" x14ac:dyDescent="0.3">
      <c r="A1769">
        <v>1299336</v>
      </c>
      <c r="B1769" t="s">
        <v>431</v>
      </c>
      <c r="C1769" t="s">
        <v>432</v>
      </c>
      <c r="D1769" t="s">
        <v>3784</v>
      </c>
      <c r="E1769" s="1" t="s">
        <v>3785</v>
      </c>
      <c r="F1769">
        <f>VLOOKUP(A1769,Classifications!$A:$E,5,FALSE)</f>
        <v>2</v>
      </c>
      <c r="G1769">
        <f>VLOOKUP(A1769,Classifications!$A:$F,6,FALSE)</f>
        <v>2</v>
      </c>
      <c r="H1769">
        <f>VLOOKUP(A1769,Classifications!$A:$G,7,FALSE)</f>
        <v>41</v>
      </c>
      <c r="I1769" t="s">
        <v>24</v>
      </c>
      <c r="J1769" s="2">
        <v>44132.440405092595</v>
      </c>
    </row>
    <row r="1770" spans="1:10" ht="12.75" customHeight="1" x14ac:dyDescent="0.3">
      <c r="A1770">
        <v>1299199</v>
      </c>
      <c r="B1770" t="s">
        <v>431</v>
      </c>
      <c r="C1770" t="s">
        <v>3786</v>
      </c>
      <c r="D1770" t="s">
        <v>3787</v>
      </c>
      <c r="E1770" s="1" t="s">
        <v>3788</v>
      </c>
      <c r="F1770">
        <f>VLOOKUP(A1770,Classifications!$A:$E,5,FALSE)</f>
        <v>3</v>
      </c>
      <c r="G1770">
        <f>VLOOKUP(A1770,Classifications!$A:$F,6,FALSE)</f>
        <v>3</v>
      </c>
      <c r="H1770">
        <f>VLOOKUP(A1770,Classifications!$A:$G,7,FALSE)</f>
        <v>41</v>
      </c>
      <c r="I1770" t="s">
        <v>24</v>
      </c>
      <c r="J1770" s="2">
        <v>44132.333368055559</v>
      </c>
    </row>
    <row r="1771" spans="1:10" ht="12.75" customHeight="1" x14ac:dyDescent="0.3">
      <c r="A1771">
        <v>1298880</v>
      </c>
      <c r="B1771" t="s">
        <v>36</v>
      </c>
      <c r="C1771" t="s">
        <v>2426</v>
      </c>
      <c r="D1771" t="s">
        <v>3789</v>
      </c>
      <c r="E1771" s="1" t="s">
        <v>3790</v>
      </c>
      <c r="F1771">
        <f>VLOOKUP(A1771,Classifications!$A:$E,5,FALSE)</f>
        <v>3</v>
      </c>
      <c r="G1771">
        <f>VLOOKUP(A1771,Classifications!$A:$F,6,FALSE)</f>
        <v>2</v>
      </c>
      <c r="H1771">
        <f>VLOOKUP(A1771,Classifications!$A:$G,7,FALSE)</f>
        <v>43</v>
      </c>
      <c r="I1771" t="s">
        <v>24</v>
      </c>
      <c r="J1771" s="2">
        <v>44131.683379629627</v>
      </c>
    </row>
    <row r="1772" spans="1:10" ht="12.75" customHeight="1" x14ac:dyDescent="0.3">
      <c r="A1772">
        <v>1298857</v>
      </c>
      <c r="B1772" t="s">
        <v>32</v>
      </c>
      <c r="C1772" t="s">
        <v>3791</v>
      </c>
      <c r="D1772" t="s">
        <v>3792</v>
      </c>
      <c r="E1772" s="1" t="s">
        <v>3793</v>
      </c>
      <c r="F1772">
        <f>VLOOKUP(A1772,Classifications!$A:$E,5,FALSE)</f>
        <v>3</v>
      </c>
      <c r="G1772">
        <f>VLOOKUP(A1772,Classifications!$A:$F,6,FALSE)</f>
        <v>3</v>
      </c>
      <c r="H1772">
        <f>VLOOKUP(A1772,Classifications!$A:$G,7,FALSE)</f>
        <v>41</v>
      </c>
      <c r="I1772" t="s">
        <v>11</v>
      </c>
      <c r="J1772" s="2">
        <v>44131.644421296296</v>
      </c>
    </row>
    <row r="1773" spans="1:10" ht="12.75" customHeight="1" x14ac:dyDescent="0.3">
      <c r="A1773">
        <v>1298849</v>
      </c>
      <c r="B1773" t="s">
        <v>318</v>
      </c>
      <c r="C1773" t="s">
        <v>319</v>
      </c>
      <c r="D1773" t="s">
        <v>3794</v>
      </c>
      <c r="E1773" s="1" t="s">
        <v>3795</v>
      </c>
      <c r="F1773">
        <f>VLOOKUP(A1773,Classifications!$A:$E,5,FALSE)</f>
        <v>3</v>
      </c>
      <c r="G1773">
        <f>VLOOKUP(A1773,Classifications!$A:$F,6,FALSE)</f>
        <v>2</v>
      </c>
      <c r="H1773">
        <f>VLOOKUP(A1773,Classifications!$A:$G,7,FALSE)</f>
        <v>41</v>
      </c>
      <c r="I1773" t="s">
        <v>24</v>
      </c>
      <c r="J1773" s="2">
        <v>44131.637141203704</v>
      </c>
    </row>
    <row r="1774" spans="1:10" ht="12.75" customHeight="1" x14ac:dyDescent="0.3">
      <c r="A1774">
        <v>1298200</v>
      </c>
      <c r="B1774" t="s">
        <v>606</v>
      </c>
      <c r="C1774" t="s">
        <v>158</v>
      </c>
      <c r="D1774" t="s">
        <v>3796</v>
      </c>
      <c r="E1774" s="1" t="s">
        <v>3797</v>
      </c>
      <c r="F1774">
        <f>VLOOKUP(A1774,Classifications!$A:$E,5,FALSE)</f>
        <v>2</v>
      </c>
      <c r="G1774">
        <f>VLOOKUP(A1774,Classifications!$A:$F,6,FALSE)</f>
        <v>2</v>
      </c>
      <c r="H1774">
        <f>VLOOKUP(A1774,Classifications!$A:$G,7,FALSE)</f>
        <v>41</v>
      </c>
      <c r="I1774" t="s">
        <v>24</v>
      </c>
      <c r="J1774" s="2">
        <v>44130.536539351851</v>
      </c>
    </row>
    <row r="1775" spans="1:10" ht="12.75" customHeight="1" x14ac:dyDescent="0.3">
      <c r="A1775">
        <v>1298196</v>
      </c>
      <c r="B1775" t="s">
        <v>95</v>
      </c>
      <c r="D1775" t="s">
        <v>3798</v>
      </c>
      <c r="E1775" s="1" t="s">
        <v>3799</v>
      </c>
      <c r="F1775">
        <f>VLOOKUP(A1775,Classifications!$A:$E,5,FALSE)</f>
        <v>2</v>
      </c>
      <c r="G1775">
        <f>VLOOKUP(A1775,Classifications!$A:$F,6,FALSE)</f>
        <v>2</v>
      </c>
      <c r="H1775">
        <f>VLOOKUP(A1775,Classifications!$A:$G,7,FALSE)</f>
        <v>41</v>
      </c>
      <c r="I1775" t="s">
        <v>11</v>
      </c>
      <c r="J1775" s="2">
        <v>44130.521574074075</v>
      </c>
    </row>
    <row r="1776" spans="1:10" ht="12.75" customHeight="1" x14ac:dyDescent="0.3">
      <c r="A1776">
        <v>1297016</v>
      </c>
      <c r="B1776" t="s">
        <v>20</v>
      </c>
      <c r="C1776" t="s">
        <v>266</v>
      </c>
      <c r="D1776" t="s">
        <v>3800</v>
      </c>
      <c r="E1776" s="1" t="s">
        <v>3801</v>
      </c>
      <c r="F1776">
        <f>VLOOKUP(A1776,Classifications!$A:$E,5,FALSE)</f>
        <v>1</v>
      </c>
      <c r="G1776">
        <f>VLOOKUP(A1776,Classifications!$A:$F,6,FALSE)</f>
        <v>2</v>
      </c>
      <c r="H1776">
        <f>VLOOKUP(A1776,Classifications!$A:$G,7,FALSE)</f>
        <v>41</v>
      </c>
      <c r="I1776" t="s">
        <v>24</v>
      </c>
      <c r="J1776" s="2">
        <v>44127.605752314812</v>
      </c>
    </row>
    <row r="1777" spans="1:10" ht="12.75" customHeight="1" x14ac:dyDescent="0.3">
      <c r="A1777">
        <v>1296939</v>
      </c>
      <c r="B1777" t="s">
        <v>1684</v>
      </c>
      <c r="C1777" t="s">
        <v>2695</v>
      </c>
      <c r="D1777" t="s">
        <v>3802</v>
      </c>
      <c r="E1777" s="1" t="s">
        <v>3803</v>
      </c>
      <c r="F1777">
        <f>VLOOKUP(A1777,Classifications!$A:$E,5,FALSE)</f>
        <v>3</v>
      </c>
      <c r="G1777">
        <f>VLOOKUP(A1777,Classifications!$A:$F,6,FALSE)</f>
        <v>2</v>
      </c>
      <c r="H1777">
        <f>VLOOKUP(A1777,Classifications!$A:$G,7,FALSE)</f>
        <v>41</v>
      </c>
      <c r="I1777" t="s">
        <v>11</v>
      </c>
      <c r="J1777" s="2">
        <v>44127.467847222222</v>
      </c>
    </row>
    <row r="1778" spans="1:10" ht="12.75" customHeight="1" x14ac:dyDescent="0.3">
      <c r="A1778">
        <v>1296918</v>
      </c>
      <c r="B1778" t="s">
        <v>16</v>
      </c>
      <c r="C1778" t="s">
        <v>3804</v>
      </c>
      <c r="D1778" t="s">
        <v>3805</v>
      </c>
      <c r="E1778" s="1" t="s">
        <v>3806</v>
      </c>
      <c r="F1778">
        <f>VLOOKUP(A1778,Classifications!$A:$E,5,FALSE)</f>
        <v>2</v>
      </c>
      <c r="G1778">
        <f>VLOOKUP(A1778,Classifications!$A:$F,6,FALSE)</f>
        <v>2</v>
      </c>
      <c r="H1778">
        <f>VLOOKUP(A1778,Classifications!$A:$G,7,FALSE)</f>
        <v>41</v>
      </c>
      <c r="I1778" t="s">
        <v>11</v>
      </c>
      <c r="J1778" s="2">
        <v>44127.428067129629</v>
      </c>
    </row>
    <row r="1779" spans="1:10" ht="12.75" customHeight="1" x14ac:dyDescent="0.3">
      <c r="A1779">
        <v>1296863</v>
      </c>
      <c r="B1779" t="s">
        <v>3807</v>
      </c>
      <c r="C1779" t="s">
        <v>3808</v>
      </c>
      <c r="D1779" t="s">
        <v>3809</v>
      </c>
      <c r="E1779" s="1" t="s">
        <v>3810</v>
      </c>
      <c r="F1779">
        <f>VLOOKUP(A1779,Classifications!$A:$E,5,FALSE)</f>
        <v>2</v>
      </c>
      <c r="G1779">
        <f>VLOOKUP(A1779,Classifications!$A:$F,6,FALSE)</f>
        <v>2</v>
      </c>
      <c r="H1779">
        <f>VLOOKUP(A1779,Classifications!$A:$G,7,FALSE)</f>
        <v>41</v>
      </c>
      <c r="I1779" t="s">
        <v>11</v>
      </c>
      <c r="J1779" s="2">
        <v>44127.372835648152</v>
      </c>
    </row>
    <row r="1780" spans="1:10" ht="12.75" customHeight="1" x14ac:dyDescent="0.3">
      <c r="A1780">
        <v>1296824</v>
      </c>
      <c r="B1780" t="s">
        <v>301</v>
      </c>
      <c r="C1780" t="s">
        <v>2127</v>
      </c>
      <c r="D1780" t="s">
        <v>3811</v>
      </c>
      <c r="E1780" s="1" t="s">
        <v>3812</v>
      </c>
      <c r="F1780">
        <f>VLOOKUP(A1780,Classifications!$A:$E,5,FALSE)</f>
        <v>2</v>
      </c>
      <c r="G1780">
        <f>VLOOKUP(A1780,Classifications!$A:$F,6,FALSE)</f>
        <v>2</v>
      </c>
      <c r="H1780">
        <f>VLOOKUP(A1780,Classifications!$A:$G,7,FALSE)</f>
        <v>41</v>
      </c>
      <c r="I1780" t="s">
        <v>11</v>
      </c>
      <c r="J1780" s="2">
        <v>44127.236006944448</v>
      </c>
    </row>
    <row r="1781" spans="1:10" ht="12.75" customHeight="1" x14ac:dyDescent="0.3">
      <c r="A1781">
        <v>1296596</v>
      </c>
      <c r="B1781" t="s">
        <v>70</v>
      </c>
      <c r="C1781" t="s">
        <v>369</v>
      </c>
      <c r="D1781" t="s">
        <v>3813</v>
      </c>
      <c r="E1781" s="1" t="s">
        <v>3814</v>
      </c>
      <c r="F1781">
        <f>VLOOKUP(A1781,Classifications!$A:$E,5,FALSE)</f>
        <v>1</v>
      </c>
      <c r="G1781">
        <f>VLOOKUP(A1781,Classifications!$A:$F,6,FALSE)</f>
        <v>1</v>
      </c>
      <c r="H1781">
        <f>VLOOKUP(A1781,Classifications!$A:$G,7,FALSE)</f>
        <v>41</v>
      </c>
      <c r="I1781" t="s">
        <v>11</v>
      </c>
      <c r="J1781" s="2">
        <v>44126.818333333336</v>
      </c>
    </row>
    <row r="1782" spans="1:10" ht="12.75" customHeight="1" x14ac:dyDescent="0.3">
      <c r="A1782">
        <v>1296477</v>
      </c>
      <c r="B1782" t="s">
        <v>70</v>
      </c>
      <c r="C1782" t="s">
        <v>3815</v>
      </c>
      <c r="D1782" t="s">
        <v>3816</v>
      </c>
      <c r="E1782" s="1" t="s">
        <v>3817</v>
      </c>
      <c r="F1782">
        <f>VLOOKUP(A1782,Classifications!$A:$E,5,FALSE)</f>
        <v>2</v>
      </c>
      <c r="G1782">
        <f>VLOOKUP(A1782,Classifications!$A:$F,6,FALSE)</f>
        <v>2</v>
      </c>
      <c r="H1782">
        <f>VLOOKUP(A1782,Classifications!$A:$G,7,FALSE)</f>
        <v>41</v>
      </c>
      <c r="I1782" t="s">
        <v>11</v>
      </c>
      <c r="J1782" s="2">
        <v>44126.624282407407</v>
      </c>
    </row>
    <row r="1783" spans="1:10" ht="12.75" customHeight="1" x14ac:dyDescent="0.3">
      <c r="A1783">
        <v>1296422</v>
      </c>
      <c r="B1783" t="s">
        <v>36</v>
      </c>
      <c r="C1783" t="s">
        <v>700</v>
      </c>
      <c r="D1783" t="s">
        <v>3818</v>
      </c>
      <c r="E1783" s="1" t="s">
        <v>3819</v>
      </c>
      <c r="F1783">
        <f>VLOOKUP(A1783,Classifications!$A:$E,5,FALSE)</f>
        <v>2</v>
      </c>
      <c r="G1783">
        <f>VLOOKUP(A1783,Classifications!$A:$F,6,FALSE)</f>
        <v>2</v>
      </c>
      <c r="H1783">
        <f>VLOOKUP(A1783,Classifications!$A:$G,7,FALSE)</f>
        <v>41</v>
      </c>
      <c r="I1783" t="s">
        <v>24</v>
      </c>
      <c r="J1783" s="2">
        <v>44126.529687499999</v>
      </c>
    </row>
    <row r="1784" spans="1:10" ht="12.75" customHeight="1" x14ac:dyDescent="0.3">
      <c r="A1784">
        <v>1296408</v>
      </c>
      <c r="B1784" t="s">
        <v>32</v>
      </c>
      <c r="C1784" t="s">
        <v>115</v>
      </c>
      <c r="D1784" t="s">
        <v>3820</v>
      </c>
      <c r="E1784" s="1" t="s">
        <v>3821</v>
      </c>
      <c r="F1784">
        <f>VLOOKUP(A1784,Classifications!$A:$E,5,FALSE)</f>
        <v>1</v>
      </c>
      <c r="G1784">
        <f>VLOOKUP(A1784,Classifications!$A:$F,6,FALSE)</f>
        <v>2</v>
      </c>
      <c r="H1784">
        <f>VLOOKUP(A1784,Classifications!$A:$G,7,FALSE)</f>
        <v>41</v>
      </c>
      <c r="I1784" t="s">
        <v>11</v>
      </c>
      <c r="J1784" s="2">
        <v>44126.489664351851</v>
      </c>
    </row>
    <row r="1785" spans="1:10" ht="12.75" customHeight="1" x14ac:dyDescent="0.3">
      <c r="A1785">
        <v>1296319</v>
      </c>
      <c r="B1785" t="s">
        <v>184</v>
      </c>
      <c r="C1785" t="s">
        <v>1698</v>
      </c>
      <c r="D1785" t="s">
        <v>3822</v>
      </c>
      <c r="E1785" s="1" t="s">
        <v>3823</v>
      </c>
      <c r="F1785">
        <f>VLOOKUP(A1785,Classifications!$A:$E,5,FALSE)</f>
        <v>1</v>
      </c>
      <c r="G1785">
        <f>VLOOKUP(A1785,Classifications!$A:$F,6,FALSE)</f>
        <v>2</v>
      </c>
      <c r="H1785">
        <f>VLOOKUP(A1785,Classifications!$A:$G,7,FALSE)</f>
        <v>41</v>
      </c>
      <c r="I1785" t="s">
        <v>11</v>
      </c>
      <c r="J1785" s="2">
        <v>44126.388773148145</v>
      </c>
    </row>
    <row r="1786" spans="1:10" ht="12.75" customHeight="1" x14ac:dyDescent="0.3">
      <c r="A1786">
        <v>1295996</v>
      </c>
      <c r="B1786" t="s">
        <v>36</v>
      </c>
      <c r="C1786" t="s">
        <v>124</v>
      </c>
      <c r="D1786" t="s">
        <v>3824</v>
      </c>
      <c r="E1786" s="1" t="s">
        <v>3825</v>
      </c>
      <c r="F1786">
        <f>VLOOKUP(A1786,Classifications!$A:$E,5,FALSE)</f>
        <v>3</v>
      </c>
      <c r="G1786">
        <f>VLOOKUP(A1786,Classifications!$A:$F,6,FALSE)</f>
        <v>2</v>
      </c>
      <c r="H1786">
        <f>VLOOKUP(A1786,Classifications!$A:$G,7,FALSE)</f>
        <v>41</v>
      </c>
      <c r="I1786" t="s">
        <v>24</v>
      </c>
      <c r="J1786" s="2">
        <v>44125.770266203705</v>
      </c>
    </row>
    <row r="1787" spans="1:10" ht="12.75" customHeight="1" x14ac:dyDescent="0.3">
      <c r="A1787">
        <v>1295883</v>
      </c>
      <c r="B1787" t="s">
        <v>87</v>
      </c>
      <c r="C1787" t="s">
        <v>3826</v>
      </c>
      <c r="D1787" t="s">
        <v>3827</v>
      </c>
      <c r="E1787" s="1" t="s">
        <v>3828</v>
      </c>
      <c r="F1787">
        <f>VLOOKUP(A1787,Classifications!$A:$E,5,FALSE)</f>
        <v>2</v>
      </c>
      <c r="G1787">
        <f>VLOOKUP(A1787,Classifications!$A:$F,6,FALSE)</f>
        <v>3</v>
      </c>
      <c r="H1787">
        <f>VLOOKUP(A1787,Classifications!$A:$G,7,FALSE)</f>
        <v>43</v>
      </c>
      <c r="I1787" t="s">
        <v>24</v>
      </c>
      <c r="J1787" s="2">
        <v>44125.604039351849</v>
      </c>
    </row>
    <row r="1788" spans="1:10" ht="12.75" customHeight="1" x14ac:dyDescent="0.3">
      <c r="A1788">
        <v>1295856</v>
      </c>
      <c r="B1788" t="s">
        <v>477</v>
      </c>
      <c r="C1788" t="s">
        <v>158</v>
      </c>
      <c r="D1788" t="s">
        <v>3829</v>
      </c>
      <c r="E1788" s="1" t="s">
        <v>3830</v>
      </c>
      <c r="F1788">
        <f>VLOOKUP(A1788,Classifications!$A:$E,5,FALSE)</f>
        <v>3</v>
      </c>
      <c r="G1788">
        <f>VLOOKUP(A1788,Classifications!$A:$F,6,FALSE)</f>
        <v>1</v>
      </c>
      <c r="H1788">
        <f>VLOOKUP(A1788,Classifications!$A:$G,7,FALSE)</f>
        <v>43</v>
      </c>
      <c r="I1788" t="s">
        <v>24</v>
      </c>
      <c r="J1788" s="2">
        <v>44125.556979166664</v>
      </c>
    </row>
    <row r="1789" spans="1:10" ht="12.75" customHeight="1" x14ac:dyDescent="0.3">
      <c r="A1789">
        <v>1295799</v>
      </c>
      <c r="B1789" t="s">
        <v>25</v>
      </c>
      <c r="C1789" t="s">
        <v>3831</v>
      </c>
      <c r="D1789" t="s">
        <v>3832</v>
      </c>
      <c r="E1789" s="1" t="s">
        <v>3833</v>
      </c>
      <c r="F1789">
        <f>VLOOKUP(A1789,Classifications!$A:$E,5,FALSE)</f>
        <v>1</v>
      </c>
      <c r="G1789">
        <f>VLOOKUP(A1789,Classifications!$A:$F,6,FALSE)</f>
        <v>3</v>
      </c>
      <c r="H1789">
        <f>VLOOKUP(A1789,Classifications!$A:$G,7,FALSE)</f>
        <v>41</v>
      </c>
      <c r="I1789" t="s">
        <v>11</v>
      </c>
      <c r="J1789" s="2">
        <v>44125.448842592596</v>
      </c>
    </row>
    <row r="1790" spans="1:10" ht="12.75" customHeight="1" x14ac:dyDescent="0.3">
      <c r="A1790">
        <v>1295795</v>
      </c>
      <c r="B1790" t="s">
        <v>36</v>
      </c>
      <c r="C1790" t="s">
        <v>124</v>
      </c>
      <c r="D1790" t="s">
        <v>3834</v>
      </c>
      <c r="E1790" s="1" t="s">
        <v>3835</v>
      </c>
      <c r="F1790">
        <f>VLOOKUP(A1790,Classifications!$A:$E,5,FALSE)</f>
        <v>1</v>
      </c>
      <c r="G1790">
        <f>VLOOKUP(A1790,Classifications!$A:$F,6,FALSE)</f>
        <v>2</v>
      </c>
      <c r="H1790">
        <f>VLOOKUP(A1790,Classifications!$A:$G,7,FALSE)</f>
        <v>41</v>
      </c>
      <c r="I1790" t="s">
        <v>24</v>
      </c>
      <c r="J1790" s="2">
        <v>44125.447372685187</v>
      </c>
    </row>
    <row r="1791" spans="1:10" ht="12.75" customHeight="1" x14ac:dyDescent="0.3">
      <c r="A1791">
        <v>1295765</v>
      </c>
      <c r="B1791" t="s">
        <v>36</v>
      </c>
      <c r="C1791" t="s">
        <v>752</v>
      </c>
      <c r="D1791" t="s">
        <v>3836</v>
      </c>
      <c r="E1791" s="1" t="s">
        <v>3837</v>
      </c>
      <c r="F1791">
        <f>VLOOKUP(A1791,Classifications!$A:$E,5,FALSE)</f>
        <v>1</v>
      </c>
      <c r="G1791">
        <f>VLOOKUP(A1791,Classifications!$A:$F,6,FALSE)</f>
        <v>2</v>
      </c>
      <c r="H1791">
        <f>VLOOKUP(A1791,Classifications!$A:$G,7,FALSE)</f>
        <v>41</v>
      </c>
      <c r="I1791" t="s">
        <v>24</v>
      </c>
      <c r="J1791" s="2">
        <v>44125.418946759259</v>
      </c>
    </row>
    <row r="1792" spans="1:10" ht="12.75" customHeight="1" x14ac:dyDescent="0.3">
      <c r="A1792">
        <v>1295704</v>
      </c>
      <c r="B1792" t="s">
        <v>489</v>
      </c>
      <c r="C1792" t="s">
        <v>490</v>
      </c>
      <c r="D1792" t="s">
        <v>3838</v>
      </c>
      <c r="E1792" s="1" t="s">
        <v>3839</v>
      </c>
      <c r="F1792">
        <f>VLOOKUP(A1792,Classifications!$A:$E,5,FALSE)</f>
        <v>2</v>
      </c>
      <c r="G1792">
        <f>VLOOKUP(A1792,Classifications!$A:$F,6,FALSE)</f>
        <v>2</v>
      </c>
      <c r="H1792">
        <f>VLOOKUP(A1792,Classifications!$A:$G,7,FALSE)</f>
        <v>41</v>
      </c>
      <c r="I1792" t="s">
        <v>11</v>
      </c>
      <c r="J1792" s="2">
        <v>44125.3593287037</v>
      </c>
    </row>
    <row r="1793" spans="1:10" ht="12.75" customHeight="1" x14ac:dyDescent="0.3">
      <c r="A1793">
        <v>1295674</v>
      </c>
      <c r="B1793" t="s">
        <v>431</v>
      </c>
      <c r="C1793" t="s">
        <v>3772</v>
      </c>
      <c r="D1793" t="s">
        <v>3840</v>
      </c>
      <c r="E1793" s="1" t="s">
        <v>3841</v>
      </c>
      <c r="F1793">
        <f>VLOOKUP(A1793,Classifications!$A:$E,5,FALSE)</f>
        <v>2</v>
      </c>
      <c r="G1793">
        <f>VLOOKUP(A1793,Classifications!$A:$F,6,FALSE)</f>
        <v>3</v>
      </c>
      <c r="H1793">
        <f>VLOOKUP(A1793,Classifications!$A:$G,7,FALSE)</f>
        <v>41</v>
      </c>
      <c r="I1793" t="s">
        <v>24</v>
      </c>
      <c r="J1793" s="2">
        <v>44125.329722222225</v>
      </c>
    </row>
    <row r="1794" spans="1:10" ht="12.75" customHeight="1" x14ac:dyDescent="0.3">
      <c r="A1794">
        <v>1295488</v>
      </c>
      <c r="B1794" t="s">
        <v>335</v>
      </c>
      <c r="C1794" t="s">
        <v>2904</v>
      </c>
      <c r="D1794" t="s">
        <v>1323</v>
      </c>
      <c r="E1794" t="s">
        <v>1324</v>
      </c>
      <c r="F1794">
        <f>VLOOKUP(A1794,Classifications!$A:$E,5,FALSE)</f>
        <v>1</v>
      </c>
      <c r="G1794">
        <f>VLOOKUP(A1794,Classifications!$A:$F,6,FALSE)</f>
        <v>1</v>
      </c>
      <c r="H1794">
        <f>VLOOKUP(A1794,Classifications!$A:$G,7,FALSE)</f>
        <v>36</v>
      </c>
      <c r="I1794" t="s">
        <v>1158</v>
      </c>
      <c r="J1794" s="2">
        <v>44125.000069444446</v>
      </c>
    </row>
    <row r="1795" spans="1:10" ht="12.75" customHeight="1" x14ac:dyDescent="0.3">
      <c r="A1795">
        <v>1295230</v>
      </c>
      <c r="B1795" t="s">
        <v>53</v>
      </c>
      <c r="C1795" t="s">
        <v>3842</v>
      </c>
      <c r="D1795" t="s">
        <v>3843</v>
      </c>
      <c r="E1795" s="1" t="s">
        <v>3844</v>
      </c>
      <c r="F1795">
        <f>VLOOKUP(A1795,Classifications!$A:$E,5,FALSE)</f>
        <v>1</v>
      </c>
      <c r="G1795">
        <f>VLOOKUP(A1795,Classifications!$A:$F,6,FALSE)</f>
        <v>1</v>
      </c>
      <c r="H1795">
        <f>VLOOKUP(A1795,Classifications!$A:$G,7,FALSE)</f>
        <v>43</v>
      </c>
      <c r="I1795" t="s">
        <v>11</v>
      </c>
      <c r="J1795" s="2">
        <v>44124.6794212963</v>
      </c>
    </row>
    <row r="1796" spans="1:10" ht="12.75" customHeight="1" x14ac:dyDescent="0.3">
      <c r="A1796">
        <v>1295229</v>
      </c>
      <c r="B1796" t="s">
        <v>16</v>
      </c>
      <c r="C1796" t="s">
        <v>649</v>
      </c>
      <c r="D1796" t="s">
        <v>3845</v>
      </c>
      <c r="E1796" s="1" t="s">
        <v>3846</v>
      </c>
      <c r="F1796">
        <f>VLOOKUP(A1796,Classifications!$A:$E,5,FALSE)</f>
        <v>1</v>
      </c>
      <c r="G1796">
        <f>VLOOKUP(A1796,Classifications!$A:$F,6,FALSE)</f>
        <v>1</v>
      </c>
      <c r="H1796">
        <f>VLOOKUP(A1796,Classifications!$A:$G,7,FALSE)</f>
        <v>43</v>
      </c>
      <c r="I1796" t="s">
        <v>11</v>
      </c>
      <c r="J1796" s="2">
        <v>44124.677060185182</v>
      </c>
    </row>
    <row r="1797" spans="1:10" ht="12.75" customHeight="1" x14ac:dyDescent="0.3">
      <c r="A1797">
        <v>1295196</v>
      </c>
      <c r="B1797" t="s">
        <v>16</v>
      </c>
      <c r="C1797" t="s">
        <v>649</v>
      </c>
      <c r="D1797" t="s">
        <v>3847</v>
      </c>
      <c r="E1797" s="1" t="s">
        <v>3848</v>
      </c>
      <c r="F1797">
        <f>VLOOKUP(A1797,Classifications!$A:$E,5,FALSE)</f>
        <v>1</v>
      </c>
      <c r="G1797">
        <f>VLOOKUP(A1797,Classifications!$A:$F,6,FALSE)</f>
        <v>1</v>
      </c>
      <c r="H1797">
        <f>VLOOKUP(A1797,Classifications!$A:$G,7,FALSE)</f>
        <v>43</v>
      </c>
      <c r="I1797" t="s">
        <v>11</v>
      </c>
      <c r="J1797" s="2">
        <v>44124.602870370371</v>
      </c>
    </row>
    <row r="1798" spans="1:10" ht="12.75" customHeight="1" x14ac:dyDescent="0.3">
      <c r="A1798">
        <v>1295147</v>
      </c>
      <c r="B1798" t="s">
        <v>53</v>
      </c>
      <c r="C1798" t="s">
        <v>54</v>
      </c>
      <c r="D1798" t="s">
        <v>3849</v>
      </c>
      <c r="E1798" s="1" t="s">
        <v>3850</v>
      </c>
      <c r="F1798">
        <f>VLOOKUP(A1798,Classifications!$A:$E,5,FALSE)</f>
        <v>1</v>
      </c>
      <c r="G1798">
        <f>VLOOKUP(A1798,Classifications!$A:$F,6,FALSE)</f>
        <v>1</v>
      </c>
      <c r="H1798">
        <f>VLOOKUP(A1798,Classifications!$A:$G,7,FALSE)</f>
        <v>43</v>
      </c>
      <c r="I1798" t="s">
        <v>11</v>
      </c>
      <c r="J1798" s="2">
        <v>44124.468425925923</v>
      </c>
    </row>
    <row r="1799" spans="1:10" ht="12.75" customHeight="1" x14ac:dyDescent="0.3">
      <c r="A1799">
        <v>1295027</v>
      </c>
      <c r="B1799" t="s">
        <v>32</v>
      </c>
      <c r="C1799" t="s">
        <v>2771</v>
      </c>
      <c r="D1799" t="s">
        <v>3851</v>
      </c>
      <c r="E1799" s="1" t="s">
        <v>3852</v>
      </c>
      <c r="F1799">
        <f>VLOOKUP(A1799,Classifications!$A:$E,5,FALSE)</f>
        <v>2</v>
      </c>
      <c r="G1799">
        <f>VLOOKUP(A1799,Classifications!$A:$F,6,FALSE)</f>
        <v>2</v>
      </c>
      <c r="H1799">
        <f>VLOOKUP(A1799,Classifications!$A:$G,7,FALSE)</f>
        <v>41</v>
      </c>
      <c r="I1799" t="s">
        <v>11</v>
      </c>
      <c r="J1799" s="2">
        <v>44124.341006944444</v>
      </c>
    </row>
    <row r="1800" spans="1:10" ht="12.75" customHeight="1" x14ac:dyDescent="0.3">
      <c r="A1800">
        <v>1294666</v>
      </c>
      <c r="B1800" t="s">
        <v>36</v>
      </c>
      <c r="C1800" t="s">
        <v>343</v>
      </c>
      <c r="D1800" t="s">
        <v>3853</v>
      </c>
      <c r="E1800" s="1" t="s">
        <v>3854</v>
      </c>
      <c r="F1800">
        <f>VLOOKUP(A1800,Classifications!$A:$E,5,FALSE)</f>
        <v>2</v>
      </c>
      <c r="G1800">
        <f>VLOOKUP(A1800,Classifications!$A:$F,6,FALSE)</f>
        <v>2</v>
      </c>
      <c r="H1800">
        <f>VLOOKUP(A1800,Classifications!$A:$G,7,FALSE)</f>
        <v>41</v>
      </c>
      <c r="I1800" t="s">
        <v>24</v>
      </c>
      <c r="J1800" s="2">
        <v>44123.688842592594</v>
      </c>
    </row>
    <row r="1801" spans="1:10" ht="12.75" customHeight="1" x14ac:dyDescent="0.3">
      <c r="A1801">
        <v>1294620</v>
      </c>
      <c r="B1801" t="s">
        <v>3855</v>
      </c>
      <c r="C1801" t="s">
        <v>3856</v>
      </c>
      <c r="D1801" t="s">
        <v>3857</v>
      </c>
      <c r="E1801" s="1" t="s">
        <v>3858</v>
      </c>
      <c r="F1801">
        <f>VLOOKUP(A1801,Classifications!$A:$E,5,FALSE)</f>
        <v>2</v>
      </c>
      <c r="G1801">
        <f>VLOOKUP(A1801,Classifications!$A:$F,6,FALSE)</f>
        <v>3</v>
      </c>
      <c r="H1801">
        <f>VLOOKUP(A1801,Classifications!$A:$G,7,FALSE)</f>
        <v>41</v>
      </c>
      <c r="I1801" t="s">
        <v>11</v>
      </c>
      <c r="J1801" s="2">
        <v>44123.582627314812</v>
      </c>
    </row>
    <row r="1802" spans="1:10" ht="12.75" customHeight="1" x14ac:dyDescent="0.3">
      <c r="A1802">
        <v>1294615</v>
      </c>
      <c r="B1802" t="s">
        <v>214</v>
      </c>
      <c r="C1802" t="s">
        <v>3859</v>
      </c>
      <c r="D1802" t="s">
        <v>3860</v>
      </c>
      <c r="E1802" s="1" t="s">
        <v>3861</v>
      </c>
      <c r="F1802">
        <f>VLOOKUP(A1802,Classifications!$A:$E,5,FALSE)</f>
        <v>1</v>
      </c>
      <c r="G1802">
        <f>VLOOKUP(A1802,Classifications!$A:$F,6,FALSE)</f>
        <v>1</v>
      </c>
      <c r="H1802">
        <f>VLOOKUP(A1802,Classifications!$A:$G,7,FALSE)</f>
        <v>36</v>
      </c>
      <c r="I1802" t="s">
        <v>24</v>
      </c>
      <c r="J1802" s="2">
        <v>44123.566435185188</v>
      </c>
    </row>
    <row r="1803" spans="1:10" ht="12.75" customHeight="1" x14ac:dyDescent="0.3">
      <c r="A1803">
        <v>1294569</v>
      </c>
      <c r="B1803" t="s">
        <v>36</v>
      </c>
      <c r="C1803" t="s">
        <v>2426</v>
      </c>
      <c r="D1803" t="s">
        <v>3862</v>
      </c>
      <c r="E1803" s="1" t="s">
        <v>3863</v>
      </c>
      <c r="F1803">
        <f>VLOOKUP(A1803,Classifications!$A:$E,5,FALSE)</f>
        <v>3</v>
      </c>
      <c r="G1803">
        <f>VLOOKUP(A1803,Classifications!$A:$F,6,FALSE)</f>
        <v>2</v>
      </c>
      <c r="H1803">
        <f>VLOOKUP(A1803,Classifications!$A:$G,7,FALSE)</f>
        <v>43</v>
      </c>
      <c r="I1803" t="s">
        <v>24</v>
      </c>
      <c r="J1803" s="2">
        <v>44123.470717592594</v>
      </c>
    </row>
    <row r="1804" spans="1:10" ht="12.75" customHeight="1" x14ac:dyDescent="0.3">
      <c r="A1804">
        <v>1294567</v>
      </c>
      <c r="B1804" t="s">
        <v>2442</v>
      </c>
      <c r="C1804" t="s">
        <v>2443</v>
      </c>
      <c r="D1804" t="s">
        <v>3864</v>
      </c>
      <c r="E1804" s="1" t="s">
        <v>3865</v>
      </c>
      <c r="F1804">
        <f>VLOOKUP(A1804,Classifications!$A:$E,5,FALSE)</f>
        <v>3</v>
      </c>
      <c r="G1804">
        <f>VLOOKUP(A1804,Classifications!$A:$F,6,FALSE)</f>
        <v>1</v>
      </c>
      <c r="H1804">
        <f>VLOOKUP(A1804,Classifications!$A:$G,7,FALSE)</f>
        <v>41</v>
      </c>
      <c r="I1804" t="s">
        <v>11</v>
      </c>
      <c r="J1804" s="2">
        <v>44123.470243055555</v>
      </c>
    </row>
    <row r="1805" spans="1:10" ht="12.75" customHeight="1" x14ac:dyDescent="0.3">
      <c r="A1805">
        <v>1294564</v>
      </c>
      <c r="B1805" t="s">
        <v>12</v>
      </c>
      <c r="C1805" t="s">
        <v>1774</v>
      </c>
      <c r="D1805" t="s">
        <v>3866</v>
      </c>
      <c r="E1805" s="1" t="s">
        <v>3867</v>
      </c>
      <c r="F1805">
        <f>VLOOKUP(A1805,Classifications!$A:$E,5,FALSE)</f>
        <v>3</v>
      </c>
      <c r="G1805">
        <f>VLOOKUP(A1805,Classifications!$A:$F,6,FALSE)</f>
        <v>1</v>
      </c>
      <c r="H1805">
        <f>VLOOKUP(A1805,Classifications!$A:$G,7,FALSE)</f>
        <v>41</v>
      </c>
      <c r="I1805" t="s">
        <v>24</v>
      </c>
      <c r="J1805" s="2">
        <v>44123.467569444445</v>
      </c>
    </row>
    <row r="1806" spans="1:10" ht="12.75" customHeight="1" x14ac:dyDescent="0.3">
      <c r="A1806">
        <v>1294548</v>
      </c>
      <c r="B1806" t="s">
        <v>3868</v>
      </c>
      <c r="C1806" t="s">
        <v>3869</v>
      </c>
      <c r="D1806" t="s">
        <v>3870</v>
      </c>
      <c r="E1806" s="1" t="s">
        <v>3871</v>
      </c>
      <c r="F1806">
        <f>VLOOKUP(A1806,Classifications!$A:$E,5,FALSE)</f>
        <v>2</v>
      </c>
      <c r="G1806">
        <f>VLOOKUP(A1806,Classifications!$A:$F,6,FALSE)</f>
        <v>2</v>
      </c>
      <c r="H1806">
        <f>VLOOKUP(A1806,Classifications!$A:$G,7,FALSE)</f>
        <v>41</v>
      </c>
      <c r="I1806" t="s">
        <v>24</v>
      </c>
      <c r="J1806" s="2">
        <v>44123.44295138889</v>
      </c>
    </row>
    <row r="1807" spans="1:10" ht="12.75" customHeight="1" x14ac:dyDescent="0.3">
      <c r="A1807">
        <v>1294433</v>
      </c>
      <c r="B1807" t="s">
        <v>301</v>
      </c>
      <c r="C1807" t="s">
        <v>2127</v>
      </c>
      <c r="D1807" t="s">
        <v>3872</v>
      </c>
      <c r="E1807" s="1" t="s">
        <v>3873</v>
      </c>
      <c r="F1807">
        <f>VLOOKUP(A1807,Classifications!$A:$E,5,FALSE)</f>
        <v>3</v>
      </c>
      <c r="G1807">
        <f>VLOOKUP(A1807,Classifications!$A:$F,6,FALSE)</f>
        <v>3</v>
      </c>
      <c r="H1807">
        <f>VLOOKUP(A1807,Classifications!$A:$G,7,FALSE)</f>
        <v>41</v>
      </c>
      <c r="I1807" t="s">
        <v>11</v>
      </c>
      <c r="J1807" s="2">
        <v>44123.237060185187</v>
      </c>
    </row>
    <row r="1808" spans="1:10" ht="12.75" customHeight="1" x14ac:dyDescent="0.3">
      <c r="A1808">
        <v>1293257</v>
      </c>
      <c r="B1808" t="s">
        <v>36</v>
      </c>
      <c r="C1808" t="s">
        <v>324</v>
      </c>
      <c r="D1808" t="s">
        <v>3874</v>
      </c>
      <c r="E1808" s="1" t="s">
        <v>3875</v>
      </c>
      <c r="F1808">
        <f>VLOOKUP(A1808,Classifications!$A:$E,5,FALSE)</f>
        <v>3</v>
      </c>
      <c r="G1808">
        <f>VLOOKUP(A1808,Classifications!$A:$F,6,FALSE)</f>
        <v>2</v>
      </c>
      <c r="H1808">
        <f>VLOOKUP(A1808,Classifications!$A:$G,7,FALSE)</f>
        <v>43</v>
      </c>
      <c r="I1808" t="s">
        <v>24</v>
      </c>
      <c r="J1808" s="2">
        <v>44120.466620370367</v>
      </c>
    </row>
    <row r="1809" spans="1:10" ht="12.75" customHeight="1" x14ac:dyDescent="0.3">
      <c r="A1809">
        <v>1293254</v>
      </c>
      <c r="B1809" t="s">
        <v>63</v>
      </c>
      <c r="C1809" t="s">
        <v>1524</v>
      </c>
      <c r="D1809" t="s">
        <v>3876</v>
      </c>
      <c r="E1809" s="1" t="s">
        <v>3877</v>
      </c>
      <c r="F1809">
        <f>VLOOKUP(A1809,Classifications!$A:$E,5,FALSE)</f>
        <v>1</v>
      </c>
      <c r="G1809">
        <f>VLOOKUP(A1809,Classifications!$A:$F,6,FALSE)</f>
        <v>1</v>
      </c>
      <c r="H1809">
        <f>VLOOKUP(A1809,Classifications!$A:$G,7,FALSE)</f>
        <v>41</v>
      </c>
      <c r="I1809" t="s">
        <v>11</v>
      </c>
      <c r="J1809" s="2">
        <v>44120.462581018517</v>
      </c>
    </row>
    <row r="1810" spans="1:10" ht="12.75" customHeight="1" x14ac:dyDescent="0.3">
      <c r="A1810">
        <v>1293251</v>
      </c>
      <c r="B1810" t="s">
        <v>45</v>
      </c>
      <c r="C1810" t="s">
        <v>3878</v>
      </c>
      <c r="D1810" t="s">
        <v>3879</v>
      </c>
      <c r="E1810" s="1" t="s">
        <v>3880</v>
      </c>
      <c r="F1810">
        <f>VLOOKUP(A1810,Classifications!$A:$E,5,FALSE)</f>
        <v>1</v>
      </c>
      <c r="G1810">
        <f>VLOOKUP(A1810,Classifications!$A:$F,6,FALSE)</f>
        <v>1</v>
      </c>
      <c r="H1810">
        <f>VLOOKUP(A1810,Classifications!$A:$G,7,FALSE)</f>
        <v>41</v>
      </c>
      <c r="I1810" t="s">
        <v>11</v>
      </c>
      <c r="J1810" s="2">
        <v>44120.455254629633</v>
      </c>
    </row>
    <row r="1811" spans="1:10" ht="12.75" customHeight="1" x14ac:dyDescent="0.3">
      <c r="A1811">
        <v>1293245</v>
      </c>
      <c r="B1811" t="s">
        <v>53</v>
      </c>
      <c r="C1811" t="s">
        <v>60</v>
      </c>
      <c r="D1811" t="s">
        <v>3881</v>
      </c>
      <c r="E1811" s="1" t="s">
        <v>3882</v>
      </c>
      <c r="F1811">
        <f>VLOOKUP(A1811,Classifications!$A:$E,5,FALSE)</f>
        <v>2</v>
      </c>
      <c r="G1811">
        <f>VLOOKUP(A1811,Classifications!$A:$F,6,FALSE)</f>
        <v>2</v>
      </c>
      <c r="H1811">
        <f>VLOOKUP(A1811,Classifications!$A:$G,7,FALSE)</f>
        <v>41</v>
      </c>
      <c r="I1811" t="s">
        <v>11</v>
      </c>
      <c r="J1811" s="2">
        <v>44120.437361111108</v>
      </c>
    </row>
    <row r="1812" spans="1:10" ht="12.75" customHeight="1" x14ac:dyDescent="0.3">
      <c r="A1812">
        <v>1293189</v>
      </c>
      <c r="B1812" t="s">
        <v>489</v>
      </c>
      <c r="C1812" t="s">
        <v>3883</v>
      </c>
      <c r="D1812" t="s">
        <v>3884</v>
      </c>
      <c r="E1812" s="1" t="s">
        <v>3885</v>
      </c>
      <c r="F1812">
        <f>VLOOKUP(A1812,Classifications!$A:$E,5,FALSE)</f>
        <v>3</v>
      </c>
      <c r="G1812">
        <f>VLOOKUP(A1812,Classifications!$A:$F,6,FALSE)</f>
        <v>2</v>
      </c>
      <c r="H1812">
        <f>VLOOKUP(A1812,Classifications!$A:$G,7,FALSE)</f>
        <v>41</v>
      </c>
      <c r="I1812" t="s">
        <v>11</v>
      </c>
      <c r="J1812" s="2">
        <v>44120.37709490741</v>
      </c>
    </row>
    <row r="1813" spans="1:10" ht="12.75" customHeight="1" x14ac:dyDescent="0.3">
      <c r="A1813">
        <v>1293163</v>
      </c>
      <c r="B1813" t="s">
        <v>36</v>
      </c>
      <c r="C1813" t="s">
        <v>67</v>
      </c>
      <c r="D1813" t="s">
        <v>3886</v>
      </c>
      <c r="E1813" s="1" t="s">
        <v>3887</v>
      </c>
      <c r="F1813">
        <f>VLOOKUP(A1813,Classifications!$A:$E,5,FALSE)</f>
        <v>3</v>
      </c>
      <c r="G1813">
        <f>VLOOKUP(A1813,Classifications!$A:$F,6,FALSE)</f>
        <v>2</v>
      </c>
      <c r="H1813">
        <f>VLOOKUP(A1813,Classifications!$A:$G,7,FALSE)</f>
        <v>43</v>
      </c>
      <c r="I1813" t="s">
        <v>24</v>
      </c>
      <c r="J1813" s="2">
        <v>44120.331620370373</v>
      </c>
    </row>
    <row r="1814" spans="1:10" ht="12.75" customHeight="1" x14ac:dyDescent="0.3">
      <c r="A1814">
        <v>1292643</v>
      </c>
      <c r="B1814" t="s">
        <v>87</v>
      </c>
      <c r="C1814" t="s">
        <v>3888</v>
      </c>
      <c r="D1814" t="s">
        <v>3889</v>
      </c>
      <c r="E1814" s="1" t="s">
        <v>3890</v>
      </c>
      <c r="F1814">
        <f>VLOOKUP(A1814,Classifications!$A:$E,5,FALSE)</f>
        <v>2</v>
      </c>
      <c r="G1814">
        <f>VLOOKUP(A1814,Classifications!$A:$F,6,FALSE)</f>
        <v>2</v>
      </c>
      <c r="H1814">
        <f>VLOOKUP(A1814,Classifications!$A:$G,7,FALSE)</f>
        <v>41</v>
      </c>
      <c r="I1814" t="s">
        <v>24</v>
      </c>
      <c r="J1814" s="2">
        <v>44119.36791666667</v>
      </c>
    </row>
    <row r="1815" spans="1:10" ht="12.75" customHeight="1" x14ac:dyDescent="0.3">
      <c r="A1815">
        <v>1292633</v>
      </c>
      <c r="B1815" t="s">
        <v>446</v>
      </c>
      <c r="C1815" t="s">
        <v>3891</v>
      </c>
      <c r="D1815" t="s">
        <v>3892</v>
      </c>
      <c r="E1815" s="1" t="s">
        <v>3893</v>
      </c>
      <c r="F1815">
        <f>VLOOKUP(A1815,Classifications!$A:$E,5,FALSE)</f>
        <v>1</v>
      </c>
      <c r="G1815">
        <f>VLOOKUP(A1815,Classifications!$A:$F,6,FALSE)</f>
        <v>2</v>
      </c>
      <c r="H1815">
        <f>VLOOKUP(A1815,Classifications!$A:$G,7,FALSE)</f>
        <v>41</v>
      </c>
      <c r="I1815" t="s">
        <v>11</v>
      </c>
      <c r="J1815" s="2">
        <v>44119.344398148147</v>
      </c>
    </row>
    <row r="1816" spans="1:10" ht="12.75" customHeight="1" x14ac:dyDescent="0.3">
      <c r="A1816">
        <v>1292289</v>
      </c>
      <c r="B1816" t="s">
        <v>1079</v>
      </c>
      <c r="C1816" t="s">
        <v>3760</v>
      </c>
      <c r="D1816" t="s">
        <v>3894</v>
      </c>
      <c r="E1816" s="1" t="s">
        <v>3895</v>
      </c>
      <c r="F1816">
        <f>VLOOKUP(A1816,Classifications!$A:$E,5,FALSE)</f>
        <v>3</v>
      </c>
      <c r="G1816">
        <f>VLOOKUP(A1816,Classifications!$A:$F,6,FALSE)</f>
        <v>2</v>
      </c>
      <c r="H1816">
        <f>VLOOKUP(A1816,Classifications!$A:$G,7,FALSE)</f>
        <v>41</v>
      </c>
      <c r="I1816" t="s">
        <v>11</v>
      </c>
      <c r="J1816" s="2">
        <v>44118.702893518515</v>
      </c>
    </row>
    <row r="1817" spans="1:10" ht="12.75" customHeight="1" x14ac:dyDescent="0.3">
      <c r="A1817">
        <v>1292233</v>
      </c>
      <c r="B1817" t="s">
        <v>36</v>
      </c>
      <c r="C1817" t="s">
        <v>3403</v>
      </c>
      <c r="D1817" t="s">
        <v>3896</v>
      </c>
      <c r="E1817" s="1" t="s">
        <v>3897</v>
      </c>
      <c r="F1817">
        <f>VLOOKUP(A1817,Classifications!$A:$E,5,FALSE)</f>
        <v>3</v>
      </c>
      <c r="G1817">
        <f>VLOOKUP(A1817,Classifications!$A:$F,6,FALSE)</f>
        <v>2</v>
      </c>
      <c r="H1817">
        <f>VLOOKUP(A1817,Classifications!$A:$G,7,FALSE)</f>
        <v>41</v>
      </c>
      <c r="I1817" t="s">
        <v>24</v>
      </c>
      <c r="J1817" s="2">
        <v>44118.550462962965</v>
      </c>
    </row>
    <row r="1818" spans="1:10" ht="12.75" customHeight="1" x14ac:dyDescent="0.3">
      <c r="A1818">
        <v>1292125</v>
      </c>
      <c r="B1818" t="s">
        <v>3184</v>
      </c>
      <c r="C1818" t="s">
        <v>3185</v>
      </c>
      <c r="D1818" t="s">
        <v>3898</v>
      </c>
      <c r="E1818" s="1" t="s">
        <v>3899</v>
      </c>
      <c r="F1818">
        <f>VLOOKUP(A1818,Classifications!$A:$E,5,FALSE)</f>
        <v>2</v>
      </c>
      <c r="G1818">
        <f>VLOOKUP(A1818,Classifications!$A:$F,6,FALSE)</f>
        <v>2</v>
      </c>
      <c r="H1818">
        <f>VLOOKUP(A1818,Classifications!$A:$G,7,FALSE)</f>
        <v>41</v>
      </c>
      <c r="I1818" t="s">
        <v>11</v>
      </c>
      <c r="J1818" s="2">
        <v>44118.392106481479</v>
      </c>
    </row>
    <row r="1819" spans="1:10" ht="12.75" customHeight="1" x14ac:dyDescent="0.3">
      <c r="A1819">
        <v>1292096</v>
      </c>
      <c r="B1819" t="s">
        <v>318</v>
      </c>
      <c r="C1819" t="s">
        <v>319</v>
      </c>
      <c r="D1819" t="s">
        <v>3900</v>
      </c>
      <c r="E1819" s="1" t="s">
        <v>3901</v>
      </c>
      <c r="F1819">
        <f>VLOOKUP(A1819,Classifications!$A:$E,5,FALSE)</f>
        <v>3</v>
      </c>
      <c r="G1819">
        <f>VLOOKUP(A1819,Classifications!$A:$F,6,FALSE)</f>
        <v>2</v>
      </c>
      <c r="H1819">
        <f>VLOOKUP(A1819,Classifications!$A:$G,7,FALSE)</f>
        <v>41</v>
      </c>
      <c r="I1819" t="s">
        <v>11</v>
      </c>
      <c r="J1819" s="2">
        <v>44118.339444444442</v>
      </c>
    </row>
    <row r="1820" spans="1:10" ht="12.75" customHeight="1" x14ac:dyDescent="0.3">
      <c r="A1820">
        <v>1291747</v>
      </c>
      <c r="B1820" t="s">
        <v>25</v>
      </c>
      <c r="C1820" t="s">
        <v>26</v>
      </c>
      <c r="D1820" t="s">
        <v>3902</v>
      </c>
      <c r="E1820" s="1" t="s">
        <v>3903</v>
      </c>
      <c r="F1820">
        <f>VLOOKUP(A1820,Classifications!$A:$E,5,FALSE)</f>
        <v>2</v>
      </c>
      <c r="G1820">
        <f>VLOOKUP(A1820,Classifications!$A:$F,6,FALSE)</f>
        <v>2</v>
      </c>
      <c r="H1820">
        <f>VLOOKUP(A1820,Classifications!$A:$G,7,FALSE)</f>
        <v>41</v>
      </c>
      <c r="I1820" t="s">
        <v>11</v>
      </c>
      <c r="J1820" s="2">
        <v>44117.766053240739</v>
      </c>
    </row>
    <row r="1821" spans="1:10" ht="12.75" customHeight="1" x14ac:dyDescent="0.3">
      <c r="A1821">
        <v>1291696</v>
      </c>
      <c r="B1821" t="s">
        <v>36</v>
      </c>
      <c r="C1821" t="s">
        <v>700</v>
      </c>
      <c r="D1821" t="s">
        <v>3904</v>
      </c>
      <c r="E1821" s="1" t="s">
        <v>3905</v>
      </c>
      <c r="F1821">
        <f>VLOOKUP(A1821,Classifications!$A:$E,5,FALSE)</f>
        <v>3</v>
      </c>
      <c r="G1821">
        <f>VLOOKUP(A1821,Classifications!$A:$F,6,FALSE)</f>
        <v>2</v>
      </c>
      <c r="H1821">
        <f>VLOOKUP(A1821,Classifications!$A:$G,7,FALSE)</f>
        <v>43</v>
      </c>
      <c r="I1821" t="s">
        <v>24</v>
      </c>
      <c r="J1821" s="2">
        <v>44117.683877314812</v>
      </c>
    </row>
    <row r="1822" spans="1:10" ht="12.75" customHeight="1" x14ac:dyDescent="0.3">
      <c r="A1822">
        <v>1291681</v>
      </c>
      <c r="B1822" t="s">
        <v>36</v>
      </c>
      <c r="C1822" t="s">
        <v>1342</v>
      </c>
      <c r="D1822" t="s">
        <v>3906</v>
      </c>
      <c r="E1822" s="1" t="s">
        <v>3907</v>
      </c>
      <c r="F1822">
        <f>VLOOKUP(A1822,Classifications!$A:$E,5,FALSE)</f>
        <v>1</v>
      </c>
      <c r="G1822">
        <f>VLOOKUP(A1822,Classifications!$A:$F,6,FALSE)</f>
        <v>2</v>
      </c>
      <c r="H1822">
        <f>VLOOKUP(A1822,Classifications!$A:$G,7,FALSE)</f>
        <v>43</v>
      </c>
      <c r="I1822" t="s">
        <v>11</v>
      </c>
      <c r="J1822" s="2">
        <v>44117.652268518519</v>
      </c>
    </row>
    <row r="1823" spans="1:10" ht="12.75" customHeight="1" x14ac:dyDescent="0.3">
      <c r="A1823">
        <v>1291678</v>
      </c>
      <c r="B1823" t="s">
        <v>157</v>
      </c>
      <c r="C1823" t="s">
        <v>3908</v>
      </c>
      <c r="D1823" t="s">
        <v>3909</v>
      </c>
      <c r="E1823" s="1" t="s">
        <v>3910</v>
      </c>
      <c r="F1823">
        <f>VLOOKUP(A1823,Classifications!$A:$E,5,FALSE)</f>
        <v>2</v>
      </c>
      <c r="G1823">
        <f>VLOOKUP(A1823,Classifications!$A:$F,6,FALSE)</f>
        <v>2</v>
      </c>
      <c r="H1823">
        <f>VLOOKUP(A1823,Classifications!$A:$G,7,FALSE)</f>
        <v>41</v>
      </c>
      <c r="I1823" t="s">
        <v>24</v>
      </c>
      <c r="J1823" s="2">
        <v>44117.648969907408</v>
      </c>
    </row>
    <row r="1824" spans="1:10" ht="12.75" customHeight="1" x14ac:dyDescent="0.3">
      <c r="A1824">
        <v>1291659</v>
      </c>
      <c r="B1824" t="s">
        <v>150</v>
      </c>
      <c r="C1824" t="s">
        <v>3911</v>
      </c>
      <c r="D1824" t="s">
        <v>3912</v>
      </c>
      <c r="E1824" s="1" t="s">
        <v>3913</v>
      </c>
      <c r="F1824">
        <f>VLOOKUP(A1824,Classifications!$A:$E,5,FALSE)</f>
        <v>1</v>
      </c>
      <c r="G1824">
        <f>VLOOKUP(A1824,Classifications!$A:$F,6,FALSE)</f>
        <v>2</v>
      </c>
      <c r="H1824">
        <f>VLOOKUP(A1824,Classifications!$A:$G,7,FALSE)</f>
        <v>41</v>
      </c>
      <c r="I1824" t="s">
        <v>11</v>
      </c>
      <c r="J1824" s="2">
        <v>44117.601736111108</v>
      </c>
    </row>
    <row r="1825" spans="1:10" ht="12.75" customHeight="1" x14ac:dyDescent="0.3">
      <c r="A1825">
        <v>1291618</v>
      </c>
      <c r="B1825" t="s">
        <v>53</v>
      </c>
      <c r="C1825" t="s">
        <v>54</v>
      </c>
      <c r="D1825" t="s">
        <v>3914</v>
      </c>
      <c r="E1825" s="1" t="s">
        <v>3915</v>
      </c>
      <c r="F1825">
        <f>VLOOKUP(A1825,Classifications!$A:$E,5,FALSE)</f>
        <v>2</v>
      </c>
      <c r="G1825">
        <f>VLOOKUP(A1825,Classifications!$A:$F,6,FALSE)</f>
        <v>2</v>
      </c>
      <c r="H1825">
        <f>VLOOKUP(A1825,Classifications!$A:$G,7,FALSE)</f>
        <v>41</v>
      </c>
      <c r="I1825" t="s">
        <v>11</v>
      </c>
      <c r="J1825" s="2">
        <v>44117.539502314816</v>
      </c>
    </row>
    <row r="1826" spans="1:10" ht="12.75" customHeight="1" x14ac:dyDescent="0.3">
      <c r="A1826">
        <v>1291578</v>
      </c>
      <c r="B1826" t="s">
        <v>36</v>
      </c>
      <c r="C1826" t="s">
        <v>509</v>
      </c>
      <c r="D1826" t="s">
        <v>3916</v>
      </c>
      <c r="E1826" s="1" t="s">
        <v>3917</v>
      </c>
      <c r="F1826">
        <f>VLOOKUP(A1826,Classifications!$A:$E,5,FALSE)</f>
        <v>3</v>
      </c>
      <c r="G1826">
        <f>VLOOKUP(A1826,Classifications!$A:$F,6,FALSE)</f>
        <v>2</v>
      </c>
      <c r="H1826">
        <f>VLOOKUP(A1826,Classifications!$A:$G,7,FALSE)</f>
        <v>43</v>
      </c>
      <c r="I1826" t="s">
        <v>24</v>
      </c>
      <c r="J1826" s="2">
        <v>44117.475428240738</v>
      </c>
    </row>
    <row r="1827" spans="1:10" ht="12.75" customHeight="1" x14ac:dyDescent="0.3">
      <c r="A1827">
        <v>1291436</v>
      </c>
      <c r="B1827" t="s">
        <v>95</v>
      </c>
      <c r="C1827" t="s">
        <v>668</v>
      </c>
      <c r="D1827" t="s">
        <v>3918</v>
      </c>
      <c r="E1827" s="1" t="s">
        <v>3919</v>
      </c>
      <c r="F1827">
        <f>VLOOKUP(A1827,Classifications!$A:$E,5,FALSE)</f>
        <v>1</v>
      </c>
      <c r="G1827">
        <f>VLOOKUP(A1827,Classifications!$A:$F,6,FALSE)</f>
        <v>3</v>
      </c>
      <c r="H1827">
        <f>VLOOKUP(A1827,Classifications!$A:$G,7,FALSE)</f>
        <v>41</v>
      </c>
      <c r="I1827" t="s">
        <v>11</v>
      </c>
      <c r="J1827" s="2">
        <v>44117.380185185182</v>
      </c>
    </row>
    <row r="1828" spans="1:10" ht="12.75" customHeight="1" x14ac:dyDescent="0.3">
      <c r="A1828">
        <v>1291282</v>
      </c>
      <c r="B1828" t="s">
        <v>401</v>
      </c>
      <c r="C1828" t="s">
        <v>3920</v>
      </c>
      <c r="D1828" t="s">
        <v>3921</v>
      </c>
      <c r="E1828" t="s">
        <v>3922</v>
      </c>
      <c r="F1828">
        <f>VLOOKUP(A1828,Classifications!$A:$E,5,FALSE)</f>
        <v>3</v>
      </c>
      <c r="G1828">
        <f>VLOOKUP(A1828,Classifications!$A:$F,6,FALSE)</f>
        <v>1</v>
      </c>
      <c r="H1828">
        <f>VLOOKUP(A1828,Classifications!$A:$G,7,FALSE)</f>
        <v>43</v>
      </c>
      <c r="I1828" t="s">
        <v>188</v>
      </c>
      <c r="J1828" s="2">
        <v>44117.041956018518</v>
      </c>
    </row>
    <row r="1829" spans="1:10" ht="12.75" customHeight="1" x14ac:dyDescent="0.3">
      <c r="A1829">
        <v>1290086</v>
      </c>
      <c r="B1829" t="s">
        <v>350</v>
      </c>
      <c r="C1829" t="s">
        <v>351</v>
      </c>
      <c r="D1829" t="s">
        <v>3923</v>
      </c>
      <c r="E1829" s="1" t="s">
        <v>3924</v>
      </c>
      <c r="F1829">
        <f>VLOOKUP(A1829,Classifications!$A:$E,5,FALSE)</f>
        <v>3</v>
      </c>
      <c r="G1829">
        <f>VLOOKUP(A1829,Classifications!$A:$F,6,FALSE)</f>
        <v>2</v>
      </c>
      <c r="H1829">
        <f>VLOOKUP(A1829,Classifications!$A:$G,7,FALSE)</f>
        <v>43</v>
      </c>
      <c r="I1829" t="s">
        <v>24</v>
      </c>
      <c r="J1829" s="2">
        <v>44113.641574074078</v>
      </c>
    </row>
    <row r="1830" spans="1:10" ht="12.75" customHeight="1" x14ac:dyDescent="0.3">
      <c r="A1830">
        <v>1290082</v>
      </c>
      <c r="B1830" t="s">
        <v>16</v>
      </c>
      <c r="C1830" t="s">
        <v>3925</v>
      </c>
      <c r="D1830" t="s">
        <v>3926</v>
      </c>
      <c r="E1830" s="1" t="s">
        <v>3927</v>
      </c>
      <c r="F1830">
        <f>VLOOKUP(A1830,Classifications!$A:$E,5,FALSE)</f>
        <v>2</v>
      </c>
      <c r="G1830">
        <f>VLOOKUP(A1830,Classifications!$A:$F,6,FALSE)</f>
        <v>2</v>
      </c>
      <c r="H1830">
        <f>VLOOKUP(A1830,Classifications!$A:$G,7,FALSE)</f>
        <v>41</v>
      </c>
      <c r="I1830" t="s">
        <v>11</v>
      </c>
      <c r="J1830" s="2">
        <v>44113.626018518517</v>
      </c>
    </row>
    <row r="1831" spans="1:10" ht="12.75" customHeight="1" x14ac:dyDescent="0.3">
      <c r="A1831">
        <v>1290031</v>
      </c>
      <c r="B1831" t="s">
        <v>150</v>
      </c>
      <c r="C1831" t="s">
        <v>1797</v>
      </c>
      <c r="D1831" t="s">
        <v>650</v>
      </c>
      <c r="E1831" s="1" t="s">
        <v>3928</v>
      </c>
      <c r="F1831">
        <f>VLOOKUP(A1831,Classifications!$A:$E,5,FALSE)</f>
        <v>2</v>
      </c>
      <c r="G1831">
        <f>VLOOKUP(A1831,Classifications!$A:$F,6,FALSE)</f>
        <v>2</v>
      </c>
      <c r="H1831">
        <f>VLOOKUP(A1831,Classifications!$A:$G,7,FALSE)</f>
        <v>43</v>
      </c>
      <c r="I1831" t="s">
        <v>11</v>
      </c>
      <c r="J1831" s="2">
        <v>44113.526666666665</v>
      </c>
    </row>
    <row r="1832" spans="1:10" ht="12.75" customHeight="1" x14ac:dyDescent="0.3">
      <c r="A1832">
        <v>1290024</v>
      </c>
      <c r="B1832" t="s">
        <v>36</v>
      </c>
      <c r="C1832" t="s">
        <v>3403</v>
      </c>
      <c r="D1832" t="s">
        <v>3929</v>
      </c>
      <c r="E1832" s="1" t="s">
        <v>3930</v>
      </c>
      <c r="F1832">
        <f>VLOOKUP(A1832,Classifications!$A:$E,5,FALSE)</f>
        <v>1</v>
      </c>
      <c r="G1832">
        <f>VLOOKUP(A1832,Classifications!$A:$F,6,FALSE)</f>
        <v>2</v>
      </c>
      <c r="H1832">
        <f>VLOOKUP(A1832,Classifications!$A:$G,7,FALSE)</f>
        <v>43</v>
      </c>
      <c r="I1832" t="s">
        <v>24</v>
      </c>
      <c r="J1832" s="2">
        <v>44113.501099537039</v>
      </c>
    </row>
    <row r="1833" spans="1:10" ht="12.75" customHeight="1" x14ac:dyDescent="0.3">
      <c r="A1833">
        <v>1289964</v>
      </c>
      <c r="B1833" t="s">
        <v>36</v>
      </c>
      <c r="C1833" t="s">
        <v>974</v>
      </c>
      <c r="D1833" t="s">
        <v>3931</v>
      </c>
      <c r="E1833" s="1" t="s">
        <v>3932</v>
      </c>
      <c r="F1833">
        <f>VLOOKUP(A1833,Classifications!$A:$E,5,FALSE)</f>
        <v>1</v>
      </c>
      <c r="G1833">
        <f>VLOOKUP(A1833,Classifications!$A:$F,6,FALSE)</f>
        <v>2</v>
      </c>
      <c r="H1833">
        <f>VLOOKUP(A1833,Classifications!$A:$G,7,FALSE)</f>
        <v>41</v>
      </c>
      <c r="I1833" t="s">
        <v>11</v>
      </c>
      <c r="J1833" s="2">
        <v>44113.414189814815</v>
      </c>
    </row>
    <row r="1834" spans="1:10" ht="12.75" customHeight="1" x14ac:dyDescent="0.3">
      <c r="A1834">
        <v>1289526</v>
      </c>
      <c r="B1834" t="s">
        <v>277</v>
      </c>
      <c r="C1834" t="s">
        <v>3746</v>
      </c>
      <c r="D1834" t="s">
        <v>3933</v>
      </c>
      <c r="E1834" s="1" t="s">
        <v>3934</v>
      </c>
      <c r="F1834">
        <f>VLOOKUP(A1834,Classifications!$A:$E,5,FALSE)</f>
        <v>2</v>
      </c>
      <c r="G1834">
        <f>VLOOKUP(A1834,Classifications!$A:$F,6,FALSE)</f>
        <v>2</v>
      </c>
      <c r="H1834">
        <f>VLOOKUP(A1834,Classifications!$A:$G,7,FALSE)</f>
        <v>41</v>
      </c>
      <c r="I1834" t="s">
        <v>11</v>
      </c>
      <c r="J1834" s="2">
        <v>44112.687083333331</v>
      </c>
    </row>
    <row r="1835" spans="1:10" ht="12.75" customHeight="1" x14ac:dyDescent="0.3">
      <c r="A1835">
        <v>1289370</v>
      </c>
      <c r="B1835" t="s">
        <v>177</v>
      </c>
      <c r="C1835" t="s">
        <v>178</v>
      </c>
      <c r="D1835" t="s">
        <v>3935</v>
      </c>
      <c r="E1835" s="1" t="s">
        <v>3936</v>
      </c>
      <c r="F1835">
        <f>VLOOKUP(A1835,Classifications!$A:$E,5,FALSE)</f>
        <v>2</v>
      </c>
      <c r="G1835">
        <f>VLOOKUP(A1835,Classifications!$A:$F,6,FALSE)</f>
        <v>2</v>
      </c>
      <c r="H1835">
        <f>VLOOKUP(A1835,Classifications!$A:$G,7,FALSE)</f>
        <v>41</v>
      </c>
      <c r="I1835" t="s">
        <v>11</v>
      </c>
      <c r="J1835" s="2">
        <v>44112.420162037037</v>
      </c>
    </row>
    <row r="1836" spans="1:10" ht="12.75" customHeight="1" x14ac:dyDescent="0.3">
      <c r="A1836">
        <v>1288770</v>
      </c>
      <c r="B1836" t="s">
        <v>431</v>
      </c>
      <c r="C1836" t="s">
        <v>480</v>
      </c>
      <c r="D1836" t="s">
        <v>3937</v>
      </c>
      <c r="E1836" s="1" t="s">
        <v>3938</v>
      </c>
      <c r="F1836">
        <f>VLOOKUP(A1836,Classifications!$A:$E,5,FALSE)</f>
        <v>2</v>
      </c>
      <c r="G1836">
        <f>VLOOKUP(A1836,Classifications!$A:$F,6,FALSE)</f>
        <v>2</v>
      </c>
      <c r="H1836">
        <f>VLOOKUP(A1836,Classifications!$A:$G,7,FALSE)</f>
        <v>41</v>
      </c>
      <c r="I1836" t="s">
        <v>11</v>
      </c>
      <c r="J1836" s="2">
        <v>44111.436574074076</v>
      </c>
    </row>
    <row r="1837" spans="1:10" ht="12.75" customHeight="1" x14ac:dyDescent="0.3">
      <c r="A1837">
        <v>1288297</v>
      </c>
      <c r="B1837" t="s">
        <v>477</v>
      </c>
      <c r="C1837" t="s">
        <v>512</v>
      </c>
      <c r="D1837" t="s">
        <v>3939</v>
      </c>
      <c r="E1837" s="1" t="s">
        <v>3940</v>
      </c>
      <c r="F1837">
        <f>VLOOKUP(A1837,Classifications!$A:$E,5,FALSE)</f>
        <v>3</v>
      </c>
      <c r="G1837">
        <f>VLOOKUP(A1837,Classifications!$A:$F,6,FALSE)</f>
        <v>3</v>
      </c>
      <c r="H1837">
        <f>VLOOKUP(A1837,Classifications!$A:$G,7,FALSE)</f>
        <v>41</v>
      </c>
      <c r="I1837" t="s">
        <v>11</v>
      </c>
      <c r="J1837" s="2">
        <v>44110.642175925925</v>
      </c>
    </row>
    <row r="1838" spans="1:10" ht="12.75" customHeight="1" x14ac:dyDescent="0.3">
      <c r="A1838">
        <v>1288167</v>
      </c>
      <c r="B1838" t="s">
        <v>431</v>
      </c>
      <c r="C1838" t="s">
        <v>432</v>
      </c>
      <c r="D1838" t="s">
        <v>3941</v>
      </c>
      <c r="E1838" s="1" t="s">
        <v>3942</v>
      </c>
      <c r="F1838">
        <f>VLOOKUP(A1838,Classifications!$A:$E,5,FALSE)</f>
        <v>3</v>
      </c>
      <c r="G1838">
        <f>VLOOKUP(A1838,Classifications!$A:$F,6,FALSE)</f>
        <v>1</v>
      </c>
      <c r="H1838">
        <f>VLOOKUP(A1838,Classifications!$A:$G,7,FALSE)</f>
        <v>43</v>
      </c>
      <c r="I1838" t="s">
        <v>11</v>
      </c>
      <c r="J1838" s="2">
        <v>44110.480578703704</v>
      </c>
    </row>
    <row r="1839" spans="1:10" ht="12.75" customHeight="1" x14ac:dyDescent="0.3">
      <c r="A1839">
        <v>1288158</v>
      </c>
      <c r="B1839" t="s">
        <v>20</v>
      </c>
      <c r="C1839" t="s">
        <v>269</v>
      </c>
      <c r="D1839" t="s">
        <v>3943</v>
      </c>
      <c r="E1839" s="1" t="s">
        <v>3944</v>
      </c>
      <c r="F1839">
        <f>VLOOKUP(A1839,Classifications!$A:$E,5,FALSE)</f>
        <v>2</v>
      </c>
      <c r="G1839">
        <f>VLOOKUP(A1839,Classifications!$A:$F,6,FALSE)</f>
        <v>3</v>
      </c>
      <c r="H1839">
        <f>VLOOKUP(A1839,Classifications!$A:$G,7,FALSE)</f>
        <v>43</v>
      </c>
      <c r="I1839" t="s">
        <v>24</v>
      </c>
      <c r="J1839" s="2">
        <v>44110.470706018517</v>
      </c>
    </row>
    <row r="1840" spans="1:10" ht="12.75" customHeight="1" x14ac:dyDescent="0.3">
      <c r="A1840">
        <v>1288119</v>
      </c>
      <c r="B1840" t="s">
        <v>177</v>
      </c>
      <c r="C1840" t="s">
        <v>3945</v>
      </c>
      <c r="D1840" t="s">
        <v>3946</v>
      </c>
      <c r="E1840" s="1" t="s">
        <v>3947</v>
      </c>
      <c r="F1840">
        <f>VLOOKUP(A1840,Classifications!$A:$E,5,FALSE)</f>
        <v>1</v>
      </c>
      <c r="G1840">
        <f>VLOOKUP(A1840,Classifications!$A:$F,6,FALSE)</f>
        <v>1</v>
      </c>
      <c r="H1840">
        <f>VLOOKUP(A1840,Classifications!$A:$G,7,FALSE)</f>
        <v>41</v>
      </c>
      <c r="I1840" t="s">
        <v>24</v>
      </c>
      <c r="J1840" s="2">
        <v>44110.425925925927</v>
      </c>
    </row>
    <row r="1841" spans="1:10" ht="12.75" customHeight="1" x14ac:dyDescent="0.3">
      <c r="A1841">
        <v>1288061</v>
      </c>
      <c r="B1841" t="s">
        <v>277</v>
      </c>
      <c r="D1841" t="s">
        <v>3948</v>
      </c>
      <c r="E1841" s="1" t="s">
        <v>3949</v>
      </c>
      <c r="F1841">
        <f>VLOOKUP(A1841,Classifications!$A:$E,5,FALSE)</f>
        <v>2</v>
      </c>
      <c r="G1841">
        <f>VLOOKUP(A1841,Classifications!$A:$F,6,FALSE)</f>
        <v>2</v>
      </c>
      <c r="H1841">
        <f>VLOOKUP(A1841,Classifications!$A:$G,7,FALSE)</f>
        <v>41</v>
      </c>
      <c r="I1841" t="s">
        <v>11</v>
      </c>
      <c r="J1841" s="2">
        <v>44110.386643518519</v>
      </c>
    </row>
    <row r="1842" spans="1:10" ht="12.75" customHeight="1" x14ac:dyDescent="0.3">
      <c r="A1842">
        <v>1288028</v>
      </c>
      <c r="B1842" t="s">
        <v>3950</v>
      </c>
      <c r="C1842" t="s">
        <v>3951</v>
      </c>
      <c r="D1842" t="s">
        <v>3952</v>
      </c>
      <c r="E1842" s="1" t="s">
        <v>3953</v>
      </c>
      <c r="F1842">
        <f>VLOOKUP(A1842,Classifications!$A:$E,5,FALSE)</f>
        <v>1</v>
      </c>
      <c r="G1842">
        <f>VLOOKUP(A1842,Classifications!$A:$F,6,FALSE)</f>
        <v>2</v>
      </c>
      <c r="H1842">
        <f>VLOOKUP(A1842,Classifications!$A:$G,7,FALSE)</f>
        <v>41</v>
      </c>
      <c r="I1842" t="s">
        <v>11</v>
      </c>
      <c r="J1842" s="2">
        <v>44110.34034722222</v>
      </c>
    </row>
    <row r="1843" spans="1:10" ht="12.75" customHeight="1" x14ac:dyDescent="0.3">
      <c r="A1843">
        <v>1287670</v>
      </c>
      <c r="B1843" t="s">
        <v>350</v>
      </c>
      <c r="C1843" t="s">
        <v>351</v>
      </c>
      <c r="D1843" t="s">
        <v>3954</v>
      </c>
      <c r="E1843" s="1" t="s">
        <v>3955</v>
      </c>
      <c r="F1843">
        <f>VLOOKUP(A1843,Classifications!$A:$E,5,FALSE)</f>
        <v>3</v>
      </c>
      <c r="G1843">
        <f>VLOOKUP(A1843,Classifications!$A:$F,6,FALSE)</f>
        <v>2</v>
      </c>
      <c r="H1843">
        <f>VLOOKUP(A1843,Classifications!$A:$G,7,FALSE)</f>
        <v>41</v>
      </c>
      <c r="I1843" t="s">
        <v>24</v>
      </c>
      <c r="J1843" s="2">
        <v>44109.66605324074</v>
      </c>
    </row>
    <row r="1844" spans="1:10" ht="12.75" customHeight="1" x14ac:dyDescent="0.3">
      <c r="A1844">
        <v>1287650</v>
      </c>
      <c r="B1844" t="s">
        <v>36</v>
      </c>
      <c r="C1844" t="s">
        <v>263</v>
      </c>
      <c r="D1844" t="s">
        <v>3956</v>
      </c>
      <c r="E1844" s="1" t="s">
        <v>3957</v>
      </c>
      <c r="F1844">
        <f>VLOOKUP(A1844,Classifications!$A:$E,5,FALSE)</f>
        <v>2</v>
      </c>
      <c r="G1844">
        <f>VLOOKUP(A1844,Classifications!$A:$F,6,FALSE)</f>
        <v>2</v>
      </c>
      <c r="H1844">
        <f>VLOOKUP(A1844,Classifications!$A:$G,7,FALSE)</f>
        <v>41</v>
      </c>
      <c r="I1844" t="s">
        <v>24</v>
      </c>
      <c r="J1844" s="2">
        <v>44109.614363425928</v>
      </c>
    </row>
    <row r="1845" spans="1:10" ht="12.75" customHeight="1" x14ac:dyDescent="0.3">
      <c r="A1845">
        <v>1287593</v>
      </c>
      <c r="B1845" t="s">
        <v>982</v>
      </c>
      <c r="C1845" t="s">
        <v>1892</v>
      </c>
      <c r="D1845" t="s">
        <v>3958</v>
      </c>
      <c r="E1845" s="1" t="s">
        <v>3959</v>
      </c>
      <c r="F1845">
        <f>VLOOKUP(A1845,Classifications!$A:$E,5,FALSE)</f>
        <v>1</v>
      </c>
      <c r="G1845">
        <f>VLOOKUP(A1845,Classifications!$A:$F,6,FALSE)</f>
        <v>1</v>
      </c>
      <c r="H1845">
        <f>VLOOKUP(A1845,Classifications!$A:$G,7,FALSE)</f>
        <v>41</v>
      </c>
      <c r="I1845" t="s">
        <v>11</v>
      </c>
      <c r="J1845" s="2">
        <v>44109.4925</v>
      </c>
    </row>
    <row r="1846" spans="1:10" ht="12.75" customHeight="1" x14ac:dyDescent="0.3">
      <c r="A1846">
        <v>1287554</v>
      </c>
      <c r="B1846" t="s">
        <v>53</v>
      </c>
      <c r="C1846" t="s">
        <v>609</v>
      </c>
      <c r="D1846" t="s">
        <v>3960</v>
      </c>
      <c r="E1846" s="1" t="s">
        <v>3961</v>
      </c>
      <c r="F1846">
        <f>VLOOKUP(A1846,Classifications!$A:$E,5,FALSE)</f>
        <v>1</v>
      </c>
      <c r="G1846">
        <f>VLOOKUP(A1846,Classifications!$A:$F,6,FALSE)</f>
        <v>2</v>
      </c>
      <c r="H1846">
        <f>VLOOKUP(A1846,Classifications!$A:$G,7,FALSE)</f>
        <v>43</v>
      </c>
      <c r="I1846" t="s">
        <v>11</v>
      </c>
      <c r="J1846" s="2">
        <v>44109.455949074072</v>
      </c>
    </row>
    <row r="1847" spans="1:10" ht="12.75" customHeight="1" x14ac:dyDescent="0.3">
      <c r="A1847">
        <v>1287542</v>
      </c>
      <c r="B1847" t="s">
        <v>53</v>
      </c>
      <c r="C1847" t="s">
        <v>60</v>
      </c>
      <c r="D1847" t="s">
        <v>3962</v>
      </c>
      <c r="E1847" s="1" t="s">
        <v>3961</v>
      </c>
      <c r="F1847">
        <f>VLOOKUP(A1847,Classifications!$A:$E,5,FALSE)</f>
        <v>1</v>
      </c>
      <c r="G1847">
        <f>VLOOKUP(A1847,Classifications!$A:$F,6,FALSE)</f>
        <v>2</v>
      </c>
      <c r="H1847">
        <f>VLOOKUP(A1847,Classifications!$A:$G,7,FALSE)</f>
        <v>43</v>
      </c>
      <c r="I1847" t="s">
        <v>11</v>
      </c>
      <c r="J1847" s="2">
        <v>44109.444884259261</v>
      </c>
    </row>
    <row r="1848" spans="1:10" ht="12.75" customHeight="1" x14ac:dyDescent="0.3">
      <c r="A1848">
        <v>1287408</v>
      </c>
      <c r="B1848" t="s">
        <v>36</v>
      </c>
      <c r="C1848" t="s">
        <v>3335</v>
      </c>
      <c r="D1848" t="s">
        <v>3963</v>
      </c>
      <c r="E1848" s="1" t="s">
        <v>3964</v>
      </c>
      <c r="F1848">
        <f>VLOOKUP(A1848,Classifications!$A:$E,5,FALSE)</f>
        <v>3</v>
      </c>
      <c r="G1848">
        <f>VLOOKUP(A1848,Classifications!$A:$F,6,FALSE)</f>
        <v>2</v>
      </c>
      <c r="H1848">
        <f>VLOOKUP(A1848,Classifications!$A:$G,7,FALSE)</f>
        <v>43</v>
      </c>
      <c r="I1848" t="s">
        <v>24</v>
      </c>
      <c r="J1848" s="2">
        <v>44109.337384259263</v>
      </c>
    </row>
    <row r="1849" spans="1:10" ht="12.75" customHeight="1" x14ac:dyDescent="0.3">
      <c r="A1849">
        <v>1287383</v>
      </c>
      <c r="B1849" t="s">
        <v>139</v>
      </c>
      <c r="C1849" t="s">
        <v>3965</v>
      </c>
      <c r="D1849" t="s">
        <v>3966</v>
      </c>
      <c r="E1849" s="1" t="s">
        <v>3967</v>
      </c>
      <c r="F1849">
        <f>VLOOKUP(A1849,Classifications!$A:$E,5,FALSE)</f>
        <v>3</v>
      </c>
      <c r="G1849">
        <f>VLOOKUP(A1849,Classifications!$A:$F,6,FALSE)</f>
        <v>2</v>
      </c>
      <c r="H1849">
        <f>VLOOKUP(A1849,Classifications!$A:$G,7,FALSE)</f>
        <v>41</v>
      </c>
      <c r="I1849" t="s">
        <v>11</v>
      </c>
      <c r="J1849" s="2">
        <v>44109.301736111112</v>
      </c>
    </row>
    <row r="1850" spans="1:10" ht="12.75" customHeight="1" x14ac:dyDescent="0.3">
      <c r="A1850">
        <v>1286262</v>
      </c>
      <c r="B1850" t="s">
        <v>36</v>
      </c>
      <c r="C1850" t="s">
        <v>589</v>
      </c>
      <c r="D1850" t="s">
        <v>3968</v>
      </c>
      <c r="E1850" s="1" t="s">
        <v>3969</v>
      </c>
      <c r="F1850">
        <f>VLOOKUP(A1850,Classifications!$A:$E,5,FALSE)</f>
        <v>2</v>
      </c>
      <c r="G1850">
        <f>VLOOKUP(A1850,Classifications!$A:$F,6,FALSE)</f>
        <v>2</v>
      </c>
      <c r="H1850">
        <f>VLOOKUP(A1850,Classifications!$A:$G,7,FALSE)</f>
        <v>43</v>
      </c>
      <c r="I1850" t="s">
        <v>24</v>
      </c>
      <c r="J1850" s="2">
        <v>44106.646284722221</v>
      </c>
    </row>
    <row r="1851" spans="1:10" ht="12.75" customHeight="1" x14ac:dyDescent="0.3">
      <c r="A1851">
        <v>1286211</v>
      </c>
      <c r="B1851" t="s">
        <v>545</v>
      </c>
      <c r="C1851" t="s">
        <v>3704</v>
      </c>
      <c r="D1851" t="s">
        <v>3970</v>
      </c>
      <c r="E1851" s="1" t="s">
        <v>3971</v>
      </c>
      <c r="F1851">
        <f>VLOOKUP(A1851,Classifications!$A:$E,5,FALSE)</f>
        <v>2</v>
      </c>
      <c r="G1851">
        <f>VLOOKUP(A1851,Classifications!$A:$F,6,FALSE)</f>
        <v>2</v>
      </c>
      <c r="H1851">
        <f>VLOOKUP(A1851,Classifications!$A:$G,7,FALSE)</f>
        <v>41</v>
      </c>
      <c r="I1851" t="s">
        <v>24</v>
      </c>
      <c r="J1851" s="2">
        <v>44106.529780092591</v>
      </c>
    </row>
    <row r="1852" spans="1:10" ht="12.75" customHeight="1" x14ac:dyDescent="0.3">
      <c r="A1852">
        <v>1285632</v>
      </c>
      <c r="B1852" t="s">
        <v>36</v>
      </c>
      <c r="C1852" t="s">
        <v>700</v>
      </c>
      <c r="D1852" t="s">
        <v>3972</v>
      </c>
      <c r="E1852" s="1" t="s">
        <v>3973</v>
      </c>
      <c r="F1852">
        <f>VLOOKUP(A1852,Classifications!$A:$E,5,FALSE)</f>
        <v>3</v>
      </c>
      <c r="G1852">
        <f>VLOOKUP(A1852,Classifications!$A:$F,6,FALSE)</f>
        <v>2</v>
      </c>
      <c r="H1852">
        <f>VLOOKUP(A1852,Classifications!$A:$G,7,FALSE)</f>
        <v>41</v>
      </c>
      <c r="I1852" t="s">
        <v>24</v>
      </c>
      <c r="J1852" s="2">
        <v>44105.539525462962</v>
      </c>
    </row>
    <row r="1853" spans="1:10" ht="12.75" customHeight="1" x14ac:dyDescent="0.3">
      <c r="A1853">
        <v>1285607</v>
      </c>
      <c r="B1853" t="s">
        <v>95</v>
      </c>
      <c r="C1853" t="s">
        <v>3974</v>
      </c>
      <c r="D1853" t="s">
        <v>3975</v>
      </c>
      <c r="E1853" s="1" t="s">
        <v>3976</v>
      </c>
      <c r="F1853">
        <f>VLOOKUP(A1853,Classifications!$A:$E,5,FALSE)</f>
        <v>1</v>
      </c>
      <c r="G1853">
        <f>VLOOKUP(A1853,Classifications!$A:$F,6,FALSE)</f>
        <v>2</v>
      </c>
      <c r="H1853">
        <f>VLOOKUP(A1853,Classifications!$A:$G,7,FALSE)</f>
        <v>41</v>
      </c>
      <c r="I1853" t="s">
        <v>11</v>
      </c>
      <c r="J1853" s="2">
        <v>44105.497303240743</v>
      </c>
    </row>
    <row r="1854" spans="1:10" ht="12.75" customHeight="1" x14ac:dyDescent="0.3">
      <c r="A1854">
        <v>1285576</v>
      </c>
      <c r="B1854" t="s">
        <v>2442</v>
      </c>
      <c r="C1854" t="s">
        <v>3977</v>
      </c>
      <c r="D1854" t="s">
        <v>3978</v>
      </c>
      <c r="E1854" s="1" t="s">
        <v>3979</v>
      </c>
      <c r="F1854">
        <f>VLOOKUP(A1854,Classifications!$A:$E,5,FALSE)</f>
        <v>1</v>
      </c>
      <c r="G1854">
        <f>VLOOKUP(A1854,Classifications!$A:$F,6,FALSE)</f>
        <v>2</v>
      </c>
      <c r="H1854">
        <f>VLOOKUP(A1854,Classifications!$A:$G,7,FALSE)</f>
        <v>43</v>
      </c>
      <c r="I1854" t="s">
        <v>11</v>
      </c>
      <c r="J1854" s="2">
        <v>44105.457662037035</v>
      </c>
    </row>
    <row r="1855" spans="1:10" ht="12.75" customHeight="1" x14ac:dyDescent="0.3">
      <c r="A1855">
        <v>1285487</v>
      </c>
      <c r="B1855" t="s">
        <v>53</v>
      </c>
      <c r="C1855" t="s">
        <v>54</v>
      </c>
      <c r="D1855" t="s">
        <v>3980</v>
      </c>
      <c r="E1855" s="1" t="s">
        <v>3981</v>
      </c>
      <c r="F1855">
        <f>VLOOKUP(A1855,Classifications!$A:$E,5,FALSE)</f>
        <v>2</v>
      </c>
      <c r="G1855">
        <f>VLOOKUP(A1855,Classifications!$A:$F,6,FALSE)</f>
        <v>2</v>
      </c>
      <c r="H1855">
        <f>VLOOKUP(A1855,Classifications!$A:$G,7,FALSE)</f>
        <v>41</v>
      </c>
      <c r="I1855" t="s">
        <v>11</v>
      </c>
      <c r="J1855" s="2">
        <v>44105.408530092594</v>
      </c>
    </row>
    <row r="1856" spans="1:10" ht="12.75" customHeight="1" x14ac:dyDescent="0.3">
      <c r="A1856">
        <v>1285471</v>
      </c>
      <c r="B1856" t="s">
        <v>45</v>
      </c>
      <c r="C1856" t="s">
        <v>1743</v>
      </c>
      <c r="D1856" t="s">
        <v>3982</v>
      </c>
      <c r="E1856" s="1" t="s">
        <v>3983</v>
      </c>
      <c r="F1856">
        <f>VLOOKUP(A1856,Classifications!$A:$E,5,FALSE)</f>
        <v>2</v>
      </c>
      <c r="G1856">
        <f>VLOOKUP(A1856,Classifications!$A:$F,6,FALSE)</f>
        <v>2</v>
      </c>
      <c r="H1856">
        <f>VLOOKUP(A1856,Classifications!$A:$G,7,FALSE)</f>
        <v>41</v>
      </c>
      <c r="I1856" t="s">
        <v>11</v>
      </c>
      <c r="J1856" s="2">
        <v>44105.394791666666</v>
      </c>
    </row>
    <row r="1857" spans="1:10" ht="12.75" customHeight="1" x14ac:dyDescent="0.3">
      <c r="A1857">
        <v>1285439</v>
      </c>
      <c r="B1857" t="s">
        <v>36</v>
      </c>
      <c r="C1857" t="s">
        <v>3335</v>
      </c>
      <c r="D1857" t="s">
        <v>3984</v>
      </c>
      <c r="E1857" s="1" t="s">
        <v>3985</v>
      </c>
      <c r="F1857">
        <f>VLOOKUP(A1857,Classifications!$A:$E,5,FALSE)</f>
        <v>2</v>
      </c>
      <c r="G1857">
        <f>VLOOKUP(A1857,Classifications!$A:$F,6,FALSE)</f>
        <v>3</v>
      </c>
      <c r="H1857">
        <f>VLOOKUP(A1857,Classifications!$A:$G,7,FALSE)</f>
        <v>43</v>
      </c>
      <c r="I1857" t="s">
        <v>24</v>
      </c>
      <c r="J1857" s="2">
        <v>44105.35359953704</v>
      </c>
    </row>
    <row r="1858" spans="1:10" ht="12.75" customHeight="1" x14ac:dyDescent="0.3">
      <c r="A1858">
        <v>1285382</v>
      </c>
      <c r="B1858" t="s">
        <v>36</v>
      </c>
      <c r="C1858" t="s">
        <v>589</v>
      </c>
      <c r="D1858" t="s">
        <v>3986</v>
      </c>
      <c r="E1858" s="1" t="s">
        <v>3987</v>
      </c>
      <c r="F1858">
        <f>VLOOKUP(A1858,Classifications!$A:$E,5,FALSE)</f>
        <v>3</v>
      </c>
      <c r="G1858">
        <f>VLOOKUP(A1858,Classifications!$A:$F,6,FALSE)</f>
        <v>2</v>
      </c>
      <c r="H1858">
        <f>VLOOKUP(A1858,Classifications!$A:$G,7,FALSE)</f>
        <v>41</v>
      </c>
      <c r="I1858" t="s">
        <v>24</v>
      </c>
      <c r="J1858" s="2">
        <v>44105.311018518521</v>
      </c>
    </row>
    <row r="1859" spans="1:10" ht="12.75" customHeight="1" x14ac:dyDescent="0.3">
      <c r="A1859">
        <v>1285031</v>
      </c>
      <c r="B1859" t="s">
        <v>36</v>
      </c>
      <c r="C1859" t="s">
        <v>343</v>
      </c>
      <c r="D1859" t="s">
        <v>3988</v>
      </c>
      <c r="E1859" s="1" t="s">
        <v>3989</v>
      </c>
      <c r="F1859">
        <f>VLOOKUP(A1859,Classifications!$A:$E,5,FALSE)</f>
        <v>3</v>
      </c>
      <c r="G1859">
        <f>VLOOKUP(A1859,Classifications!$A:$F,6,FALSE)</f>
        <v>2</v>
      </c>
      <c r="H1859">
        <f>VLOOKUP(A1859,Classifications!$A:$G,7,FALSE)</f>
        <v>43</v>
      </c>
      <c r="I1859" t="s">
        <v>24</v>
      </c>
      <c r="J1859" s="2">
        <v>44104.66369212963</v>
      </c>
    </row>
    <row r="1860" spans="1:10" ht="12.75" customHeight="1" x14ac:dyDescent="0.3">
      <c r="A1860">
        <v>1284966</v>
      </c>
      <c r="B1860" t="s">
        <v>70</v>
      </c>
      <c r="C1860" t="s">
        <v>3815</v>
      </c>
      <c r="D1860" t="s">
        <v>3990</v>
      </c>
      <c r="E1860" s="1" t="s">
        <v>3991</v>
      </c>
      <c r="F1860">
        <f>VLOOKUP(A1860,Classifications!$A:$E,5,FALSE)</f>
        <v>1</v>
      </c>
      <c r="G1860">
        <f>VLOOKUP(A1860,Classifications!$A:$F,6,FALSE)</f>
        <v>2</v>
      </c>
      <c r="H1860">
        <f>VLOOKUP(A1860,Classifications!$A:$G,7,FALSE)</f>
        <v>41</v>
      </c>
      <c r="I1860" t="s">
        <v>11</v>
      </c>
      <c r="J1860" s="2">
        <v>44104.526238425926</v>
      </c>
    </row>
    <row r="1861" spans="1:10" ht="12.75" customHeight="1" x14ac:dyDescent="0.3">
      <c r="A1861">
        <v>1284886</v>
      </c>
      <c r="B1861" t="s">
        <v>2134</v>
      </c>
      <c r="C1861" t="s">
        <v>2135</v>
      </c>
      <c r="D1861" t="s">
        <v>3992</v>
      </c>
      <c r="E1861" s="1" t="s">
        <v>3993</v>
      </c>
      <c r="F1861">
        <f>VLOOKUP(A1861,Classifications!$A:$E,5,FALSE)</f>
        <v>1</v>
      </c>
      <c r="G1861">
        <f>VLOOKUP(A1861,Classifications!$A:$F,6,FALSE)</f>
        <v>1</v>
      </c>
      <c r="H1861">
        <f>VLOOKUP(A1861,Classifications!$A:$G,7,FALSE)</f>
        <v>36</v>
      </c>
      <c r="I1861" t="s">
        <v>11</v>
      </c>
      <c r="J1861" s="2">
        <v>44104.427916666667</v>
      </c>
    </row>
    <row r="1862" spans="1:10" ht="12.75" customHeight="1" x14ac:dyDescent="0.3">
      <c r="A1862">
        <v>1284825</v>
      </c>
      <c r="B1862" t="s">
        <v>184</v>
      </c>
      <c r="C1862" t="s">
        <v>1698</v>
      </c>
      <c r="D1862" t="s">
        <v>3994</v>
      </c>
      <c r="E1862" s="1" t="s">
        <v>3995</v>
      </c>
      <c r="F1862">
        <f>VLOOKUP(A1862,Classifications!$A:$E,5,FALSE)</f>
        <v>2</v>
      </c>
      <c r="G1862">
        <f>VLOOKUP(A1862,Classifications!$A:$F,6,FALSE)</f>
        <v>2</v>
      </c>
      <c r="H1862">
        <f>VLOOKUP(A1862,Classifications!$A:$G,7,FALSE)</f>
        <v>41</v>
      </c>
      <c r="I1862" t="s">
        <v>11</v>
      </c>
      <c r="J1862" s="2">
        <v>44104.387141203704</v>
      </c>
    </row>
    <row r="1863" spans="1:10" ht="12.75" customHeight="1" x14ac:dyDescent="0.3">
      <c r="A1863">
        <v>1284815</v>
      </c>
      <c r="B1863" t="s">
        <v>318</v>
      </c>
      <c r="C1863" t="s">
        <v>319</v>
      </c>
      <c r="D1863" t="s">
        <v>3996</v>
      </c>
      <c r="E1863" s="1" t="s">
        <v>3997</v>
      </c>
      <c r="F1863">
        <f>VLOOKUP(A1863,Classifications!$A:$E,5,FALSE)</f>
        <v>1</v>
      </c>
      <c r="G1863">
        <f>VLOOKUP(A1863,Classifications!$A:$F,6,FALSE)</f>
        <v>2</v>
      </c>
      <c r="H1863">
        <f>VLOOKUP(A1863,Classifications!$A:$G,7,FALSE)</f>
        <v>41</v>
      </c>
      <c r="I1863" t="s">
        <v>11</v>
      </c>
      <c r="J1863" s="2">
        <v>44104.371030092596</v>
      </c>
    </row>
    <row r="1864" spans="1:10" ht="12.75" customHeight="1" x14ac:dyDescent="0.3">
      <c r="A1864">
        <v>1284780</v>
      </c>
      <c r="B1864" t="s">
        <v>3998</v>
      </c>
      <c r="C1864" t="s">
        <v>3999</v>
      </c>
      <c r="D1864" t="s">
        <v>4000</v>
      </c>
      <c r="E1864" s="1" t="s">
        <v>4001</v>
      </c>
      <c r="F1864">
        <f>VLOOKUP(A1864,Classifications!$A:$E,5,FALSE)</f>
        <v>3</v>
      </c>
      <c r="G1864">
        <f>VLOOKUP(A1864,Classifications!$A:$F,6,FALSE)</f>
        <v>2</v>
      </c>
      <c r="H1864">
        <f>VLOOKUP(A1864,Classifications!$A:$G,7,FALSE)</f>
        <v>41</v>
      </c>
      <c r="I1864" t="s">
        <v>11</v>
      </c>
      <c r="J1864" s="2">
        <v>44104.344097222223</v>
      </c>
    </row>
    <row r="1865" spans="1:10" ht="12.75" customHeight="1" x14ac:dyDescent="0.3">
      <c r="A1865">
        <v>1284757</v>
      </c>
      <c r="B1865" t="s">
        <v>515</v>
      </c>
      <c r="C1865" t="s">
        <v>3533</v>
      </c>
      <c r="D1865" t="s">
        <v>4002</v>
      </c>
      <c r="E1865" s="1" t="s">
        <v>4003</v>
      </c>
      <c r="F1865">
        <f>VLOOKUP(A1865,Classifications!$A:$E,5,FALSE)</f>
        <v>2</v>
      </c>
      <c r="G1865">
        <f>VLOOKUP(A1865,Classifications!$A:$F,6,FALSE)</f>
        <v>2</v>
      </c>
      <c r="H1865">
        <f>VLOOKUP(A1865,Classifications!$A:$G,7,FALSE)</f>
        <v>41</v>
      </c>
      <c r="I1865" t="s">
        <v>11</v>
      </c>
      <c r="J1865" s="2">
        <v>44104.32372685185</v>
      </c>
    </row>
    <row r="1866" spans="1:10" ht="12.75" customHeight="1" x14ac:dyDescent="0.3">
      <c r="A1866">
        <v>1284740</v>
      </c>
      <c r="B1866" t="s">
        <v>16</v>
      </c>
      <c r="C1866" t="s">
        <v>4004</v>
      </c>
      <c r="D1866" t="s">
        <v>4005</v>
      </c>
      <c r="E1866" s="1" t="s">
        <v>4006</v>
      </c>
      <c r="F1866">
        <f>VLOOKUP(A1866,Classifications!$A:$E,5,FALSE)</f>
        <v>2</v>
      </c>
      <c r="G1866">
        <f>VLOOKUP(A1866,Classifications!$A:$F,6,FALSE)</f>
        <v>3</v>
      </c>
      <c r="H1866">
        <f>VLOOKUP(A1866,Classifications!$A:$G,7,FALSE)</f>
        <v>41</v>
      </c>
      <c r="I1866" t="s">
        <v>11</v>
      </c>
      <c r="J1866" s="2">
        <v>44104.264606481483</v>
      </c>
    </row>
    <row r="1867" spans="1:10" ht="12.75" customHeight="1" x14ac:dyDescent="0.3">
      <c r="A1867">
        <v>1284360</v>
      </c>
      <c r="B1867" t="s">
        <v>70</v>
      </c>
      <c r="C1867" t="s">
        <v>3815</v>
      </c>
      <c r="D1867" t="s">
        <v>4007</v>
      </c>
      <c r="E1867" s="1" t="s">
        <v>4008</v>
      </c>
      <c r="F1867">
        <f>VLOOKUP(A1867,Classifications!$A:$E,5,FALSE)</f>
        <v>2</v>
      </c>
      <c r="G1867">
        <f>VLOOKUP(A1867,Classifications!$A:$F,6,FALSE)</f>
        <v>1</v>
      </c>
      <c r="H1867">
        <f>VLOOKUP(A1867,Classifications!$A:$G,7,FALSE)</f>
        <v>43</v>
      </c>
      <c r="I1867" t="s">
        <v>11</v>
      </c>
      <c r="J1867" s="2">
        <v>44103.620567129627</v>
      </c>
    </row>
    <row r="1868" spans="1:10" ht="12.75" customHeight="1" x14ac:dyDescent="0.3">
      <c r="A1868">
        <v>1284185</v>
      </c>
      <c r="B1868" t="s">
        <v>36</v>
      </c>
      <c r="C1868" t="s">
        <v>589</v>
      </c>
      <c r="D1868" t="s">
        <v>4009</v>
      </c>
      <c r="E1868" s="1" t="s">
        <v>4010</v>
      </c>
      <c r="F1868">
        <f>VLOOKUP(A1868,Classifications!$A:$E,5,FALSE)</f>
        <v>3</v>
      </c>
      <c r="G1868">
        <f>VLOOKUP(A1868,Classifications!$A:$F,6,FALSE)</f>
        <v>2</v>
      </c>
      <c r="H1868">
        <f>VLOOKUP(A1868,Classifications!$A:$G,7,FALSE)</f>
        <v>41</v>
      </c>
      <c r="I1868" t="s">
        <v>24</v>
      </c>
      <c r="J1868" s="2">
        <v>44103.405150462961</v>
      </c>
    </row>
    <row r="1869" spans="1:10" ht="12.75" customHeight="1" x14ac:dyDescent="0.3">
      <c r="A1869">
        <v>1283788</v>
      </c>
      <c r="B1869" t="s">
        <v>226</v>
      </c>
      <c r="C1869" t="s">
        <v>1008</v>
      </c>
      <c r="D1869" t="s">
        <v>4011</v>
      </c>
      <c r="E1869" s="1" t="s">
        <v>4012</v>
      </c>
      <c r="F1869">
        <f>VLOOKUP(A1869,Classifications!$A:$E,5,FALSE)</f>
        <v>1</v>
      </c>
      <c r="G1869">
        <f>VLOOKUP(A1869,Classifications!$A:$F,6,FALSE)</f>
        <v>2</v>
      </c>
      <c r="H1869">
        <f>VLOOKUP(A1869,Classifications!$A:$G,7,FALSE)</f>
        <v>41</v>
      </c>
      <c r="I1869" t="s">
        <v>11</v>
      </c>
      <c r="J1869" s="2">
        <v>44102.688518518517</v>
      </c>
    </row>
    <row r="1870" spans="1:10" ht="12.75" customHeight="1" x14ac:dyDescent="0.3">
      <c r="A1870">
        <v>1283777</v>
      </c>
      <c r="B1870" t="s">
        <v>214</v>
      </c>
      <c r="C1870" t="s">
        <v>1718</v>
      </c>
      <c r="D1870" t="s">
        <v>4013</v>
      </c>
      <c r="E1870" s="1" t="s">
        <v>4014</v>
      </c>
      <c r="F1870">
        <f>VLOOKUP(A1870,Classifications!$A:$E,5,FALSE)</f>
        <v>1</v>
      </c>
      <c r="G1870">
        <f>VLOOKUP(A1870,Classifications!$A:$F,6,FALSE)</f>
        <v>2</v>
      </c>
      <c r="H1870">
        <f>VLOOKUP(A1870,Classifications!$A:$G,7,FALSE)</f>
        <v>41</v>
      </c>
      <c r="I1870" t="s">
        <v>11</v>
      </c>
      <c r="J1870" s="2">
        <v>44102.673356481479</v>
      </c>
    </row>
    <row r="1871" spans="1:10" ht="12.75" customHeight="1" x14ac:dyDescent="0.3">
      <c r="A1871">
        <v>1283767</v>
      </c>
      <c r="B1871" t="s">
        <v>214</v>
      </c>
      <c r="C1871" t="s">
        <v>1718</v>
      </c>
      <c r="D1871" t="s">
        <v>4015</v>
      </c>
      <c r="E1871" s="1" t="s">
        <v>4016</v>
      </c>
      <c r="F1871">
        <f>VLOOKUP(A1871,Classifications!$A:$E,5,FALSE)</f>
        <v>1</v>
      </c>
      <c r="G1871">
        <f>VLOOKUP(A1871,Classifications!$A:$F,6,FALSE)</f>
        <v>2</v>
      </c>
      <c r="H1871">
        <f>VLOOKUP(A1871,Classifications!$A:$G,7,FALSE)</f>
        <v>41</v>
      </c>
      <c r="I1871" t="s">
        <v>11</v>
      </c>
      <c r="J1871" s="2">
        <v>44102.668043981481</v>
      </c>
    </row>
    <row r="1872" spans="1:10" ht="12.75" customHeight="1" x14ac:dyDescent="0.3">
      <c r="A1872">
        <v>1283740</v>
      </c>
      <c r="B1872" t="s">
        <v>36</v>
      </c>
      <c r="C1872" t="s">
        <v>1175</v>
      </c>
      <c r="D1872" t="s">
        <v>4017</v>
      </c>
      <c r="E1872" s="1" t="s">
        <v>4018</v>
      </c>
      <c r="F1872">
        <f>VLOOKUP(A1872,Classifications!$A:$E,5,FALSE)</f>
        <v>1</v>
      </c>
      <c r="G1872">
        <f>VLOOKUP(A1872,Classifications!$A:$F,6,FALSE)</f>
        <v>2</v>
      </c>
      <c r="H1872">
        <f>VLOOKUP(A1872,Classifications!$A:$G,7,FALSE)</f>
        <v>43</v>
      </c>
      <c r="I1872" t="s">
        <v>24</v>
      </c>
      <c r="J1872" s="2">
        <v>44102.601018518515</v>
      </c>
    </row>
    <row r="1873" spans="1:10" ht="12.75" customHeight="1" x14ac:dyDescent="0.3">
      <c r="A1873">
        <v>1283697</v>
      </c>
      <c r="B1873" t="s">
        <v>374</v>
      </c>
      <c r="C1873" t="s">
        <v>663</v>
      </c>
      <c r="D1873" t="s">
        <v>4019</v>
      </c>
      <c r="E1873" s="1" t="s">
        <v>4020</v>
      </c>
      <c r="F1873">
        <f>VLOOKUP(A1873,Classifications!$A:$E,5,FALSE)</f>
        <v>1</v>
      </c>
      <c r="G1873">
        <f>VLOOKUP(A1873,Classifications!$A:$F,6,FALSE)</f>
        <v>2</v>
      </c>
      <c r="H1873">
        <f>VLOOKUP(A1873,Classifications!$A:$G,7,FALSE)</f>
        <v>41</v>
      </c>
      <c r="I1873" t="s">
        <v>11</v>
      </c>
      <c r="J1873" s="2">
        <v>44102.49858796296</v>
      </c>
    </row>
    <row r="1874" spans="1:10" ht="12.75" customHeight="1" x14ac:dyDescent="0.3">
      <c r="A1874">
        <v>1283677</v>
      </c>
      <c r="B1874" t="s">
        <v>45</v>
      </c>
      <c r="C1874" t="s">
        <v>1743</v>
      </c>
      <c r="D1874" t="s">
        <v>4021</v>
      </c>
      <c r="E1874" s="1" t="s">
        <v>4022</v>
      </c>
      <c r="F1874">
        <f>VLOOKUP(A1874,Classifications!$A:$E,5,FALSE)</f>
        <v>2</v>
      </c>
      <c r="G1874">
        <f>VLOOKUP(A1874,Classifications!$A:$F,6,FALSE)</f>
        <v>2</v>
      </c>
      <c r="H1874">
        <f>VLOOKUP(A1874,Classifications!$A:$G,7,FALSE)</f>
        <v>41</v>
      </c>
      <c r="I1874" t="s">
        <v>11</v>
      </c>
      <c r="J1874" s="2">
        <v>44102.470208333332</v>
      </c>
    </row>
    <row r="1875" spans="1:10" ht="12.75" customHeight="1" x14ac:dyDescent="0.3">
      <c r="A1875">
        <v>1283666</v>
      </c>
      <c r="B1875" t="s">
        <v>45</v>
      </c>
      <c r="C1875" t="s">
        <v>4023</v>
      </c>
      <c r="D1875" t="s">
        <v>4024</v>
      </c>
      <c r="E1875" s="1" t="s">
        <v>4022</v>
      </c>
      <c r="F1875">
        <f>VLOOKUP(A1875,Classifications!$A:$E,5,FALSE)</f>
        <v>2</v>
      </c>
      <c r="G1875">
        <f>VLOOKUP(A1875,Classifications!$A:$F,6,FALSE)</f>
        <v>2</v>
      </c>
      <c r="H1875">
        <f>VLOOKUP(A1875,Classifications!$A:$G,7,FALSE)</f>
        <v>41</v>
      </c>
      <c r="I1875" t="s">
        <v>11</v>
      </c>
      <c r="J1875" s="2">
        <v>44102.449270833335</v>
      </c>
    </row>
    <row r="1876" spans="1:10" ht="12.75" customHeight="1" x14ac:dyDescent="0.3">
      <c r="A1876">
        <v>1283638</v>
      </c>
      <c r="B1876" t="s">
        <v>70</v>
      </c>
      <c r="C1876" t="s">
        <v>3815</v>
      </c>
      <c r="D1876" t="s">
        <v>4025</v>
      </c>
      <c r="E1876" s="1" t="s">
        <v>4026</v>
      </c>
      <c r="F1876">
        <f>VLOOKUP(A1876,Classifications!$A:$E,5,FALSE)</f>
        <v>2</v>
      </c>
      <c r="G1876">
        <f>VLOOKUP(A1876,Classifications!$A:$F,6,FALSE)</f>
        <v>1</v>
      </c>
      <c r="H1876">
        <f>VLOOKUP(A1876,Classifications!$A:$G,7,FALSE)</f>
        <v>43</v>
      </c>
      <c r="I1876" t="s">
        <v>11</v>
      </c>
      <c r="J1876" s="2">
        <v>44102.430266203701</v>
      </c>
    </row>
    <row r="1877" spans="1:10" ht="12.75" customHeight="1" x14ac:dyDescent="0.3">
      <c r="A1877">
        <v>1283504</v>
      </c>
      <c r="B1877" t="s">
        <v>36</v>
      </c>
      <c r="C1877" t="s">
        <v>3335</v>
      </c>
      <c r="D1877" t="s">
        <v>4027</v>
      </c>
      <c r="E1877" s="1" t="s">
        <v>4028</v>
      </c>
      <c r="F1877">
        <f>VLOOKUP(A1877,Classifications!$A:$E,5,FALSE)</f>
        <v>3</v>
      </c>
      <c r="G1877">
        <f>VLOOKUP(A1877,Classifications!$A:$F,6,FALSE)</f>
        <v>1</v>
      </c>
      <c r="H1877">
        <f>VLOOKUP(A1877,Classifications!$A:$G,7,FALSE)</f>
        <v>43</v>
      </c>
      <c r="I1877" t="s">
        <v>24</v>
      </c>
      <c r="J1877" s="2">
        <v>44102.361689814818</v>
      </c>
    </row>
    <row r="1878" spans="1:10" ht="12.75" customHeight="1" x14ac:dyDescent="0.3">
      <c r="A1878">
        <v>1282335</v>
      </c>
      <c r="B1878" t="s">
        <v>36</v>
      </c>
      <c r="C1878" t="s">
        <v>822</v>
      </c>
      <c r="D1878" t="s">
        <v>4029</v>
      </c>
      <c r="E1878" s="1" t="s">
        <v>4030</v>
      </c>
      <c r="F1878">
        <f>VLOOKUP(A1878,Classifications!$A:$E,5,FALSE)</f>
        <v>3</v>
      </c>
      <c r="G1878">
        <f>VLOOKUP(A1878,Classifications!$A:$F,6,FALSE)</f>
        <v>2</v>
      </c>
      <c r="H1878">
        <f>VLOOKUP(A1878,Classifications!$A:$G,7,FALSE)</f>
        <v>43</v>
      </c>
      <c r="I1878" t="s">
        <v>24</v>
      </c>
      <c r="J1878" s="2">
        <v>44099.712453703702</v>
      </c>
    </row>
    <row r="1879" spans="1:10" ht="12.75" customHeight="1" x14ac:dyDescent="0.3">
      <c r="A1879">
        <v>1282231</v>
      </c>
      <c r="B1879" t="s">
        <v>614</v>
      </c>
      <c r="C1879" t="s">
        <v>2489</v>
      </c>
      <c r="D1879" t="s">
        <v>4031</v>
      </c>
      <c r="E1879" s="1" t="s">
        <v>4032</v>
      </c>
      <c r="F1879">
        <f>VLOOKUP(A1879,Classifications!$A:$E,5,FALSE)</f>
        <v>2</v>
      </c>
      <c r="G1879">
        <f>VLOOKUP(A1879,Classifications!$A:$F,6,FALSE)</f>
        <v>2</v>
      </c>
      <c r="H1879">
        <f>VLOOKUP(A1879,Classifications!$A:$G,7,FALSE)</f>
        <v>41</v>
      </c>
      <c r="I1879" t="s">
        <v>11</v>
      </c>
      <c r="J1879" s="2">
        <v>44099.455046296294</v>
      </c>
    </row>
    <row r="1880" spans="1:10" ht="12.75" customHeight="1" x14ac:dyDescent="0.3">
      <c r="A1880">
        <v>1281553</v>
      </c>
      <c r="B1880" t="s">
        <v>860</v>
      </c>
      <c r="C1880" t="s">
        <v>861</v>
      </c>
      <c r="D1880" t="s">
        <v>4033</v>
      </c>
      <c r="E1880" s="1" t="s">
        <v>4034</v>
      </c>
      <c r="F1880">
        <f>VLOOKUP(A1880,Classifications!$A:$E,5,FALSE)</f>
        <v>2</v>
      </c>
      <c r="G1880">
        <f>VLOOKUP(A1880,Classifications!$A:$F,6,FALSE)</f>
        <v>2</v>
      </c>
      <c r="H1880">
        <f>VLOOKUP(A1880,Classifications!$A:$G,7,FALSE)</f>
        <v>41</v>
      </c>
      <c r="I1880" t="s">
        <v>11</v>
      </c>
      <c r="J1880" s="2">
        <v>44098.623692129629</v>
      </c>
    </row>
    <row r="1881" spans="1:10" ht="12.75" customHeight="1" x14ac:dyDescent="0.3">
      <c r="A1881">
        <v>1281516</v>
      </c>
      <c r="B1881" t="s">
        <v>374</v>
      </c>
      <c r="C1881" t="s">
        <v>4035</v>
      </c>
      <c r="D1881" t="s">
        <v>4036</v>
      </c>
      <c r="E1881" s="1" t="s">
        <v>4037</v>
      </c>
      <c r="F1881">
        <f>VLOOKUP(A1881,Classifications!$A:$E,5,FALSE)</f>
        <v>3</v>
      </c>
      <c r="G1881">
        <f>VLOOKUP(A1881,Classifications!$A:$F,6,FALSE)</f>
        <v>2</v>
      </c>
      <c r="H1881">
        <f>VLOOKUP(A1881,Classifications!$A:$G,7,FALSE)</f>
        <v>41</v>
      </c>
      <c r="I1881" t="s">
        <v>11</v>
      </c>
      <c r="J1881" s="2">
        <v>44098.534930555557</v>
      </c>
    </row>
    <row r="1882" spans="1:10" ht="12.75" customHeight="1" x14ac:dyDescent="0.3">
      <c r="A1882">
        <v>1281486</v>
      </c>
      <c r="B1882" t="s">
        <v>2221</v>
      </c>
      <c r="C1882" t="s">
        <v>2222</v>
      </c>
      <c r="D1882" t="s">
        <v>4038</v>
      </c>
      <c r="E1882" s="1" t="s">
        <v>4039</v>
      </c>
      <c r="F1882">
        <f>VLOOKUP(A1882,Classifications!$A:$E,5,FALSE)</f>
        <v>2</v>
      </c>
      <c r="G1882">
        <f>VLOOKUP(A1882,Classifications!$A:$F,6,FALSE)</f>
        <v>2</v>
      </c>
      <c r="H1882">
        <f>VLOOKUP(A1882,Classifications!$A:$G,7,FALSE)</f>
        <v>41</v>
      </c>
      <c r="I1882" t="s">
        <v>24</v>
      </c>
      <c r="J1882" s="2">
        <v>44098.466562499998</v>
      </c>
    </row>
    <row r="1883" spans="1:10" ht="12.75" customHeight="1" x14ac:dyDescent="0.3">
      <c r="A1883">
        <v>1281412</v>
      </c>
      <c r="B1883" t="s">
        <v>1010</v>
      </c>
      <c r="C1883" t="s">
        <v>1011</v>
      </c>
      <c r="D1883" t="s">
        <v>4040</v>
      </c>
      <c r="E1883" s="1" t="s">
        <v>4041</v>
      </c>
      <c r="F1883">
        <f>VLOOKUP(A1883,Classifications!$A:$E,5,FALSE)</f>
        <v>3</v>
      </c>
      <c r="G1883">
        <f>VLOOKUP(A1883,Classifications!$A:$F,6,FALSE)</f>
        <v>2</v>
      </c>
      <c r="H1883">
        <f>VLOOKUP(A1883,Classifications!$A:$G,7,FALSE)</f>
        <v>41</v>
      </c>
      <c r="I1883" t="s">
        <v>24</v>
      </c>
      <c r="J1883" s="2">
        <v>44098.36991898148</v>
      </c>
    </row>
    <row r="1884" spans="1:10" ht="12.75" customHeight="1" x14ac:dyDescent="0.3">
      <c r="A1884">
        <v>1281391</v>
      </c>
      <c r="B1884" t="s">
        <v>36</v>
      </c>
      <c r="C1884" t="s">
        <v>67</v>
      </c>
      <c r="D1884" t="s">
        <v>4042</v>
      </c>
      <c r="E1884" s="1" t="s">
        <v>4043</v>
      </c>
      <c r="F1884">
        <f>VLOOKUP(A1884,Classifications!$A:$E,5,FALSE)</f>
        <v>3</v>
      </c>
      <c r="G1884">
        <f>VLOOKUP(A1884,Classifications!$A:$F,6,FALSE)</f>
        <v>1</v>
      </c>
      <c r="H1884">
        <f>VLOOKUP(A1884,Classifications!$A:$G,7,FALSE)</f>
        <v>43</v>
      </c>
      <c r="I1884" t="s">
        <v>24</v>
      </c>
      <c r="J1884" s="2">
        <v>44098.320509259262</v>
      </c>
    </row>
    <row r="1885" spans="1:10" ht="12.75" customHeight="1" x14ac:dyDescent="0.3">
      <c r="A1885">
        <v>1281000</v>
      </c>
      <c r="B1885" t="s">
        <v>36</v>
      </c>
      <c r="C1885" t="s">
        <v>67</v>
      </c>
      <c r="D1885" t="s">
        <v>4044</v>
      </c>
      <c r="E1885" s="1" t="s">
        <v>4045</v>
      </c>
      <c r="F1885">
        <f>VLOOKUP(A1885,Classifications!$A:$E,5,FALSE)</f>
        <v>3</v>
      </c>
      <c r="G1885">
        <f>VLOOKUP(A1885,Classifications!$A:$F,6,FALSE)</f>
        <v>1</v>
      </c>
      <c r="H1885">
        <f>VLOOKUP(A1885,Classifications!$A:$G,7,FALSE)</f>
        <v>43</v>
      </c>
      <c r="I1885" t="s">
        <v>24</v>
      </c>
      <c r="J1885" s="2">
        <v>44097.460763888892</v>
      </c>
    </row>
    <row r="1886" spans="1:10" ht="12.75" customHeight="1" x14ac:dyDescent="0.3">
      <c r="A1886">
        <v>1280836</v>
      </c>
      <c r="B1886" t="s">
        <v>1714</v>
      </c>
      <c r="C1886" t="s">
        <v>1715</v>
      </c>
      <c r="D1886" t="s">
        <v>1323</v>
      </c>
      <c r="E1886" t="s">
        <v>1324</v>
      </c>
      <c r="F1886">
        <f>VLOOKUP(A1886,Classifications!$A:$E,5,FALSE)</f>
        <v>1</v>
      </c>
      <c r="G1886">
        <f>VLOOKUP(A1886,Classifications!$A:$F,6,FALSE)</f>
        <v>1</v>
      </c>
      <c r="H1886">
        <f>VLOOKUP(A1886,Classifications!$A:$G,7,FALSE)</f>
        <v>36</v>
      </c>
      <c r="I1886" t="s">
        <v>1158</v>
      </c>
      <c r="J1886" s="2">
        <v>44097.000717592593</v>
      </c>
    </row>
    <row r="1887" spans="1:10" ht="12.75" customHeight="1" x14ac:dyDescent="0.3">
      <c r="A1887">
        <v>1280559</v>
      </c>
      <c r="B1887" t="s">
        <v>36</v>
      </c>
      <c r="C1887" t="s">
        <v>4046</v>
      </c>
      <c r="D1887" t="s">
        <v>4047</v>
      </c>
      <c r="E1887" s="1" t="s">
        <v>4048</v>
      </c>
      <c r="F1887">
        <f>VLOOKUP(A1887,Classifications!$A:$E,5,FALSE)</f>
        <v>3</v>
      </c>
      <c r="G1887">
        <f>VLOOKUP(A1887,Classifications!$A:$F,6,FALSE)</f>
        <v>1</v>
      </c>
      <c r="H1887">
        <f>VLOOKUP(A1887,Classifications!$A:$G,7,FALSE)</f>
        <v>43</v>
      </c>
      <c r="I1887" t="s">
        <v>24</v>
      </c>
      <c r="J1887" s="2">
        <v>44096.55332175926</v>
      </c>
    </row>
    <row r="1888" spans="1:10" ht="12.75" customHeight="1" x14ac:dyDescent="0.3">
      <c r="A1888">
        <v>1280557</v>
      </c>
      <c r="B1888" t="s">
        <v>53</v>
      </c>
      <c r="C1888" t="s">
        <v>54</v>
      </c>
      <c r="D1888" t="s">
        <v>4049</v>
      </c>
      <c r="E1888" s="1" t="s">
        <v>4050</v>
      </c>
      <c r="F1888">
        <f>VLOOKUP(A1888,Classifications!$A:$E,5,FALSE)</f>
        <v>1</v>
      </c>
      <c r="G1888">
        <f>VLOOKUP(A1888,Classifications!$A:$F,6,FALSE)</f>
        <v>2</v>
      </c>
      <c r="H1888">
        <f>VLOOKUP(A1888,Classifications!$A:$G,7,FALSE)</f>
        <v>41</v>
      </c>
      <c r="I1888" t="s">
        <v>11</v>
      </c>
      <c r="J1888" s="2">
        <v>44096.552800925929</v>
      </c>
    </row>
    <row r="1889" spans="1:10" ht="12.75" customHeight="1" x14ac:dyDescent="0.3">
      <c r="A1889">
        <v>1280536</v>
      </c>
      <c r="B1889" t="s">
        <v>36</v>
      </c>
      <c r="C1889" t="s">
        <v>509</v>
      </c>
      <c r="D1889" t="s">
        <v>4051</v>
      </c>
      <c r="E1889" s="1" t="s">
        <v>4052</v>
      </c>
      <c r="F1889">
        <f>VLOOKUP(A1889,Classifications!$A:$E,5,FALSE)</f>
        <v>3</v>
      </c>
      <c r="G1889">
        <f>VLOOKUP(A1889,Classifications!$A:$F,6,FALSE)</f>
        <v>1</v>
      </c>
      <c r="H1889">
        <f>VLOOKUP(A1889,Classifications!$A:$G,7,FALSE)</f>
        <v>43</v>
      </c>
      <c r="I1889" t="s">
        <v>24</v>
      </c>
      <c r="J1889" s="2">
        <v>44096.473923611113</v>
      </c>
    </row>
    <row r="1890" spans="1:10" ht="12.75" customHeight="1" x14ac:dyDescent="0.3">
      <c r="A1890">
        <v>1280464</v>
      </c>
      <c r="B1890" t="s">
        <v>32</v>
      </c>
      <c r="C1890" t="s">
        <v>463</v>
      </c>
      <c r="D1890" t="s">
        <v>4053</v>
      </c>
      <c r="E1890" s="1" t="s">
        <v>4054</v>
      </c>
      <c r="F1890">
        <f>VLOOKUP(A1890,Classifications!$A:$E,5,FALSE)</f>
        <v>2</v>
      </c>
      <c r="G1890">
        <f>VLOOKUP(A1890,Classifications!$A:$F,6,FALSE)</f>
        <v>3</v>
      </c>
      <c r="H1890">
        <f>VLOOKUP(A1890,Classifications!$A:$G,7,FALSE)</f>
        <v>41</v>
      </c>
      <c r="I1890" t="s">
        <v>11</v>
      </c>
      <c r="J1890" s="2">
        <v>44096.390057870369</v>
      </c>
    </row>
    <row r="1891" spans="1:10" ht="12.75" customHeight="1" x14ac:dyDescent="0.3">
      <c r="A1891">
        <v>1280437</v>
      </c>
      <c r="B1891" t="s">
        <v>70</v>
      </c>
      <c r="C1891" t="s">
        <v>660</v>
      </c>
      <c r="D1891" t="s">
        <v>4055</v>
      </c>
      <c r="E1891" s="1" t="s">
        <v>4056</v>
      </c>
      <c r="F1891">
        <f>VLOOKUP(A1891,Classifications!$A:$E,5,FALSE)</f>
        <v>2</v>
      </c>
      <c r="G1891">
        <f>VLOOKUP(A1891,Classifications!$A:$F,6,FALSE)</f>
        <v>2</v>
      </c>
      <c r="H1891">
        <f>VLOOKUP(A1891,Classifications!$A:$G,7,FALSE)</f>
        <v>41</v>
      </c>
      <c r="I1891" t="s">
        <v>11</v>
      </c>
      <c r="J1891" s="2">
        <v>44096.356145833335</v>
      </c>
    </row>
    <row r="1892" spans="1:10" ht="12.75" customHeight="1" x14ac:dyDescent="0.3">
      <c r="A1892">
        <v>1280428</v>
      </c>
      <c r="B1892" t="s">
        <v>489</v>
      </c>
      <c r="C1892" t="s">
        <v>1791</v>
      </c>
      <c r="D1892" t="s">
        <v>4057</v>
      </c>
      <c r="E1892" s="1" t="s">
        <v>4058</v>
      </c>
      <c r="F1892">
        <f>VLOOKUP(A1892,Classifications!$A:$E,5,FALSE)</f>
        <v>2</v>
      </c>
      <c r="G1892">
        <f>VLOOKUP(A1892,Classifications!$A:$F,6,FALSE)</f>
        <v>2</v>
      </c>
      <c r="H1892">
        <f>VLOOKUP(A1892,Classifications!$A:$G,7,FALSE)</f>
        <v>41</v>
      </c>
      <c r="I1892" t="s">
        <v>11</v>
      </c>
      <c r="J1892" s="2">
        <v>44096.342164351852</v>
      </c>
    </row>
    <row r="1893" spans="1:10" ht="12.75" customHeight="1" x14ac:dyDescent="0.3">
      <c r="A1893">
        <v>1280404</v>
      </c>
      <c r="B1893" t="s">
        <v>36</v>
      </c>
      <c r="C1893" t="s">
        <v>67</v>
      </c>
      <c r="D1893" t="s">
        <v>4059</v>
      </c>
      <c r="E1893" s="1" t="s">
        <v>4060</v>
      </c>
      <c r="F1893">
        <f>VLOOKUP(A1893,Classifications!$A:$E,5,FALSE)</f>
        <v>3</v>
      </c>
      <c r="G1893">
        <f>VLOOKUP(A1893,Classifications!$A:$F,6,FALSE)</f>
        <v>1</v>
      </c>
      <c r="H1893">
        <f>VLOOKUP(A1893,Classifications!$A:$G,7,FALSE)</f>
        <v>43</v>
      </c>
      <c r="I1893" t="s">
        <v>24</v>
      </c>
      <c r="J1893" s="2">
        <v>44096.31722222222</v>
      </c>
    </row>
    <row r="1894" spans="1:10" ht="12.75" customHeight="1" x14ac:dyDescent="0.3">
      <c r="A1894">
        <v>1280104</v>
      </c>
      <c r="B1894" t="s">
        <v>20</v>
      </c>
      <c r="C1894" t="s">
        <v>136</v>
      </c>
      <c r="D1894" t="s">
        <v>4061</v>
      </c>
      <c r="E1894" s="1" t="s">
        <v>4062</v>
      </c>
      <c r="F1894">
        <f>VLOOKUP(A1894,Classifications!$A:$E,5,FALSE)</f>
        <v>1</v>
      </c>
      <c r="G1894">
        <f>VLOOKUP(A1894,Classifications!$A:$F,6,FALSE)</f>
        <v>1</v>
      </c>
      <c r="H1894">
        <f>VLOOKUP(A1894,Classifications!$A:$G,7,FALSE)</f>
        <v>41</v>
      </c>
      <c r="I1894" t="s">
        <v>11</v>
      </c>
      <c r="J1894" s="2">
        <v>44095.886863425927</v>
      </c>
    </row>
    <row r="1895" spans="1:10" ht="12.75" customHeight="1" x14ac:dyDescent="0.3">
      <c r="A1895">
        <v>1279947</v>
      </c>
      <c r="B1895" t="s">
        <v>36</v>
      </c>
      <c r="C1895" t="s">
        <v>2387</v>
      </c>
      <c r="D1895" t="s">
        <v>4063</v>
      </c>
      <c r="E1895" s="1" t="s">
        <v>4064</v>
      </c>
      <c r="F1895">
        <f>VLOOKUP(A1895,Classifications!$A:$E,5,FALSE)</f>
        <v>2</v>
      </c>
      <c r="G1895">
        <f>VLOOKUP(A1895,Classifications!$A:$F,6,FALSE)</f>
        <v>1</v>
      </c>
      <c r="H1895">
        <f>VLOOKUP(A1895,Classifications!$A:$G,7,FALSE)</f>
        <v>43</v>
      </c>
      <c r="I1895" t="s">
        <v>24</v>
      </c>
      <c r="J1895" s="2">
        <v>44095.704085648147</v>
      </c>
    </row>
    <row r="1896" spans="1:10" ht="12.75" customHeight="1" x14ac:dyDescent="0.3">
      <c r="A1896">
        <v>1279930</v>
      </c>
      <c r="B1896" t="s">
        <v>36</v>
      </c>
      <c r="C1896" t="s">
        <v>589</v>
      </c>
      <c r="D1896" t="s">
        <v>4065</v>
      </c>
      <c r="E1896" s="1" t="s">
        <v>4066</v>
      </c>
      <c r="F1896">
        <f>VLOOKUP(A1896,Classifications!$A:$E,5,FALSE)</f>
        <v>2</v>
      </c>
      <c r="G1896">
        <f>VLOOKUP(A1896,Classifications!$A:$F,6,FALSE)</f>
        <v>2</v>
      </c>
      <c r="H1896">
        <f>VLOOKUP(A1896,Classifications!$A:$G,7,FALSE)</f>
        <v>43</v>
      </c>
      <c r="I1896" t="s">
        <v>24</v>
      </c>
      <c r="J1896" s="2">
        <v>44095.668553240743</v>
      </c>
    </row>
    <row r="1897" spans="1:10" ht="12.75" customHeight="1" x14ac:dyDescent="0.3">
      <c r="A1897">
        <v>1279886</v>
      </c>
      <c r="B1897" t="s">
        <v>843</v>
      </c>
      <c r="C1897" t="s">
        <v>4067</v>
      </c>
      <c r="D1897" t="s">
        <v>4068</v>
      </c>
      <c r="E1897" s="1" t="s">
        <v>4069</v>
      </c>
      <c r="F1897">
        <f>VLOOKUP(A1897,Classifications!$A:$E,5,FALSE)</f>
        <v>2</v>
      </c>
      <c r="G1897">
        <f>VLOOKUP(A1897,Classifications!$A:$F,6,FALSE)</f>
        <v>3</v>
      </c>
      <c r="H1897">
        <f>VLOOKUP(A1897,Classifications!$A:$G,7,FALSE)</f>
        <v>41</v>
      </c>
      <c r="I1897" t="s">
        <v>11</v>
      </c>
      <c r="J1897" s="2">
        <v>44095.580104166664</v>
      </c>
    </row>
    <row r="1898" spans="1:10" ht="12.75" customHeight="1" x14ac:dyDescent="0.3">
      <c r="A1898">
        <v>1279870</v>
      </c>
      <c r="B1898" t="s">
        <v>431</v>
      </c>
      <c r="C1898" t="s">
        <v>432</v>
      </c>
      <c r="D1898" t="s">
        <v>4070</v>
      </c>
      <c r="E1898" s="1" t="s">
        <v>4071</v>
      </c>
      <c r="F1898">
        <f>VLOOKUP(A1898,Classifications!$A:$E,5,FALSE)</f>
        <v>2</v>
      </c>
      <c r="G1898">
        <f>VLOOKUP(A1898,Classifications!$A:$F,6,FALSE)</f>
        <v>1</v>
      </c>
      <c r="H1898">
        <f>VLOOKUP(A1898,Classifications!$A:$G,7,FALSE)</f>
        <v>43</v>
      </c>
      <c r="I1898" t="s">
        <v>11</v>
      </c>
      <c r="J1898" s="2">
        <v>44095.560833333337</v>
      </c>
    </row>
    <row r="1899" spans="1:10" ht="12.75" customHeight="1" x14ac:dyDescent="0.3">
      <c r="A1899">
        <v>1279841</v>
      </c>
      <c r="B1899" t="s">
        <v>63</v>
      </c>
      <c r="C1899" t="s">
        <v>1524</v>
      </c>
      <c r="D1899" t="s">
        <v>4072</v>
      </c>
      <c r="E1899" s="1" t="s">
        <v>4073</v>
      </c>
      <c r="F1899">
        <f>VLOOKUP(A1899,Classifications!$A:$E,5,FALSE)</f>
        <v>2</v>
      </c>
      <c r="G1899">
        <f>VLOOKUP(A1899,Classifications!$A:$F,6,FALSE)</f>
        <v>1</v>
      </c>
      <c r="H1899">
        <f>VLOOKUP(A1899,Classifications!$A:$G,7,FALSE)</f>
        <v>43</v>
      </c>
      <c r="I1899" t="s">
        <v>11</v>
      </c>
      <c r="J1899" s="2">
        <v>44095.503240740742</v>
      </c>
    </row>
    <row r="1900" spans="1:10" ht="12.75" customHeight="1" x14ac:dyDescent="0.3">
      <c r="A1900">
        <v>1279818</v>
      </c>
      <c r="B1900" t="s">
        <v>20</v>
      </c>
      <c r="C1900" t="s">
        <v>757</v>
      </c>
      <c r="D1900" t="s">
        <v>4074</v>
      </c>
      <c r="E1900" s="1" t="s">
        <v>4075</v>
      </c>
      <c r="F1900">
        <f>VLOOKUP(A1900,Classifications!$A:$E,5,FALSE)</f>
        <v>1</v>
      </c>
      <c r="G1900">
        <f>VLOOKUP(A1900,Classifications!$A:$F,6,FALSE)</f>
        <v>3</v>
      </c>
      <c r="H1900">
        <f>VLOOKUP(A1900,Classifications!$A:$G,7,FALSE)</f>
        <v>41</v>
      </c>
      <c r="I1900" t="s">
        <v>11</v>
      </c>
      <c r="J1900" s="2">
        <v>44095.462500000001</v>
      </c>
    </row>
    <row r="1901" spans="1:10" ht="12.75" customHeight="1" x14ac:dyDescent="0.3">
      <c r="A1901">
        <v>1279738</v>
      </c>
      <c r="B1901" t="s">
        <v>70</v>
      </c>
      <c r="C1901" t="s">
        <v>660</v>
      </c>
      <c r="D1901" t="s">
        <v>4076</v>
      </c>
      <c r="E1901" s="1" t="s">
        <v>4077</v>
      </c>
      <c r="F1901">
        <f>VLOOKUP(A1901,Classifications!$A:$E,5,FALSE)</f>
        <v>2</v>
      </c>
      <c r="G1901">
        <f>VLOOKUP(A1901,Classifications!$A:$F,6,FALSE)</f>
        <v>2</v>
      </c>
      <c r="H1901">
        <f>VLOOKUP(A1901,Classifications!$A:$G,7,FALSE)</f>
        <v>43</v>
      </c>
      <c r="I1901" t="s">
        <v>24</v>
      </c>
      <c r="J1901" s="2">
        <v>44095.400277777779</v>
      </c>
    </row>
    <row r="1902" spans="1:10" ht="12.75" customHeight="1" x14ac:dyDescent="0.3">
      <c r="A1902">
        <v>1278855</v>
      </c>
      <c r="B1902" t="s">
        <v>4078</v>
      </c>
      <c r="C1902" t="s">
        <v>4079</v>
      </c>
      <c r="D1902" t="s">
        <v>4080</v>
      </c>
      <c r="E1902" s="1" t="s">
        <v>4081</v>
      </c>
      <c r="F1902">
        <f>VLOOKUP(A1902,Classifications!$A:$E,5,FALSE)</f>
        <v>3</v>
      </c>
      <c r="G1902">
        <f>VLOOKUP(A1902,Classifications!$A:$F,6,FALSE)</f>
        <v>3</v>
      </c>
      <c r="H1902">
        <f>VLOOKUP(A1902,Classifications!$A:$G,7,FALSE)</f>
        <v>41</v>
      </c>
      <c r="I1902" t="s">
        <v>11</v>
      </c>
      <c r="J1902" s="2">
        <v>44093.62599537037</v>
      </c>
    </row>
    <row r="1903" spans="1:10" ht="12.75" customHeight="1" x14ac:dyDescent="0.3">
      <c r="A1903">
        <v>1278286</v>
      </c>
      <c r="B1903" t="s">
        <v>4082</v>
      </c>
      <c r="C1903" t="s">
        <v>4083</v>
      </c>
      <c r="D1903" t="s">
        <v>4084</v>
      </c>
      <c r="E1903" s="1" t="s">
        <v>4085</v>
      </c>
      <c r="F1903">
        <f>VLOOKUP(A1903,Classifications!$A:$E,5,FALSE)</f>
        <v>2</v>
      </c>
      <c r="G1903">
        <f>VLOOKUP(A1903,Classifications!$A:$F,6,FALSE)</f>
        <v>1</v>
      </c>
      <c r="H1903">
        <f>VLOOKUP(A1903,Classifications!$A:$G,7,FALSE)</f>
        <v>43</v>
      </c>
      <c r="I1903" t="s">
        <v>24</v>
      </c>
      <c r="J1903" s="2">
        <v>44092.70684027778</v>
      </c>
    </row>
    <row r="1904" spans="1:10" ht="12.75" customHeight="1" x14ac:dyDescent="0.3">
      <c r="A1904">
        <v>1277553</v>
      </c>
      <c r="B1904" t="s">
        <v>70</v>
      </c>
      <c r="C1904" t="s">
        <v>3815</v>
      </c>
      <c r="D1904" t="s">
        <v>4086</v>
      </c>
      <c r="E1904" s="1" t="s">
        <v>4087</v>
      </c>
      <c r="F1904">
        <f>VLOOKUP(A1904,Classifications!$A:$E,5,FALSE)</f>
        <v>3</v>
      </c>
      <c r="G1904">
        <f>VLOOKUP(A1904,Classifications!$A:$F,6,FALSE)</f>
        <v>1</v>
      </c>
      <c r="H1904">
        <f>VLOOKUP(A1904,Classifications!$A:$G,7,FALSE)</f>
        <v>43</v>
      </c>
      <c r="I1904" t="s">
        <v>24</v>
      </c>
      <c r="J1904" s="2">
        <v>44091.698055555556</v>
      </c>
    </row>
    <row r="1905" spans="1:10" ht="12.75" customHeight="1" x14ac:dyDescent="0.3">
      <c r="A1905">
        <v>1277440</v>
      </c>
      <c r="B1905" t="s">
        <v>25</v>
      </c>
      <c r="C1905" t="s">
        <v>26</v>
      </c>
      <c r="D1905" t="s">
        <v>4088</v>
      </c>
      <c r="E1905" s="1" t="s">
        <v>4089</v>
      </c>
      <c r="F1905">
        <f>VLOOKUP(A1905,Classifications!$A:$E,5,FALSE)</f>
        <v>2</v>
      </c>
      <c r="G1905">
        <f>VLOOKUP(A1905,Classifications!$A:$F,6,FALSE)</f>
        <v>2</v>
      </c>
      <c r="H1905">
        <f>VLOOKUP(A1905,Classifications!$A:$G,7,FALSE)</f>
        <v>41</v>
      </c>
      <c r="I1905" t="s">
        <v>11</v>
      </c>
      <c r="J1905" s="2">
        <v>44091.494768518518</v>
      </c>
    </row>
    <row r="1906" spans="1:10" ht="12.75" customHeight="1" x14ac:dyDescent="0.3">
      <c r="A1906">
        <v>1277320</v>
      </c>
      <c r="B1906" t="s">
        <v>1105</v>
      </c>
      <c r="C1906" t="s">
        <v>4090</v>
      </c>
      <c r="D1906" t="s">
        <v>4091</v>
      </c>
      <c r="E1906" s="1" t="s">
        <v>4092</v>
      </c>
      <c r="F1906">
        <f>VLOOKUP(A1906,Classifications!$A:$E,5,FALSE)</f>
        <v>2</v>
      </c>
      <c r="G1906">
        <f>VLOOKUP(A1906,Classifications!$A:$F,6,FALSE)</f>
        <v>2</v>
      </c>
      <c r="H1906">
        <f>VLOOKUP(A1906,Classifications!$A:$G,7,FALSE)</f>
        <v>41</v>
      </c>
      <c r="I1906" t="s">
        <v>11</v>
      </c>
      <c r="J1906" s="2">
        <v>44091.373101851852</v>
      </c>
    </row>
    <row r="1907" spans="1:10" ht="12.75" customHeight="1" x14ac:dyDescent="0.3">
      <c r="A1907">
        <v>1277266</v>
      </c>
      <c r="B1907" t="s">
        <v>25</v>
      </c>
      <c r="C1907" t="s">
        <v>1995</v>
      </c>
      <c r="D1907" t="s">
        <v>4093</v>
      </c>
      <c r="E1907" s="1" t="s">
        <v>4094</v>
      </c>
      <c r="F1907">
        <f>VLOOKUP(A1907,Classifications!$A:$E,5,FALSE)</f>
        <v>1</v>
      </c>
      <c r="G1907">
        <f>VLOOKUP(A1907,Classifications!$A:$F,6,FALSE)</f>
        <v>2</v>
      </c>
      <c r="H1907">
        <f>VLOOKUP(A1907,Classifications!$A:$G,7,FALSE)</f>
        <v>43</v>
      </c>
      <c r="I1907" t="s">
        <v>11</v>
      </c>
      <c r="J1907" s="2">
        <v>44091.308333333334</v>
      </c>
    </row>
    <row r="1908" spans="1:10" ht="12.75" customHeight="1" x14ac:dyDescent="0.3">
      <c r="A1908">
        <v>1276999</v>
      </c>
      <c r="B1908" t="s">
        <v>70</v>
      </c>
      <c r="C1908" t="s">
        <v>3815</v>
      </c>
      <c r="D1908" t="s">
        <v>4095</v>
      </c>
      <c r="E1908" s="1" t="s">
        <v>4096</v>
      </c>
      <c r="F1908">
        <f>VLOOKUP(A1908,Classifications!$A:$E,5,FALSE)</f>
        <v>1</v>
      </c>
      <c r="G1908">
        <f>VLOOKUP(A1908,Classifications!$A:$F,6,FALSE)</f>
        <v>1</v>
      </c>
      <c r="H1908">
        <f>VLOOKUP(A1908,Classifications!$A:$G,7,FALSE)</f>
        <v>43</v>
      </c>
      <c r="I1908" t="s">
        <v>11</v>
      </c>
      <c r="J1908" s="2">
        <v>44090.801041666666</v>
      </c>
    </row>
    <row r="1909" spans="1:10" ht="12.75" customHeight="1" x14ac:dyDescent="0.3">
      <c r="A1909">
        <v>1276933</v>
      </c>
      <c r="B1909" t="s">
        <v>214</v>
      </c>
      <c r="C1909" t="s">
        <v>158</v>
      </c>
      <c r="D1909" t="s">
        <v>4097</v>
      </c>
      <c r="E1909" s="1" t="s">
        <v>4098</v>
      </c>
      <c r="F1909">
        <f>VLOOKUP(A1909,Classifications!$A:$E,5,FALSE)</f>
        <v>2</v>
      </c>
      <c r="G1909">
        <f>VLOOKUP(A1909,Classifications!$A:$F,6,FALSE)</f>
        <v>2</v>
      </c>
      <c r="H1909">
        <f>VLOOKUP(A1909,Classifications!$A:$G,7,FALSE)</f>
        <v>43</v>
      </c>
      <c r="I1909" t="s">
        <v>11</v>
      </c>
      <c r="J1909" s="2">
        <v>44090.731909722221</v>
      </c>
    </row>
    <row r="1910" spans="1:10" ht="12.75" customHeight="1" x14ac:dyDescent="0.3">
      <c r="A1910">
        <v>1276920</v>
      </c>
      <c r="B1910" t="s">
        <v>70</v>
      </c>
      <c r="C1910" t="s">
        <v>4099</v>
      </c>
      <c r="D1910" t="s">
        <v>4100</v>
      </c>
      <c r="E1910" s="1" t="s">
        <v>4101</v>
      </c>
      <c r="F1910">
        <f>VLOOKUP(A1910,Classifications!$A:$E,5,FALSE)</f>
        <v>1</v>
      </c>
      <c r="G1910">
        <f>VLOOKUP(A1910,Classifications!$A:$F,6,FALSE)</f>
        <v>1</v>
      </c>
      <c r="H1910">
        <f>VLOOKUP(A1910,Classifications!$A:$G,7,FALSE)</f>
        <v>41</v>
      </c>
      <c r="I1910" t="s">
        <v>11</v>
      </c>
      <c r="J1910" s="2">
        <v>44090.717430555553</v>
      </c>
    </row>
    <row r="1911" spans="1:10" ht="12.75" customHeight="1" x14ac:dyDescent="0.3">
      <c r="A1911">
        <v>1276907</v>
      </c>
      <c r="B1911" t="s">
        <v>191</v>
      </c>
      <c r="C1911" t="s">
        <v>4102</v>
      </c>
      <c r="D1911" t="s">
        <v>4103</v>
      </c>
      <c r="E1911" s="1" t="s">
        <v>4104</v>
      </c>
      <c r="F1911">
        <f>VLOOKUP(A1911,Classifications!$A:$E,5,FALSE)</f>
        <v>2</v>
      </c>
      <c r="G1911">
        <f>VLOOKUP(A1911,Classifications!$A:$F,6,FALSE)</f>
        <v>2</v>
      </c>
      <c r="H1911">
        <f>VLOOKUP(A1911,Classifications!$A:$G,7,FALSE)</f>
        <v>41</v>
      </c>
      <c r="I1911" t="s">
        <v>11</v>
      </c>
      <c r="J1911" s="2">
        <v>44090.7</v>
      </c>
    </row>
    <row r="1912" spans="1:10" ht="12.75" customHeight="1" x14ac:dyDescent="0.3">
      <c r="A1912">
        <v>1276862</v>
      </c>
      <c r="B1912" t="s">
        <v>446</v>
      </c>
      <c r="C1912" t="s">
        <v>4105</v>
      </c>
      <c r="D1912" t="s">
        <v>4106</v>
      </c>
      <c r="E1912" s="1" t="s">
        <v>4107</v>
      </c>
      <c r="F1912">
        <f>VLOOKUP(A1912,Classifications!$A:$E,5,FALSE)</f>
        <v>2</v>
      </c>
      <c r="G1912">
        <f>VLOOKUP(A1912,Classifications!$A:$F,6,FALSE)</f>
        <v>3</v>
      </c>
      <c r="H1912">
        <f>VLOOKUP(A1912,Classifications!$A:$G,7,FALSE)</f>
        <v>41</v>
      </c>
      <c r="I1912" t="s">
        <v>11</v>
      </c>
      <c r="J1912" s="2">
        <v>44090.607673611114</v>
      </c>
    </row>
    <row r="1913" spans="1:10" ht="12.75" customHeight="1" x14ac:dyDescent="0.3">
      <c r="A1913">
        <v>1276835</v>
      </c>
      <c r="B1913" t="s">
        <v>70</v>
      </c>
      <c r="C1913" t="s">
        <v>660</v>
      </c>
      <c r="D1913" t="s">
        <v>4108</v>
      </c>
      <c r="E1913" s="1" t="s">
        <v>4109</v>
      </c>
      <c r="F1913">
        <f>VLOOKUP(A1913,Classifications!$A:$E,5,FALSE)</f>
        <v>3</v>
      </c>
      <c r="G1913">
        <f>VLOOKUP(A1913,Classifications!$A:$F,6,FALSE)</f>
        <v>1</v>
      </c>
      <c r="H1913">
        <f>VLOOKUP(A1913,Classifications!$A:$G,7,FALSE)</f>
        <v>41</v>
      </c>
      <c r="I1913" t="s">
        <v>24</v>
      </c>
      <c r="J1913" s="2">
        <v>44090.569768518515</v>
      </c>
    </row>
    <row r="1914" spans="1:10" ht="12.75" customHeight="1" x14ac:dyDescent="0.3">
      <c r="A1914">
        <v>1276822</v>
      </c>
      <c r="B1914" t="s">
        <v>32</v>
      </c>
      <c r="C1914" t="s">
        <v>463</v>
      </c>
      <c r="D1914" t="s">
        <v>4110</v>
      </c>
      <c r="E1914" s="1" t="s">
        <v>4111</v>
      </c>
      <c r="F1914">
        <f>VLOOKUP(A1914,Classifications!$A:$E,5,FALSE)</f>
        <v>1</v>
      </c>
      <c r="G1914">
        <f>VLOOKUP(A1914,Classifications!$A:$F,6,FALSE)</f>
        <v>2</v>
      </c>
      <c r="H1914">
        <f>VLOOKUP(A1914,Classifications!$A:$G,7,FALSE)</f>
        <v>43</v>
      </c>
      <c r="I1914" t="s">
        <v>11</v>
      </c>
      <c r="J1914" s="2">
        <v>44090.533888888887</v>
      </c>
    </row>
    <row r="1915" spans="1:10" ht="12.75" customHeight="1" x14ac:dyDescent="0.3">
      <c r="A1915">
        <v>1276810</v>
      </c>
      <c r="B1915" t="s">
        <v>4112</v>
      </c>
      <c r="C1915" t="s">
        <v>4113</v>
      </c>
      <c r="D1915" t="s">
        <v>4114</v>
      </c>
      <c r="E1915" s="1" t="s">
        <v>4115</v>
      </c>
      <c r="F1915">
        <f>VLOOKUP(A1915,Classifications!$A:$E,5,FALSE)</f>
        <v>2</v>
      </c>
      <c r="G1915">
        <f>VLOOKUP(A1915,Classifications!$A:$F,6,FALSE)</f>
        <v>3</v>
      </c>
      <c r="H1915">
        <f>VLOOKUP(A1915,Classifications!$A:$G,7,FALSE)</f>
        <v>41</v>
      </c>
      <c r="I1915" t="s">
        <v>11</v>
      </c>
      <c r="J1915" s="2">
        <v>44090.519375000003</v>
      </c>
    </row>
    <row r="1916" spans="1:10" ht="12.75" customHeight="1" x14ac:dyDescent="0.3">
      <c r="A1916">
        <v>1276794</v>
      </c>
      <c r="B1916" t="s">
        <v>32</v>
      </c>
      <c r="C1916" t="s">
        <v>4116</v>
      </c>
      <c r="D1916" t="s">
        <v>4117</v>
      </c>
      <c r="E1916" s="1" t="s">
        <v>4118</v>
      </c>
      <c r="F1916">
        <f>VLOOKUP(A1916,Classifications!$A:$E,5,FALSE)</f>
        <v>2</v>
      </c>
      <c r="G1916">
        <f>VLOOKUP(A1916,Classifications!$A:$F,6,FALSE)</f>
        <v>2</v>
      </c>
      <c r="H1916">
        <f>VLOOKUP(A1916,Classifications!$A:$G,7,FALSE)</f>
        <v>41</v>
      </c>
      <c r="I1916" t="s">
        <v>11</v>
      </c>
      <c r="J1916" s="2">
        <v>44090.501770833333</v>
      </c>
    </row>
    <row r="1917" spans="1:10" ht="12.75" customHeight="1" x14ac:dyDescent="0.3">
      <c r="A1917">
        <v>1276279</v>
      </c>
      <c r="B1917" t="s">
        <v>606</v>
      </c>
      <c r="C1917" t="s">
        <v>4119</v>
      </c>
      <c r="D1917" t="s">
        <v>4120</v>
      </c>
      <c r="E1917" s="1" t="s">
        <v>4121</v>
      </c>
      <c r="F1917">
        <f>VLOOKUP(A1917,Classifications!$A:$E,5,FALSE)</f>
        <v>3</v>
      </c>
      <c r="G1917">
        <f>VLOOKUP(A1917,Classifications!$A:$F,6,FALSE)</f>
        <v>3</v>
      </c>
      <c r="H1917">
        <f>VLOOKUP(A1917,Classifications!$A:$G,7,FALSE)</f>
        <v>41</v>
      </c>
      <c r="I1917" t="s">
        <v>11</v>
      </c>
      <c r="J1917" s="2">
        <v>44089.66511574074</v>
      </c>
    </row>
    <row r="1918" spans="1:10" ht="12.75" customHeight="1" x14ac:dyDescent="0.3">
      <c r="A1918">
        <v>1276267</v>
      </c>
      <c r="B1918" t="s">
        <v>157</v>
      </c>
      <c r="C1918" t="s">
        <v>627</v>
      </c>
      <c r="D1918" t="s">
        <v>4122</v>
      </c>
      <c r="E1918" s="1" t="s">
        <v>4123</v>
      </c>
      <c r="F1918">
        <f>VLOOKUP(A1918,Classifications!$A:$E,5,FALSE)</f>
        <v>3</v>
      </c>
      <c r="G1918">
        <f>VLOOKUP(A1918,Classifications!$A:$F,6,FALSE)</f>
        <v>3</v>
      </c>
      <c r="H1918">
        <f>VLOOKUP(A1918,Classifications!$A:$G,7,FALSE)</f>
        <v>43</v>
      </c>
      <c r="I1918" t="s">
        <v>11</v>
      </c>
      <c r="J1918" s="2">
        <v>44089.63821759259</v>
      </c>
    </row>
    <row r="1919" spans="1:10" ht="12.75" customHeight="1" x14ac:dyDescent="0.3">
      <c r="A1919">
        <v>1276220</v>
      </c>
      <c r="B1919" t="s">
        <v>431</v>
      </c>
      <c r="C1919" t="s">
        <v>4124</v>
      </c>
      <c r="D1919" t="s">
        <v>4125</v>
      </c>
      <c r="E1919" s="1" t="s">
        <v>4126</v>
      </c>
      <c r="F1919">
        <f>VLOOKUP(A1919,Classifications!$A:$E,5,FALSE)</f>
        <v>2</v>
      </c>
      <c r="G1919">
        <f>VLOOKUP(A1919,Classifications!$A:$F,6,FALSE)</f>
        <v>2</v>
      </c>
      <c r="H1919">
        <f>VLOOKUP(A1919,Classifications!$A:$G,7,FALSE)</f>
        <v>41</v>
      </c>
      <c r="I1919" t="s">
        <v>24</v>
      </c>
      <c r="J1919" s="2">
        <v>44089.504178240742</v>
      </c>
    </row>
    <row r="1920" spans="1:10" ht="12.75" customHeight="1" x14ac:dyDescent="0.3">
      <c r="A1920">
        <v>1276158</v>
      </c>
      <c r="B1920" t="s">
        <v>95</v>
      </c>
      <c r="C1920" t="s">
        <v>96</v>
      </c>
      <c r="D1920" t="s">
        <v>4127</v>
      </c>
      <c r="E1920" s="1" t="s">
        <v>4128</v>
      </c>
      <c r="F1920">
        <f>VLOOKUP(A1920,Classifications!$A:$E,5,FALSE)</f>
        <v>1</v>
      </c>
      <c r="G1920">
        <f>VLOOKUP(A1920,Classifications!$A:$F,6,FALSE)</f>
        <v>2</v>
      </c>
      <c r="H1920">
        <f>VLOOKUP(A1920,Classifications!$A:$G,7,FALSE)</f>
        <v>41</v>
      </c>
      <c r="I1920" t="s">
        <v>11</v>
      </c>
      <c r="J1920" s="2">
        <v>44089.419108796297</v>
      </c>
    </row>
    <row r="1921" spans="1:10" ht="12.75" customHeight="1" x14ac:dyDescent="0.3">
      <c r="A1921">
        <v>1275473</v>
      </c>
      <c r="B1921" t="s">
        <v>16</v>
      </c>
      <c r="C1921" t="s">
        <v>181</v>
      </c>
      <c r="D1921" t="s">
        <v>4129</v>
      </c>
      <c r="E1921" s="1" t="s">
        <v>4130</v>
      </c>
      <c r="F1921">
        <f>VLOOKUP(A1921,Classifications!$A:$E,5,FALSE)</f>
        <v>3</v>
      </c>
      <c r="G1921">
        <f>VLOOKUP(A1921,Classifications!$A:$F,6,FALSE)</f>
        <v>2</v>
      </c>
      <c r="H1921">
        <f>VLOOKUP(A1921,Classifications!$A:$G,7,FALSE)</f>
        <v>41</v>
      </c>
      <c r="I1921" t="s">
        <v>11</v>
      </c>
      <c r="J1921" s="2">
        <v>44088.384884259256</v>
      </c>
    </row>
    <row r="1922" spans="1:10" ht="12.75" customHeight="1" x14ac:dyDescent="0.3">
      <c r="A1922">
        <v>1273807</v>
      </c>
      <c r="B1922" t="s">
        <v>70</v>
      </c>
      <c r="C1922" t="s">
        <v>1496</v>
      </c>
      <c r="D1922" t="s">
        <v>4131</v>
      </c>
      <c r="E1922" s="1" t="s">
        <v>4132</v>
      </c>
      <c r="F1922">
        <f>VLOOKUP(A1922,Classifications!$A:$E,5,FALSE)</f>
        <v>3</v>
      </c>
      <c r="G1922">
        <f>VLOOKUP(A1922,Classifications!$A:$F,6,FALSE)</f>
        <v>1</v>
      </c>
      <c r="H1922">
        <f>VLOOKUP(A1922,Classifications!$A:$G,7,FALSE)</f>
        <v>43</v>
      </c>
      <c r="I1922" t="s">
        <v>11</v>
      </c>
      <c r="J1922" s="2">
        <v>44085.521469907406</v>
      </c>
    </row>
    <row r="1923" spans="1:10" ht="12.75" customHeight="1" x14ac:dyDescent="0.3">
      <c r="A1923">
        <v>1273790</v>
      </c>
      <c r="B1923" t="s">
        <v>32</v>
      </c>
      <c r="C1923" t="s">
        <v>463</v>
      </c>
      <c r="D1923" t="s">
        <v>4133</v>
      </c>
      <c r="E1923" s="1" t="s">
        <v>4134</v>
      </c>
      <c r="F1923">
        <f>VLOOKUP(A1923,Classifications!$A:$E,5,FALSE)</f>
        <v>2</v>
      </c>
      <c r="G1923">
        <f>VLOOKUP(A1923,Classifications!$A:$F,6,FALSE)</f>
        <v>2</v>
      </c>
      <c r="H1923">
        <f>VLOOKUP(A1923,Classifications!$A:$G,7,FALSE)</f>
        <v>41</v>
      </c>
      <c r="I1923" t="s">
        <v>11</v>
      </c>
      <c r="J1923" s="2">
        <v>44085.494803240741</v>
      </c>
    </row>
    <row r="1924" spans="1:10" ht="12.75" customHeight="1" x14ac:dyDescent="0.3">
      <c r="A1924">
        <v>1273684</v>
      </c>
      <c r="B1924" t="s">
        <v>70</v>
      </c>
      <c r="C1924" t="s">
        <v>4135</v>
      </c>
      <c r="D1924" t="s">
        <v>4136</v>
      </c>
      <c r="E1924" s="1" t="s">
        <v>4137</v>
      </c>
      <c r="F1924">
        <f>VLOOKUP(A1924,Classifications!$A:$E,5,FALSE)</f>
        <v>1</v>
      </c>
      <c r="G1924">
        <f>VLOOKUP(A1924,Classifications!$A:$F,6,FALSE)</f>
        <v>2</v>
      </c>
      <c r="H1924">
        <f>VLOOKUP(A1924,Classifications!$A:$G,7,FALSE)</f>
        <v>41</v>
      </c>
      <c r="I1924" t="s">
        <v>11</v>
      </c>
      <c r="J1924" s="2">
        <v>44085.370312500003</v>
      </c>
    </row>
    <row r="1925" spans="1:10" ht="12.75" customHeight="1" x14ac:dyDescent="0.3">
      <c r="A1925">
        <v>1273269</v>
      </c>
      <c r="B1925" t="s">
        <v>606</v>
      </c>
      <c r="C1925" t="s">
        <v>158</v>
      </c>
      <c r="D1925" t="s">
        <v>4138</v>
      </c>
      <c r="E1925" s="1" t="s">
        <v>4139</v>
      </c>
      <c r="F1925">
        <f>VLOOKUP(A1925,Classifications!$A:$E,5,FALSE)</f>
        <v>1</v>
      </c>
      <c r="G1925">
        <f>VLOOKUP(A1925,Classifications!$A:$F,6,FALSE)</f>
        <v>1</v>
      </c>
      <c r="H1925">
        <f>VLOOKUP(A1925,Classifications!$A:$G,7,FALSE)</f>
        <v>41</v>
      </c>
      <c r="I1925" t="s">
        <v>11</v>
      </c>
      <c r="J1925" s="2">
        <v>44084.712962962964</v>
      </c>
    </row>
    <row r="1926" spans="1:10" ht="12.75" customHeight="1" x14ac:dyDescent="0.3">
      <c r="A1926">
        <v>1273118</v>
      </c>
      <c r="B1926" t="s">
        <v>226</v>
      </c>
      <c r="C1926" t="s">
        <v>1008</v>
      </c>
      <c r="D1926" t="s">
        <v>4140</v>
      </c>
      <c r="E1926" s="1" t="s">
        <v>4141</v>
      </c>
      <c r="F1926">
        <f>VLOOKUP(A1926,Classifications!$A:$E,5,FALSE)</f>
        <v>3</v>
      </c>
      <c r="G1926">
        <f>VLOOKUP(A1926,Classifications!$A:$F,6,FALSE)</f>
        <v>3</v>
      </c>
      <c r="H1926">
        <f>VLOOKUP(A1926,Classifications!$A:$G,7,FALSE)</f>
        <v>41</v>
      </c>
      <c r="I1926" t="s">
        <v>11</v>
      </c>
      <c r="J1926" s="2">
        <v>44084.432986111111</v>
      </c>
    </row>
    <row r="1927" spans="1:10" ht="12.75" customHeight="1" x14ac:dyDescent="0.3">
      <c r="A1927">
        <v>1273023</v>
      </c>
      <c r="B1927" t="s">
        <v>301</v>
      </c>
      <c r="C1927" t="s">
        <v>2127</v>
      </c>
      <c r="D1927" t="s">
        <v>4142</v>
      </c>
      <c r="E1927" s="1" t="s">
        <v>4143</v>
      </c>
      <c r="F1927">
        <f>VLOOKUP(A1927,Classifications!$A:$E,5,FALSE)</f>
        <v>3</v>
      </c>
      <c r="G1927">
        <f>VLOOKUP(A1927,Classifications!$A:$F,6,FALSE)</f>
        <v>2</v>
      </c>
      <c r="H1927">
        <f>VLOOKUP(A1927,Classifications!$A:$G,7,FALSE)</f>
        <v>41</v>
      </c>
      <c r="I1927" t="s">
        <v>11</v>
      </c>
      <c r="J1927" s="2">
        <v>44084.36178240741</v>
      </c>
    </row>
    <row r="1928" spans="1:10" ht="12.75" customHeight="1" x14ac:dyDescent="0.3">
      <c r="A1928">
        <v>1272618</v>
      </c>
      <c r="B1928" t="s">
        <v>545</v>
      </c>
      <c r="C1928" t="s">
        <v>4144</v>
      </c>
      <c r="D1928" t="s">
        <v>4145</v>
      </c>
      <c r="E1928" s="1" t="s">
        <v>4146</v>
      </c>
      <c r="F1928">
        <f>VLOOKUP(A1928,Classifications!$A:$E,5,FALSE)</f>
        <v>3</v>
      </c>
      <c r="G1928">
        <f>VLOOKUP(A1928,Classifications!$A:$F,6,FALSE)</f>
        <v>1</v>
      </c>
      <c r="H1928">
        <f>VLOOKUP(A1928,Classifications!$A:$G,7,FALSE)</f>
        <v>43</v>
      </c>
      <c r="I1928" t="s">
        <v>24</v>
      </c>
      <c r="J1928" s="2">
        <v>44083.620474537034</v>
      </c>
    </row>
    <row r="1929" spans="1:10" ht="12.75" customHeight="1" x14ac:dyDescent="0.3">
      <c r="A1929">
        <v>1272391</v>
      </c>
      <c r="B1929" t="s">
        <v>813</v>
      </c>
      <c r="C1929" t="s">
        <v>814</v>
      </c>
      <c r="D1929" t="s">
        <v>4147</v>
      </c>
      <c r="E1929" s="1" t="s">
        <v>4148</v>
      </c>
      <c r="F1929">
        <f>VLOOKUP(A1929,Classifications!$A:$E,5,FALSE)</f>
        <v>2</v>
      </c>
      <c r="G1929">
        <f>VLOOKUP(A1929,Classifications!$A:$F,6,FALSE)</f>
        <v>2</v>
      </c>
      <c r="H1929">
        <f>VLOOKUP(A1929,Classifications!$A:$G,7,FALSE)</f>
        <v>41</v>
      </c>
      <c r="I1929" t="s">
        <v>24</v>
      </c>
      <c r="J1929" s="2">
        <v>44083.366435185184</v>
      </c>
    </row>
    <row r="1930" spans="1:10" ht="12.75" customHeight="1" x14ac:dyDescent="0.3">
      <c r="A1930">
        <v>1272347</v>
      </c>
      <c r="B1930" t="s">
        <v>25</v>
      </c>
      <c r="C1930" t="s">
        <v>26</v>
      </c>
      <c r="D1930" t="s">
        <v>4149</v>
      </c>
      <c r="E1930" s="1" t="s">
        <v>4150</v>
      </c>
      <c r="F1930">
        <f>VLOOKUP(A1930,Classifications!$A:$E,5,FALSE)</f>
        <v>3</v>
      </c>
      <c r="G1930">
        <f>VLOOKUP(A1930,Classifications!$A:$F,6,FALSE)</f>
        <v>2</v>
      </c>
      <c r="H1930">
        <f>VLOOKUP(A1930,Classifications!$A:$G,7,FALSE)</f>
        <v>41</v>
      </c>
      <c r="I1930" t="s">
        <v>11</v>
      </c>
      <c r="J1930" s="2">
        <v>44083.310682870368</v>
      </c>
    </row>
    <row r="1931" spans="1:10" ht="12.75" customHeight="1" x14ac:dyDescent="0.3">
      <c r="A1931">
        <v>1271930</v>
      </c>
      <c r="B1931" t="s">
        <v>4151</v>
      </c>
      <c r="C1931" t="s">
        <v>4152</v>
      </c>
      <c r="D1931" t="s">
        <v>4153</v>
      </c>
      <c r="E1931" s="1" t="s">
        <v>4154</v>
      </c>
      <c r="F1931">
        <f>VLOOKUP(A1931,Classifications!$A:$E,5,FALSE)</f>
        <v>3</v>
      </c>
      <c r="G1931">
        <f>VLOOKUP(A1931,Classifications!$A:$F,6,FALSE)</f>
        <v>3</v>
      </c>
      <c r="H1931">
        <f>VLOOKUP(A1931,Classifications!$A:$G,7,FALSE)</f>
        <v>41</v>
      </c>
      <c r="I1931" t="s">
        <v>11</v>
      </c>
      <c r="J1931" s="2">
        <v>44082.562314814815</v>
      </c>
    </row>
    <row r="1932" spans="1:10" ht="12.75" customHeight="1" x14ac:dyDescent="0.3">
      <c r="A1932">
        <v>1271904</v>
      </c>
      <c r="B1932" t="s">
        <v>774</v>
      </c>
      <c r="C1932" t="s">
        <v>4155</v>
      </c>
      <c r="D1932" t="s">
        <v>4156</v>
      </c>
      <c r="E1932" s="1" t="s">
        <v>4157</v>
      </c>
      <c r="F1932">
        <f>VLOOKUP(A1932,Classifications!$A:$E,5,FALSE)</f>
        <v>2</v>
      </c>
      <c r="G1932">
        <f>VLOOKUP(A1932,Classifications!$A:$F,6,FALSE)</f>
        <v>2</v>
      </c>
      <c r="H1932">
        <f>VLOOKUP(A1932,Classifications!$A:$G,7,FALSE)</f>
        <v>41</v>
      </c>
      <c r="I1932" t="s">
        <v>11</v>
      </c>
      <c r="J1932" s="2">
        <v>44082.504293981481</v>
      </c>
    </row>
    <row r="1933" spans="1:10" ht="12.75" customHeight="1" x14ac:dyDescent="0.3">
      <c r="A1933">
        <v>1270170</v>
      </c>
      <c r="B1933" t="s">
        <v>157</v>
      </c>
      <c r="C1933" t="s">
        <v>414</v>
      </c>
      <c r="D1933" t="s">
        <v>4158</v>
      </c>
      <c r="E1933" s="1" t="s">
        <v>4159</v>
      </c>
      <c r="F1933">
        <f>VLOOKUP(A1933,Classifications!$A:$E,5,FALSE)</f>
        <v>1</v>
      </c>
      <c r="G1933">
        <f>VLOOKUP(A1933,Classifications!$A:$F,6,FALSE)</f>
        <v>1</v>
      </c>
      <c r="H1933">
        <f>VLOOKUP(A1933,Classifications!$A:$G,7,FALSE)</f>
        <v>43</v>
      </c>
      <c r="I1933" t="s">
        <v>11</v>
      </c>
      <c r="J1933" s="2">
        <v>44078.651990740742</v>
      </c>
    </row>
    <row r="1934" spans="1:10" ht="12.75" customHeight="1" x14ac:dyDescent="0.3">
      <c r="A1934">
        <v>1268781</v>
      </c>
      <c r="B1934" t="s">
        <v>70</v>
      </c>
      <c r="C1934" t="s">
        <v>3815</v>
      </c>
      <c r="D1934" t="s">
        <v>4160</v>
      </c>
      <c r="E1934" s="1" t="s">
        <v>4161</v>
      </c>
      <c r="F1934">
        <f>VLOOKUP(A1934,Classifications!$A:$E,5,FALSE)</f>
        <v>1</v>
      </c>
      <c r="G1934">
        <f>VLOOKUP(A1934,Classifications!$A:$F,6,FALSE)</f>
        <v>2</v>
      </c>
      <c r="H1934">
        <f>VLOOKUP(A1934,Classifications!$A:$G,7,FALSE)</f>
        <v>41</v>
      </c>
      <c r="I1934" t="s">
        <v>11</v>
      </c>
      <c r="J1934" s="2">
        <v>44076.447708333333</v>
      </c>
    </row>
    <row r="1935" spans="1:10" ht="12.75" customHeight="1" x14ac:dyDescent="0.3">
      <c r="A1935">
        <v>1268246</v>
      </c>
      <c r="B1935" t="s">
        <v>2442</v>
      </c>
      <c r="C1935" t="s">
        <v>2443</v>
      </c>
      <c r="D1935" t="s">
        <v>4162</v>
      </c>
      <c r="E1935" s="1" t="s">
        <v>4163</v>
      </c>
      <c r="F1935">
        <f>VLOOKUP(A1935,Classifications!$A:$E,5,FALSE)</f>
        <v>2</v>
      </c>
      <c r="G1935">
        <f>VLOOKUP(A1935,Classifications!$A:$F,6,FALSE)</f>
        <v>2</v>
      </c>
      <c r="H1935">
        <f>VLOOKUP(A1935,Classifications!$A:$G,7,FALSE)</f>
        <v>41</v>
      </c>
      <c r="I1935" t="s">
        <v>11</v>
      </c>
      <c r="J1935" s="2">
        <v>44075.598738425928</v>
      </c>
    </row>
    <row r="1936" spans="1:10" ht="12.75" customHeight="1" x14ac:dyDescent="0.3">
      <c r="A1936">
        <v>1268012</v>
      </c>
      <c r="B1936" t="s">
        <v>222</v>
      </c>
      <c r="C1936" t="s">
        <v>4164</v>
      </c>
      <c r="D1936" t="s">
        <v>4165</v>
      </c>
      <c r="E1936" s="1" t="s">
        <v>4166</v>
      </c>
      <c r="F1936">
        <f>VLOOKUP(A1936,Classifications!$A:$E,5,FALSE)</f>
        <v>1</v>
      </c>
      <c r="G1936">
        <f>VLOOKUP(A1936,Classifications!$A:$F,6,FALSE)</f>
        <v>2</v>
      </c>
      <c r="H1936">
        <f>VLOOKUP(A1936,Classifications!$A:$G,7,FALSE)</f>
        <v>41</v>
      </c>
      <c r="I1936" t="s">
        <v>11</v>
      </c>
      <c r="J1936" s="2">
        <v>44075.329039351855</v>
      </c>
    </row>
    <row r="1937" spans="1:10" ht="12.75" customHeight="1" x14ac:dyDescent="0.3">
      <c r="A1937">
        <v>1265432</v>
      </c>
      <c r="B1937" t="s">
        <v>157</v>
      </c>
      <c r="C1937" t="s">
        <v>4167</v>
      </c>
      <c r="D1937" t="s">
        <v>4168</v>
      </c>
      <c r="E1937" s="1" t="s">
        <v>4169</v>
      </c>
      <c r="F1937">
        <f>VLOOKUP(A1937,Classifications!$A:$E,5,FALSE)</f>
        <v>2</v>
      </c>
      <c r="G1937">
        <f>VLOOKUP(A1937,Classifications!$A:$F,6,FALSE)</f>
        <v>2</v>
      </c>
      <c r="H1937">
        <f>VLOOKUP(A1937,Classifications!$A:$G,7,FALSE)</f>
        <v>41</v>
      </c>
      <c r="I1937" t="s">
        <v>11</v>
      </c>
      <c r="J1937" s="2">
        <v>44070.379756944443</v>
      </c>
    </row>
    <row r="1938" spans="1:10" ht="12.75" customHeight="1" x14ac:dyDescent="0.3">
      <c r="A1938">
        <v>1264396</v>
      </c>
      <c r="B1938" t="s">
        <v>214</v>
      </c>
      <c r="C1938" t="s">
        <v>215</v>
      </c>
      <c r="D1938" t="s">
        <v>4170</v>
      </c>
      <c r="E1938" s="1" t="s">
        <v>4171</v>
      </c>
      <c r="F1938">
        <f>VLOOKUP(A1938,Classifications!$A:$E,5,FALSE)</f>
        <v>2</v>
      </c>
      <c r="G1938">
        <f>VLOOKUP(A1938,Classifications!$A:$F,6,FALSE)</f>
        <v>2</v>
      </c>
      <c r="H1938">
        <f>VLOOKUP(A1938,Classifications!$A:$G,7,FALSE)</f>
        <v>41</v>
      </c>
      <c r="I1938" t="s">
        <v>11</v>
      </c>
      <c r="J1938" s="2">
        <v>44069.629965277774</v>
      </c>
    </row>
    <row r="1939" spans="1:10" ht="12.75" customHeight="1" x14ac:dyDescent="0.3">
      <c r="A1939">
        <v>1263580</v>
      </c>
      <c r="B1939" t="s">
        <v>12</v>
      </c>
      <c r="C1939" t="s">
        <v>338</v>
      </c>
      <c r="D1939" t="s">
        <v>4172</v>
      </c>
      <c r="E1939" s="1" t="s">
        <v>4173</v>
      </c>
      <c r="F1939">
        <f>VLOOKUP(A1939,Classifications!$A:$E,5,FALSE)</f>
        <v>2</v>
      </c>
      <c r="G1939">
        <f>VLOOKUP(A1939,Classifications!$A:$F,6,FALSE)</f>
        <v>3</v>
      </c>
      <c r="H1939">
        <f>VLOOKUP(A1939,Classifications!$A:$G,7,FALSE)</f>
        <v>41</v>
      </c>
      <c r="I1939" t="s">
        <v>11</v>
      </c>
      <c r="J1939" s="2">
        <v>44068.469849537039</v>
      </c>
    </row>
    <row r="1940" spans="1:10" ht="12.75" customHeight="1" x14ac:dyDescent="0.3">
      <c r="A1940">
        <v>1262921</v>
      </c>
      <c r="B1940" t="s">
        <v>4174</v>
      </c>
      <c r="C1940" t="s">
        <v>4175</v>
      </c>
      <c r="D1940" t="s">
        <v>4176</v>
      </c>
      <c r="E1940" s="1" t="s">
        <v>4177</v>
      </c>
      <c r="F1940">
        <f>VLOOKUP(A1940,Classifications!$A:$E,5,FALSE)</f>
        <v>2</v>
      </c>
      <c r="G1940">
        <f>VLOOKUP(A1940,Classifications!$A:$F,6,FALSE)</f>
        <v>2</v>
      </c>
      <c r="H1940">
        <f>VLOOKUP(A1940,Classifications!$A:$G,7,FALSE)</f>
        <v>41</v>
      </c>
      <c r="I1940" t="s">
        <v>11</v>
      </c>
      <c r="J1940" s="2">
        <v>44067.582106481481</v>
      </c>
    </row>
    <row r="1941" spans="1:10" ht="12.75" customHeight="1" x14ac:dyDescent="0.3">
      <c r="A1941">
        <v>1262880</v>
      </c>
      <c r="B1941" t="s">
        <v>74</v>
      </c>
      <c r="C1941" t="s">
        <v>1656</v>
      </c>
      <c r="D1941" t="s">
        <v>4178</v>
      </c>
      <c r="E1941" s="1" t="s">
        <v>4179</v>
      </c>
      <c r="F1941">
        <f>VLOOKUP(A1941,Classifications!$A:$E,5,FALSE)</f>
        <v>2</v>
      </c>
      <c r="G1941">
        <f>VLOOKUP(A1941,Classifications!$A:$F,6,FALSE)</f>
        <v>2</v>
      </c>
      <c r="H1941">
        <f>VLOOKUP(A1941,Classifications!$A:$G,7,FALSE)</f>
        <v>41</v>
      </c>
      <c r="I1941" t="s">
        <v>11</v>
      </c>
      <c r="J1941" s="2">
        <v>44067.525682870371</v>
      </c>
    </row>
    <row r="1942" spans="1:10" ht="12.75" customHeight="1" x14ac:dyDescent="0.3">
      <c r="A1942">
        <v>1260599</v>
      </c>
      <c r="B1942" t="s">
        <v>53</v>
      </c>
      <c r="C1942" t="s">
        <v>54</v>
      </c>
      <c r="D1942" t="s">
        <v>4180</v>
      </c>
      <c r="E1942" s="1" t="s">
        <v>4181</v>
      </c>
      <c r="F1942">
        <f>VLOOKUP(A1942,Classifications!$A:$E,5,FALSE)</f>
        <v>2</v>
      </c>
      <c r="G1942">
        <f>VLOOKUP(A1942,Classifications!$A:$F,6,FALSE)</f>
        <v>2</v>
      </c>
      <c r="H1942">
        <f>VLOOKUP(A1942,Classifications!$A:$G,7,FALSE)</f>
        <v>41</v>
      </c>
      <c r="I1942" t="s">
        <v>11</v>
      </c>
      <c r="J1942" s="2">
        <v>44063.385648148149</v>
      </c>
    </row>
    <row r="1943" spans="1:10" ht="12.75" customHeight="1" x14ac:dyDescent="0.3">
      <c r="A1943">
        <v>1260210</v>
      </c>
      <c r="B1943" t="s">
        <v>32</v>
      </c>
      <c r="C1943" t="s">
        <v>115</v>
      </c>
      <c r="D1943" t="s">
        <v>4182</v>
      </c>
      <c r="E1943" s="1" t="s">
        <v>4183</v>
      </c>
      <c r="F1943">
        <f>VLOOKUP(A1943,Classifications!$A:$E,5,FALSE)</f>
        <v>2</v>
      </c>
      <c r="G1943">
        <f>VLOOKUP(A1943,Classifications!$A:$F,6,FALSE)</f>
        <v>2</v>
      </c>
      <c r="H1943">
        <f>VLOOKUP(A1943,Classifications!$A:$G,7,FALSE)</f>
        <v>41</v>
      </c>
      <c r="I1943" t="s">
        <v>11</v>
      </c>
      <c r="J1943" s="2">
        <v>44062.68136574074</v>
      </c>
    </row>
    <row r="1944" spans="1:10" ht="12.75" customHeight="1" x14ac:dyDescent="0.3">
      <c r="A1944">
        <v>1260204</v>
      </c>
      <c r="B1944" t="s">
        <v>545</v>
      </c>
      <c r="C1944" t="s">
        <v>4144</v>
      </c>
      <c r="D1944" t="s">
        <v>4184</v>
      </c>
      <c r="E1944" s="1" t="s">
        <v>4185</v>
      </c>
      <c r="F1944">
        <f>VLOOKUP(A1944,Classifications!$A:$E,5,FALSE)</f>
        <v>1</v>
      </c>
      <c r="G1944">
        <f>VLOOKUP(A1944,Classifications!$A:$F,6,FALSE)</f>
        <v>1</v>
      </c>
      <c r="H1944">
        <f>VLOOKUP(A1944,Classifications!$A:$G,7,FALSE)</f>
        <v>41</v>
      </c>
      <c r="I1944" t="s">
        <v>24</v>
      </c>
      <c r="J1944" s="2">
        <v>44062.670937499999</v>
      </c>
    </row>
    <row r="1945" spans="1:10" ht="12.75" customHeight="1" x14ac:dyDescent="0.3">
      <c r="A1945">
        <v>1260158</v>
      </c>
      <c r="B1945" t="s">
        <v>4186</v>
      </c>
      <c r="C1945" t="s">
        <v>4187</v>
      </c>
      <c r="D1945" t="s">
        <v>4188</v>
      </c>
      <c r="E1945" s="1" t="s">
        <v>4189</v>
      </c>
      <c r="F1945">
        <f>VLOOKUP(A1945,Classifications!$A:$E,5,FALSE)</f>
        <v>2</v>
      </c>
      <c r="G1945">
        <f>VLOOKUP(A1945,Classifications!$A:$F,6,FALSE)</f>
        <v>2</v>
      </c>
      <c r="H1945">
        <f>VLOOKUP(A1945,Classifications!$A:$G,7,FALSE)</f>
        <v>43</v>
      </c>
      <c r="I1945" t="s">
        <v>11</v>
      </c>
      <c r="J1945" s="2">
        <v>44062.590497685182</v>
      </c>
    </row>
    <row r="1946" spans="1:10" ht="12.75" customHeight="1" x14ac:dyDescent="0.3">
      <c r="A1946">
        <v>1260157</v>
      </c>
      <c r="B1946" t="s">
        <v>70</v>
      </c>
      <c r="C1946" t="s">
        <v>3815</v>
      </c>
      <c r="D1946" t="s">
        <v>4190</v>
      </c>
      <c r="E1946" s="1" t="s">
        <v>4191</v>
      </c>
      <c r="F1946">
        <f>VLOOKUP(A1946,Classifications!$A:$E,5,FALSE)</f>
        <v>2</v>
      </c>
      <c r="G1946">
        <f>VLOOKUP(A1946,Classifications!$A:$F,6,FALSE)</f>
        <v>2</v>
      </c>
      <c r="H1946">
        <f>VLOOKUP(A1946,Classifications!$A:$G,7,FALSE)</f>
        <v>41</v>
      </c>
      <c r="I1946" t="s">
        <v>11</v>
      </c>
      <c r="J1946" s="2">
        <v>44062.590127314812</v>
      </c>
    </row>
    <row r="1947" spans="1:10" ht="12.75" customHeight="1" x14ac:dyDescent="0.3">
      <c r="A1947">
        <v>1259432</v>
      </c>
      <c r="B1947" t="s">
        <v>87</v>
      </c>
      <c r="C1947" t="s">
        <v>88</v>
      </c>
      <c r="D1947" t="s">
        <v>4192</v>
      </c>
      <c r="E1947" s="1" t="s">
        <v>4193</v>
      </c>
      <c r="F1947">
        <f>VLOOKUP(A1947,Classifications!$A:$E,5,FALSE)</f>
        <v>3</v>
      </c>
      <c r="G1947">
        <f>VLOOKUP(A1947,Classifications!$A:$F,6,FALSE)</f>
        <v>2</v>
      </c>
      <c r="H1947">
        <f>VLOOKUP(A1947,Classifications!$A:$G,7,FALSE)</f>
        <v>41</v>
      </c>
      <c r="I1947" t="s">
        <v>11</v>
      </c>
      <c r="J1947" s="2">
        <v>44061.576469907406</v>
      </c>
    </row>
    <row r="1948" spans="1:10" ht="12.75" customHeight="1" x14ac:dyDescent="0.3">
      <c r="A1948">
        <v>1258886</v>
      </c>
      <c r="B1948" t="s">
        <v>36</v>
      </c>
      <c r="C1948" t="s">
        <v>2387</v>
      </c>
      <c r="D1948" t="s">
        <v>4194</v>
      </c>
      <c r="E1948" s="1" t="s">
        <v>4195</v>
      </c>
      <c r="F1948">
        <f>VLOOKUP(A1948,Classifications!$A:$E,5,FALSE)</f>
        <v>2</v>
      </c>
      <c r="G1948">
        <f>VLOOKUP(A1948,Classifications!$A:$F,6,FALSE)</f>
        <v>1</v>
      </c>
      <c r="H1948">
        <f>VLOOKUP(A1948,Classifications!$A:$G,7,FALSE)</f>
        <v>41</v>
      </c>
      <c r="I1948" t="s">
        <v>24</v>
      </c>
      <c r="J1948" s="2">
        <v>44060.616759259261</v>
      </c>
    </row>
    <row r="1949" spans="1:10" ht="12.75" customHeight="1" x14ac:dyDescent="0.3">
      <c r="A1949">
        <v>1258877</v>
      </c>
      <c r="B1949" t="s">
        <v>515</v>
      </c>
      <c r="D1949" t="s">
        <v>4196</v>
      </c>
      <c r="E1949" s="1" t="s">
        <v>4197</v>
      </c>
      <c r="F1949">
        <f>VLOOKUP(A1949,Classifications!$A:$E,5,FALSE)</f>
        <v>2</v>
      </c>
      <c r="G1949">
        <f>VLOOKUP(A1949,Classifications!$A:$F,6,FALSE)</f>
        <v>2</v>
      </c>
      <c r="H1949">
        <f>VLOOKUP(A1949,Classifications!$A:$G,7,FALSE)</f>
        <v>43</v>
      </c>
      <c r="I1949" t="s">
        <v>24</v>
      </c>
      <c r="J1949" s="2">
        <v>44060.607847222222</v>
      </c>
    </row>
    <row r="1950" spans="1:10" ht="12.75" customHeight="1" x14ac:dyDescent="0.3">
      <c r="A1950">
        <v>1258715</v>
      </c>
      <c r="B1950" t="s">
        <v>446</v>
      </c>
      <c r="C1950" t="s">
        <v>4198</v>
      </c>
      <c r="D1950" t="s">
        <v>4199</v>
      </c>
      <c r="E1950" s="1" t="s">
        <v>4200</v>
      </c>
      <c r="F1950">
        <f>VLOOKUP(A1950,Classifications!$A:$E,5,FALSE)</f>
        <v>1</v>
      </c>
      <c r="G1950">
        <f>VLOOKUP(A1950,Classifications!$A:$F,6,FALSE)</f>
        <v>2</v>
      </c>
      <c r="H1950">
        <f>VLOOKUP(A1950,Classifications!$A:$G,7,FALSE)</f>
        <v>43</v>
      </c>
      <c r="I1950" t="s">
        <v>11</v>
      </c>
      <c r="J1950" s="2">
        <v>44060.414675925924</v>
      </c>
    </row>
    <row r="1951" spans="1:10" ht="12.75" customHeight="1" x14ac:dyDescent="0.3">
      <c r="A1951">
        <v>1257306</v>
      </c>
      <c r="B1951" t="s">
        <v>16</v>
      </c>
      <c r="C1951" t="s">
        <v>4201</v>
      </c>
      <c r="D1951" t="s">
        <v>4202</v>
      </c>
      <c r="E1951" s="1" t="s">
        <v>4203</v>
      </c>
      <c r="F1951">
        <f>VLOOKUP(A1951,Classifications!$A:$E,5,FALSE)</f>
        <v>2</v>
      </c>
      <c r="G1951">
        <f>VLOOKUP(A1951,Classifications!$A:$F,6,FALSE)</f>
        <v>2</v>
      </c>
      <c r="H1951">
        <f>VLOOKUP(A1951,Classifications!$A:$G,7,FALSE)</f>
        <v>43</v>
      </c>
      <c r="I1951" t="s">
        <v>11</v>
      </c>
      <c r="J1951" s="2">
        <v>44057.423182870371</v>
      </c>
    </row>
    <row r="1952" spans="1:10" ht="12.75" customHeight="1" x14ac:dyDescent="0.3">
      <c r="A1952">
        <v>1256781</v>
      </c>
      <c r="B1952" t="s">
        <v>139</v>
      </c>
      <c r="C1952" t="s">
        <v>2846</v>
      </c>
      <c r="D1952" t="s">
        <v>4204</v>
      </c>
      <c r="E1952" s="1" t="s">
        <v>4205</v>
      </c>
      <c r="F1952">
        <f>VLOOKUP(A1952,Classifications!$A:$E,5,FALSE)</f>
        <v>2</v>
      </c>
      <c r="G1952">
        <f>VLOOKUP(A1952,Classifications!$A:$F,6,FALSE)</f>
        <v>2</v>
      </c>
      <c r="H1952">
        <f>VLOOKUP(A1952,Classifications!$A:$G,7,FALSE)</f>
        <v>41</v>
      </c>
      <c r="I1952" t="s">
        <v>11</v>
      </c>
      <c r="J1952" s="2">
        <v>44056.565208333333</v>
      </c>
    </row>
    <row r="1953" spans="1:10" ht="12.75" customHeight="1" x14ac:dyDescent="0.3">
      <c r="A1953">
        <v>1256114</v>
      </c>
      <c r="B1953" t="s">
        <v>4206</v>
      </c>
      <c r="C1953" t="s">
        <v>4207</v>
      </c>
      <c r="D1953" t="s">
        <v>4208</v>
      </c>
      <c r="E1953" s="1" t="s">
        <v>4209</v>
      </c>
      <c r="F1953">
        <f>VLOOKUP(A1953,Classifications!$A:$E,5,FALSE)</f>
        <v>3</v>
      </c>
      <c r="G1953">
        <f>VLOOKUP(A1953,Classifications!$A:$F,6,FALSE)</f>
        <v>3</v>
      </c>
      <c r="H1953">
        <f>VLOOKUP(A1953,Classifications!$A:$G,7,FALSE)</f>
        <v>41</v>
      </c>
      <c r="I1953" t="s">
        <v>24</v>
      </c>
      <c r="J1953" s="2">
        <v>44055.396168981482</v>
      </c>
    </row>
    <row r="1954" spans="1:10" ht="12.75" customHeight="1" x14ac:dyDescent="0.3">
      <c r="A1954">
        <v>1256068</v>
      </c>
      <c r="B1954" t="s">
        <v>70</v>
      </c>
      <c r="C1954" t="s">
        <v>3815</v>
      </c>
      <c r="D1954" t="s">
        <v>4210</v>
      </c>
      <c r="E1954" s="1" t="s">
        <v>4211</v>
      </c>
      <c r="F1954">
        <f>VLOOKUP(A1954,Classifications!$A:$E,5,FALSE)</f>
        <v>3</v>
      </c>
      <c r="G1954">
        <f>VLOOKUP(A1954,Classifications!$A:$F,6,FALSE)</f>
        <v>2</v>
      </c>
      <c r="H1954">
        <f>VLOOKUP(A1954,Classifications!$A:$G,7,FALSE)</f>
        <v>41</v>
      </c>
      <c r="I1954" t="s">
        <v>11</v>
      </c>
      <c r="J1954" s="2">
        <v>44055.369930555556</v>
      </c>
    </row>
    <row r="1955" spans="1:10" ht="12.75" customHeight="1" x14ac:dyDescent="0.3">
      <c r="A1955">
        <v>1255275</v>
      </c>
      <c r="B1955" t="s">
        <v>4082</v>
      </c>
      <c r="C1955" t="s">
        <v>4212</v>
      </c>
      <c r="D1955" t="s">
        <v>4213</v>
      </c>
      <c r="E1955" s="1" t="s">
        <v>4214</v>
      </c>
      <c r="F1955">
        <f>VLOOKUP(A1955,Classifications!$A:$E,5,FALSE)</f>
        <v>2</v>
      </c>
      <c r="G1955">
        <f>VLOOKUP(A1955,Classifications!$A:$F,6,FALSE)</f>
        <v>2</v>
      </c>
      <c r="H1955">
        <f>VLOOKUP(A1955,Classifications!$A:$G,7,FALSE)</f>
        <v>41</v>
      </c>
      <c r="I1955" t="s">
        <v>11</v>
      </c>
      <c r="J1955" s="2">
        <v>44054.663773148146</v>
      </c>
    </row>
    <row r="1956" spans="1:10" ht="12.75" customHeight="1" x14ac:dyDescent="0.3">
      <c r="A1956">
        <v>1255143</v>
      </c>
      <c r="B1956" t="s">
        <v>36</v>
      </c>
      <c r="C1956" t="s">
        <v>1461</v>
      </c>
      <c r="D1956" t="s">
        <v>4215</v>
      </c>
      <c r="E1956" s="1" t="s">
        <v>4216</v>
      </c>
      <c r="F1956">
        <f>VLOOKUP(A1956,Classifications!$A:$E,5,FALSE)</f>
        <v>1</v>
      </c>
      <c r="G1956">
        <f>VLOOKUP(A1956,Classifications!$A:$F,6,FALSE)</f>
        <v>2</v>
      </c>
      <c r="H1956">
        <f>VLOOKUP(A1956,Classifications!$A:$G,7,FALSE)</f>
        <v>41</v>
      </c>
      <c r="I1956" t="s">
        <v>24</v>
      </c>
      <c r="J1956" s="2">
        <v>44054.42046296296</v>
      </c>
    </row>
    <row r="1957" spans="1:10" ht="12.75" customHeight="1" x14ac:dyDescent="0.3">
      <c r="A1957">
        <v>1254554</v>
      </c>
      <c r="B1957" t="s">
        <v>25</v>
      </c>
      <c r="C1957" t="s">
        <v>26</v>
      </c>
      <c r="D1957" t="s">
        <v>4217</v>
      </c>
      <c r="E1957" s="1" t="s">
        <v>4218</v>
      </c>
      <c r="F1957">
        <f>VLOOKUP(A1957,Classifications!$A:$E,5,FALSE)</f>
        <v>2</v>
      </c>
      <c r="G1957">
        <f>VLOOKUP(A1957,Classifications!$A:$F,6,FALSE)</f>
        <v>3</v>
      </c>
      <c r="H1957">
        <f>VLOOKUP(A1957,Classifications!$A:$G,7,FALSE)</f>
        <v>41</v>
      </c>
      <c r="I1957" t="s">
        <v>11</v>
      </c>
      <c r="J1957" s="2">
        <v>44053.487326388888</v>
      </c>
    </row>
    <row r="1958" spans="1:10" ht="12.75" customHeight="1" x14ac:dyDescent="0.3">
      <c r="A1958">
        <v>1254400</v>
      </c>
      <c r="B1958" t="s">
        <v>446</v>
      </c>
      <c r="C1958" t="s">
        <v>4219</v>
      </c>
      <c r="D1958" t="s">
        <v>4220</v>
      </c>
      <c r="E1958" s="1" t="s">
        <v>4221</v>
      </c>
      <c r="F1958">
        <f>VLOOKUP(A1958,Classifications!$A:$E,5,FALSE)</f>
        <v>3</v>
      </c>
      <c r="G1958">
        <f>VLOOKUP(A1958,Classifications!$A:$F,6,FALSE)</f>
        <v>3</v>
      </c>
      <c r="H1958">
        <f>VLOOKUP(A1958,Classifications!$A:$G,7,FALSE)</f>
        <v>41</v>
      </c>
      <c r="I1958" t="s">
        <v>11</v>
      </c>
      <c r="J1958" s="2">
        <v>44053.276053240741</v>
      </c>
    </row>
    <row r="1959" spans="1:10" ht="12.75" customHeight="1" x14ac:dyDescent="0.3">
      <c r="A1959">
        <v>1252620</v>
      </c>
      <c r="B1959" t="s">
        <v>36</v>
      </c>
      <c r="C1959" t="s">
        <v>2562</v>
      </c>
      <c r="D1959" t="s">
        <v>4222</v>
      </c>
      <c r="E1959" s="1" t="s">
        <v>4223</v>
      </c>
      <c r="F1959">
        <f>VLOOKUP(A1959,Classifications!$A:$E,5,FALSE)</f>
        <v>2</v>
      </c>
      <c r="G1959">
        <f>VLOOKUP(A1959,Classifications!$A:$F,6,FALSE)</f>
        <v>2</v>
      </c>
      <c r="H1959">
        <f>VLOOKUP(A1959,Classifications!$A:$G,7,FALSE)</f>
        <v>41</v>
      </c>
      <c r="I1959" t="s">
        <v>24</v>
      </c>
      <c r="J1959" s="2">
        <v>44049.461145833331</v>
      </c>
    </row>
    <row r="1960" spans="1:10" ht="12.75" customHeight="1" x14ac:dyDescent="0.3">
      <c r="A1960">
        <v>1252608</v>
      </c>
      <c r="B1960" t="s">
        <v>277</v>
      </c>
      <c r="D1960" t="s">
        <v>4224</v>
      </c>
      <c r="E1960" s="1" t="s">
        <v>4225</v>
      </c>
      <c r="F1960">
        <f>VLOOKUP(A1960,Classifications!$A:$E,5,FALSE)</f>
        <v>2</v>
      </c>
      <c r="G1960">
        <f>VLOOKUP(A1960,Classifications!$A:$F,6,FALSE)</f>
        <v>3</v>
      </c>
      <c r="H1960">
        <f>VLOOKUP(A1960,Classifications!$A:$G,7,FALSE)</f>
        <v>41</v>
      </c>
      <c r="I1960" t="s">
        <v>11</v>
      </c>
      <c r="J1960" s="2">
        <v>44049.443749999999</v>
      </c>
    </row>
    <row r="1961" spans="1:10" ht="12.75" customHeight="1" x14ac:dyDescent="0.3">
      <c r="A1961">
        <v>1251884</v>
      </c>
      <c r="B1961" t="s">
        <v>1413</v>
      </c>
      <c r="C1961" t="s">
        <v>4226</v>
      </c>
      <c r="D1961" t="s">
        <v>4227</v>
      </c>
      <c r="E1961" s="1" t="s">
        <v>4228</v>
      </c>
      <c r="F1961">
        <f>VLOOKUP(A1961,Classifications!$A:$E,5,FALSE)</f>
        <v>1</v>
      </c>
      <c r="G1961">
        <f>VLOOKUP(A1961,Classifications!$A:$F,6,FALSE)</f>
        <v>3</v>
      </c>
      <c r="H1961">
        <f>VLOOKUP(A1961,Classifications!$A:$G,7,FALSE)</f>
        <v>41</v>
      </c>
      <c r="I1961" t="s">
        <v>11</v>
      </c>
      <c r="J1961" s="2">
        <v>44048.30541666667</v>
      </c>
    </row>
    <row r="1962" spans="1:10" ht="12.75" customHeight="1" x14ac:dyDescent="0.3">
      <c r="A1962">
        <v>1251382</v>
      </c>
      <c r="B1962" t="s">
        <v>12</v>
      </c>
      <c r="C1962" t="s">
        <v>338</v>
      </c>
      <c r="D1962" t="s">
        <v>4229</v>
      </c>
      <c r="E1962" s="1" t="s">
        <v>4230</v>
      </c>
      <c r="F1962">
        <f>VLOOKUP(A1962,Classifications!$A:$E,5,FALSE)</f>
        <v>2</v>
      </c>
      <c r="G1962">
        <f>VLOOKUP(A1962,Classifications!$A:$F,6,FALSE)</f>
        <v>2</v>
      </c>
      <c r="H1962">
        <f>VLOOKUP(A1962,Classifications!$A:$G,7,FALSE)</f>
        <v>41</v>
      </c>
      <c r="I1962" t="s">
        <v>11</v>
      </c>
      <c r="J1962" s="2">
        <v>44047.451493055552</v>
      </c>
    </row>
    <row r="1963" spans="1:10" ht="12.75" customHeight="1" x14ac:dyDescent="0.3">
      <c r="A1963">
        <v>1251311</v>
      </c>
      <c r="B1963" t="s">
        <v>746</v>
      </c>
      <c r="C1963" t="s">
        <v>1203</v>
      </c>
      <c r="D1963" t="s">
        <v>4231</v>
      </c>
      <c r="E1963" s="1" t="s">
        <v>4232</v>
      </c>
      <c r="F1963">
        <f>VLOOKUP(A1963,Classifications!$A:$E,5,FALSE)</f>
        <v>3</v>
      </c>
      <c r="G1963">
        <f>VLOOKUP(A1963,Classifications!$A:$F,6,FALSE)</f>
        <v>2</v>
      </c>
      <c r="H1963">
        <f>VLOOKUP(A1963,Classifications!$A:$G,7,FALSE)</f>
        <v>41</v>
      </c>
      <c r="I1963" t="s">
        <v>11</v>
      </c>
      <c r="J1963" s="2">
        <v>44047.39025462963</v>
      </c>
    </row>
    <row r="1964" spans="1:10" ht="12.75" customHeight="1" x14ac:dyDescent="0.3">
      <c r="A1964">
        <v>1250787</v>
      </c>
      <c r="B1964" t="s">
        <v>25</v>
      </c>
      <c r="C1964" t="s">
        <v>1995</v>
      </c>
      <c r="D1964" t="s">
        <v>4233</v>
      </c>
      <c r="E1964" s="1" t="s">
        <v>4234</v>
      </c>
      <c r="F1964">
        <f>VLOOKUP(A1964,Classifications!$A:$E,5,FALSE)</f>
        <v>3</v>
      </c>
      <c r="G1964">
        <f>VLOOKUP(A1964,Classifications!$A:$F,6,FALSE)</f>
        <v>2</v>
      </c>
      <c r="H1964">
        <f>VLOOKUP(A1964,Classifications!$A:$G,7,FALSE)</f>
        <v>41</v>
      </c>
      <c r="I1964" t="s">
        <v>11</v>
      </c>
      <c r="J1964" s="2">
        <v>44046.367372685185</v>
      </c>
    </row>
    <row r="1965" spans="1:10" ht="12.75" customHeight="1" x14ac:dyDescent="0.3">
      <c r="A1965">
        <v>1249439</v>
      </c>
      <c r="B1965" t="s">
        <v>36</v>
      </c>
      <c r="C1965" t="s">
        <v>3163</v>
      </c>
      <c r="D1965" t="s">
        <v>4235</v>
      </c>
      <c r="E1965" s="1" t="s">
        <v>4236</v>
      </c>
      <c r="F1965">
        <f>VLOOKUP(A1965,Classifications!$A:$E,5,FALSE)</f>
        <v>2</v>
      </c>
      <c r="G1965">
        <f>VLOOKUP(A1965,Classifications!$A:$F,6,FALSE)</f>
        <v>2</v>
      </c>
      <c r="H1965">
        <f>VLOOKUP(A1965,Classifications!$A:$G,7,FALSE)</f>
        <v>43</v>
      </c>
      <c r="I1965" t="s">
        <v>11</v>
      </c>
      <c r="J1965" s="2">
        <v>44043.654247685183</v>
      </c>
    </row>
    <row r="1966" spans="1:10" ht="12.75" customHeight="1" x14ac:dyDescent="0.3">
      <c r="A1966">
        <v>1249436</v>
      </c>
      <c r="B1966" t="s">
        <v>281</v>
      </c>
      <c r="C1966" t="s">
        <v>1222</v>
      </c>
      <c r="D1966" t="s">
        <v>4237</v>
      </c>
      <c r="E1966" s="1" t="s">
        <v>4238</v>
      </c>
      <c r="F1966">
        <f>VLOOKUP(A1966,Classifications!$A:$E,5,FALSE)</f>
        <v>2</v>
      </c>
      <c r="G1966">
        <f>VLOOKUP(A1966,Classifications!$A:$F,6,FALSE)</f>
        <v>2</v>
      </c>
      <c r="H1966">
        <f>VLOOKUP(A1966,Classifications!$A:$G,7,FALSE)</f>
        <v>43</v>
      </c>
      <c r="I1966" t="s">
        <v>11</v>
      </c>
      <c r="J1966" s="2">
        <v>44043.648287037038</v>
      </c>
    </row>
    <row r="1967" spans="1:10" ht="12.75" customHeight="1" x14ac:dyDescent="0.3">
      <c r="A1967">
        <v>1249394</v>
      </c>
      <c r="B1967" t="s">
        <v>32</v>
      </c>
      <c r="C1967" t="s">
        <v>4239</v>
      </c>
      <c r="D1967" t="s">
        <v>4240</v>
      </c>
      <c r="E1967" s="1" t="s">
        <v>4241</v>
      </c>
      <c r="F1967">
        <f>VLOOKUP(A1967,Classifications!$A:$E,5,FALSE)</f>
        <v>2</v>
      </c>
      <c r="G1967">
        <f>VLOOKUP(A1967,Classifications!$A:$F,6,FALSE)</f>
        <v>2</v>
      </c>
      <c r="H1967">
        <f>VLOOKUP(A1967,Classifications!$A:$G,7,FALSE)</f>
        <v>41</v>
      </c>
      <c r="I1967" t="s">
        <v>11</v>
      </c>
      <c r="J1967" s="2">
        <v>44043.568067129629</v>
      </c>
    </row>
    <row r="1968" spans="1:10" ht="12.75" customHeight="1" x14ac:dyDescent="0.3">
      <c r="A1968">
        <v>1248877</v>
      </c>
      <c r="B1968" t="s">
        <v>36</v>
      </c>
      <c r="C1968" t="s">
        <v>589</v>
      </c>
      <c r="D1968" t="s">
        <v>4242</v>
      </c>
      <c r="E1968" s="1" t="s">
        <v>4243</v>
      </c>
      <c r="F1968">
        <f>VLOOKUP(A1968,Classifications!$A:$E,5,FALSE)</f>
        <v>3</v>
      </c>
      <c r="G1968">
        <f>VLOOKUP(A1968,Classifications!$A:$F,6,FALSE)</f>
        <v>2</v>
      </c>
      <c r="H1968">
        <f>VLOOKUP(A1968,Classifications!$A:$G,7,FALSE)</f>
        <v>43</v>
      </c>
      <c r="I1968" t="s">
        <v>24</v>
      </c>
      <c r="J1968" s="2">
        <v>44042.501979166664</v>
      </c>
    </row>
    <row r="1969" spans="1:10" ht="12.75" customHeight="1" x14ac:dyDescent="0.3">
      <c r="A1969">
        <v>1248781</v>
      </c>
      <c r="B1969" t="s">
        <v>2221</v>
      </c>
      <c r="C1969" t="s">
        <v>2222</v>
      </c>
      <c r="D1969" t="s">
        <v>4244</v>
      </c>
      <c r="E1969" s="1" t="s">
        <v>4245</v>
      </c>
      <c r="F1969">
        <f>VLOOKUP(A1969,Classifications!$A:$E,5,FALSE)</f>
        <v>2</v>
      </c>
      <c r="G1969">
        <f>VLOOKUP(A1969,Classifications!$A:$F,6,FALSE)</f>
        <v>2</v>
      </c>
      <c r="H1969">
        <f>VLOOKUP(A1969,Classifications!$A:$G,7,FALSE)</f>
        <v>41</v>
      </c>
      <c r="I1969" t="s">
        <v>11</v>
      </c>
      <c r="J1969" s="2">
        <v>44042.384340277778</v>
      </c>
    </row>
    <row r="1970" spans="1:10" ht="12.75" customHeight="1" x14ac:dyDescent="0.3">
      <c r="A1970">
        <v>1248390</v>
      </c>
      <c r="B1970" t="s">
        <v>36</v>
      </c>
      <c r="C1970" t="s">
        <v>1175</v>
      </c>
      <c r="D1970" t="s">
        <v>4246</v>
      </c>
      <c r="E1970" s="1" t="s">
        <v>4247</v>
      </c>
      <c r="F1970">
        <f>VLOOKUP(A1970,Classifications!$A:$E,5,FALSE)</f>
        <v>2</v>
      </c>
      <c r="G1970">
        <f>VLOOKUP(A1970,Classifications!$A:$F,6,FALSE)</f>
        <v>2</v>
      </c>
      <c r="H1970">
        <f>VLOOKUP(A1970,Classifications!$A:$G,7,FALSE)</f>
        <v>43</v>
      </c>
      <c r="I1970" t="s">
        <v>24</v>
      </c>
      <c r="J1970" s="2">
        <v>44041.55541666667</v>
      </c>
    </row>
    <row r="1971" spans="1:10" ht="12.75" customHeight="1" x14ac:dyDescent="0.3">
      <c r="A1971">
        <v>1248363</v>
      </c>
      <c r="B1971" t="s">
        <v>16</v>
      </c>
      <c r="C1971" t="s">
        <v>4248</v>
      </c>
      <c r="D1971" t="s">
        <v>4249</v>
      </c>
      <c r="E1971" s="1" t="s">
        <v>4250</v>
      </c>
      <c r="F1971">
        <f>VLOOKUP(A1971,Classifications!$A:$E,5,FALSE)</f>
        <v>2</v>
      </c>
      <c r="G1971">
        <f>VLOOKUP(A1971,Classifications!$A:$F,6,FALSE)</f>
        <v>3</v>
      </c>
      <c r="H1971">
        <f>VLOOKUP(A1971,Classifications!$A:$G,7,FALSE)</f>
        <v>41</v>
      </c>
      <c r="I1971" t="s">
        <v>11</v>
      </c>
      <c r="J1971" s="2">
        <v>44041.49796296296</v>
      </c>
    </row>
    <row r="1972" spans="1:10" ht="12.75" customHeight="1" x14ac:dyDescent="0.3">
      <c r="A1972">
        <v>1248216</v>
      </c>
      <c r="B1972" t="s">
        <v>45</v>
      </c>
      <c r="C1972" t="s">
        <v>4251</v>
      </c>
      <c r="D1972" t="s">
        <v>4252</v>
      </c>
      <c r="E1972" s="1" t="s">
        <v>4253</v>
      </c>
      <c r="F1972">
        <f>VLOOKUP(A1972,Classifications!$A:$E,5,FALSE)</f>
        <v>3</v>
      </c>
      <c r="G1972">
        <f>VLOOKUP(A1972,Classifications!$A:$F,6,FALSE)</f>
        <v>3</v>
      </c>
      <c r="H1972">
        <f>VLOOKUP(A1972,Classifications!$A:$G,7,FALSE)</f>
        <v>41</v>
      </c>
      <c r="I1972" t="s">
        <v>11</v>
      </c>
      <c r="J1972" s="2">
        <v>44041.322916666664</v>
      </c>
    </row>
    <row r="1973" spans="1:10" ht="12.75" customHeight="1" x14ac:dyDescent="0.3">
      <c r="A1973">
        <v>1247420</v>
      </c>
      <c r="B1973" t="s">
        <v>446</v>
      </c>
      <c r="C1973" t="s">
        <v>4254</v>
      </c>
      <c r="D1973" t="s">
        <v>4255</v>
      </c>
      <c r="E1973" s="1" t="s">
        <v>4256</v>
      </c>
      <c r="F1973">
        <f>VLOOKUP(A1973,Classifications!$A:$E,5,FALSE)</f>
        <v>2</v>
      </c>
      <c r="G1973">
        <f>VLOOKUP(A1973,Classifications!$A:$F,6,FALSE)</f>
        <v>2</v>
      </c>
      <c r="H1973">
        <f>VLOOKUP(A1973,Classifications!$A:$G,7,FALSE)</f>
        <v>41</v>
      </c>
      <c r="I1973" t="s">
        <v>24</v>
      </c>
      <c r="J1973" s="2">
        <v>44039.65457175926</v>
      </c>
    </row>
    <row r="1974" spans="1:10" ht="12.75" customHeight="1" x14ac:dyDescent="0.3">
      <c r="A1974">
        <v>1246667</v>
      </c>
      <c r="B1974" t="s">
        <v>2442</v>
      </c>
      <c r="C1974" t="s">
        <v>3977</v>
      </c>
      <c r="D1974" t="s">
        <v>4257</v>
      </c>
      <c r="E1974" s="1" t="s">
        <v>4258</v>
      </c>
      <c r="F1974">
        <f>VLOOKUP(A1974,Classifications!$A:$E,5,FALSE)</f>
        <v>1</v>
      </c>
      <c r="G1974">
        <f>VLOOKUP(A1974,Classifications!$A:$F,6,FALSE)</f>
        <v>2</v>
      </c>
      <c r="H1974">
        <f>VLOOKUP(A1974,Classifications!$A:$G,7,FALSE)</f>
        <v>41</v>
      </c>
      <c r="I1974" t="s">
        <v>11</v>
      </c>
      <c r="J1974" s="2">
        <v>44039.372465277775</v>
      </c>
    </row>
    <row r="1975" spans="1:10" ht="12.75" customHeight="1" x14ac:dyDescent="0.3">
      <c r="A1975">
        <v>1244696</v>
      </c>
      <c r="B1975" t="s">
        <v>20</v>
      </c>
      <c r="C1975" t="s">
        <v>136</v>
      </c>
      <c r="D1975" t="s">
        <v>4259</v>
      </c>
      <c r="E1975" s="1" t="s">
        <v>4260</v>
      </c>
      <c r="F1975">
        <f>VLOOKUP(A1975,Classifications!$A:$E,5,FALSE)</f>
        <v>2</v>
      </c>
      <c r="G1975">
        <f>VLOOKUP(A1975,Classifications!$A:$F,6,FALSE)</f>
        <v>2</v>
      </c>
      <c r="H1975">
        <f>VLOOKUP(A1975,Classifications!$A:$G,7,FALSE)</f>
        <v>41</v>
      </c>
      <c r="I1975" t="s">
        <v>11</v>
      </c>
      <c r="J1975" s="2">
        <v>44034.715694444443</v>
      </c>
    </row>
    <row r="1976" spans="1:10" ht="12.75" customHeight="1" x14ac:dyDescent="0.3">
      <c r="A1976">
        <v>1244455</v>
      </c>
      <c r="B1976" t="s">
        <v>311</v>
      </c>
      <c r="C1976" t="s">
        <v>312</v>
      </c>
      <c r="D1976" t="s">
        <v>4261</v>
      </c>
      <c r="E1976" s="1" t="s">
        <v>4262</v>
      </c>
      <c r="F1976">
        <f>VLOOKUP(A1976,Classifications!$A:$E,5,FALSE)</f>
        <v>1</v>
      </c>
      <c r="G1976">
        <f>VLOOKUP(A1976,Classifications!$A:$F,6,FALSE)</f>
        <v>1</v>
      </c>
      <c r="H1976">
        <f>VLOOKUP(A1976,Classifications!$A:$G,7,FALSE)</f>
        <v>41</v>
      </c>
      <c r="I1976" t="s">
        <v>11</v>
      </c>
      <c r="J1976" s="2">
        <v>44034.298668981479</v>
      </c>
    </row>
    <row r="1977" spans="1:10" ht="12.75" customHeight="1" x14ac:dyDescent="0.3">
      <c r="A1977">
        <v>1244113</v>
      </c>
      <c r="B1977" t="s">
        <v>74</v>
      </c>
      <c r="C1977" t="s">
        <v>450</v>
      </c>
      <c r="D1977" t="s">
        <v>4263</v>
      </c>
      <c r="E1977" s="1" t="s">
        <v>4264</v>
      </c>
      <c r="F1977">
        <f>VLOOKUP(A1977,Classifications!$A:$E,5,FALSE)</f>
        <v>2</v>
      </c>
      <c r="G1977">
        <f>VLOOKUP(A1977,Classifications!$A:$F,6,FALSE)</f>
        <v>2</v>
      </c>
      <c r="H1977">
        <f>VLOOKUP(A1977,Classifications!$A:$G,7,FALSE)</f>
        <v>43</v>
      </c>
      <c r="I1977" t="s">
        <v>11</v>
      </c>
      <c r="J1977" s="2">
        <v>44033.701828703706</v>
      </c>
    </row>
    <row r="1978" spans="1:10" ht="12.75" customHeight="1" x14ac:dyDescent="0.3">
      <c r="A1978">
        <v>1244061</v>
      </c>
      <c r="B1978" t="s">
        <v>401</v>
      </c>
      <c r="C1978" t="s">
        <v>836</v>
      </c>
      <c r="D1978" t="s">
        <v>4265</v>
      </c>
      <c r="E1978" s="1" t="s">
        <v>4266</v>
      </c>
      <c r="F1978">
        <f>VLOOKUP(A1978,Classifications!$A:$E,5,FALSE)</f>
        <v>2</v>
      </c>
      <c r="G1978">
        <f>VLOOKUP(A1978,Classifications!$A:$F,6,FALSE)</f>
        <v>2</v>
      </c>
      <c r="H1978">
        <f>VLOOKUP(A1978,Classifications!$A:$G,7,FALSE)</f>
        <v>41</v>
      </c>
      <c r="I1978" t="s">
        <v>11</v>
      </c>
      <c r="J1978" s="2">
        <v>44033.586157407408</v>
      </c>
    </row>
    <row r="1979" spans="1:10" ht="12.75" customHeight="1" x14ac:dyDescent="0.3">
      <c r="A1979">
        <v>1243531</v>
      </c>
      <c r="B1979" t="s">
        <v>431</v>
      </c>
      <c r="C1979" t="s">
        <v>4267</v>
      </c>
      <c r="D1979" t="s">
        <v>4268</v>
      </c>
      <c r="E1979" s="1" t="s">
        <v>4269</v>
      </c>
      <c r="F1979">
        <f>VLOOKUP(A1979,Classifications!$A:$E,5,FALSE)</f>
        <v>2</v>
      </c>
      <c r="G1979">
        <f>VLOOKUP(A1979,Classifications!$A:$F,6,FALSE)</f>
        <v>2</v>
      </c>
      <c r="H1979">
        <f>VLOOKUP(A1979,Classifications!$A:$G,7,FALSE)</f>
        <v>41</v>
      </c>
      <c r="I1979" t="s">
        <v>11</v>
      </c>
      <c r="J1979" s="2">
        <v>44032.624907407408</v>
      </c>
    </row>
    <row r="1980" spans="1:10" ht="12.75" customHeight="1" x14ac:dyDescent="0.3">
      <c r="A1980">
        <v>1243400</v>
      </c>
      <c r="B1980" t="s">
        <v>277</v>
      </c>
      <c r="C1980" t="s">
        <v>3746</v>
      </c>
      <c r="D1980" t="s">
        <v>4270</v>
      </c>
      <c r="E1980" s="1" t="s">
        <v>4271</v>
      </c>
      <c r="F1980">
        <f>VLOOKUP(A1980,Classifications!$A:$E,5,FALSE)</f>
        <v>2</v>
      </c>
      <c r="G1980">
        <f>VLOOKUP(A1980,Classifications!$A:$F,6,FALSE)</f>
        <v>2</v>
      </c>
      <c r="H1980">
        <f>VLOOKUP(A1980,Classifications!$A:$G,7,FALSE)</f>
        <v>41</v>
      </c>
      <c r="I1980" t="s">
        <v>11</v>
      </c>
      <c r="J1980" s="2">
        <v>44032.422881944447</v>
      </c>
    </row>
    <row r="1981" spans="1:10" ht="12.75" customHeight="1" x14ac:dyDescent="0.3">
      <c r="A1981">
        <v>1242283</v>
      </c>
      <c r="B1981" t="s">
        <v>45</v>
      </c>
      <c r="C1981" t="s">
        <v>1472</v>
      </c>
      <c r="D1981" t="s">
        <v>4272</v>
      </c>
      <c r="E1981" s="1" t="s">
        <v>4273</v>
      </c>
      <c r="F1981">
        <f>VLOOKUP(A1981,Classifications!$A:$E,5,FALSE)</f>
        <v>2</v>
      </c>
      <c r="G1981">
        <f>VLOOKUP(A1981,Classifications!$A:$F,6,FALSE)</f>
        <v>2</v>
      </c>
      <c r="H1981">
        <f>VLOOKUP(A1981,Classifications!$A:$G,7,FALSE)</f>
        <v>41</v>
      </c>
      <c r="I1981" t="s">
        <v>11</v>
      </c>
      <c r="J1981" s="2">
        <v>44029.540231481478</v>
      </c>
    </row>
    <row r="1982" spans="1:10" ht="12.75" customHeight="1" x14ac:dyDescent="0.3">
      <c r="A1982">
        <v>1242176</v>
      </c>
      <c r="B1982" t="s">
        <v>1105</v>
      </c>
      <c r="C1982" t="s">
        <v>4090</v>
      </c>
      <c r="D1982" t="s">
        <v>4274</v>
      </c>
      <c r="E1982" s="1" t="s">
        <v>4275</v>
      </c>
      <c r="F1982">
        <f>VLOOKUP(A1982,Classifications!$A:$E,5,FALSE)</f>
        <v>3</v>
      </c>
      <c r="G1982">
        <f>VLOOKUP(A1982,Classifications!$A:$F,6,FALSE)</f>
        <v>2</v>
      </c>
      <c r="H1982">
        <f>VLOOKUP(A1982,Classifications!$A:$G,7,FALSE)</f>
        <v>41</v>
      </c>
      <c r="I1982" t="s">
        <v>11</v>
      </c>
      <c r="J1982" s="2">
        <v>44029.388252314813</v>
      </c>
    </row>
    <row r="1983" spans="1:10" ht="12.75" customHeight="1" x14ac:dyDescent="0.3">
      <c r="A1983">
        <v>1242149</v>
      </c>
      <c r="B1983" t="s">
        <v>32</v>
      </c>
      <c r="C1983" t="s">
        <v>463</v>
      </c>
      <c r="D1983" t="s">
        <v>4276</v>
      </c>
      <c r="E1983" s="1" t="s">
        <v>4277</v>
      </c>
      <c r="F1983">
        <f>VLOOKUP(A1983,Classifications!$A:$E,5,FALSE)</f>
        <v>3</v>
      </c>
      <c r="G1983">
        <f>VLOOKUP(A1983,Classifications!$A:$F,6,FALSE)</f>
        <v>2</v>
      </c>
      <c r="H1983">
        <f>VLOOKUP(A1983,Classifications!$A:$G,7,FALSE)</f>
        <v>41</v>
      </c>
      <c r="I1983" t="s">
        <v>11</v>
      </c>
      <c r="J1983" s="2">
        <v>44029.3358912037</v>
      </c>
    </row>
    <row r="1984" spans="1:10" ht="12.75" customHeight="1" x14ac:dyDescent="0.3">
      <c r="A1984">
        <v>1238829</v>
      </c>
      <c r="B1984" t="s">
        <v>53</v>
      </c>
      <c r="C1984" t="s">
        <v>54</v>
      </c>
      <c r="D1984" t="s">
        <v>4278</v>
      </c>
      <c r="E1984" s="1" t="s">
        <v>4279</v>
      </c>
      <c r="F1984">
        <f>VLOOKUP(A1984,Classifications!$A:$E,5,FALSE)</f>
        <v>3</v>
      </c>
      <c r="G1984">
        <f>VLOOKUP(A1984,Classifications!$A:$F,6,FALSE)</f>
        <v>3</v>
      </c>
      <c r="H1984">
        <f>VLOOKUP(A1984,Classifications!$A:$G,7,FALSE)</f>
        <v>41</v>
      </c>
      <c r="I1984" t="s">
        <v>11</v>
      </c>
      <c r="J1984" s="2">
        <v>44025.438611111109</v>
      </c>
    </row>
    <row r="1985" spans="1:10" ht="12.75" customHeight="1" x14ac:dyDescent="0.3">
      <c r="A1985">
        <v>1236795</v>
      </c>
      <c r="B1985" t="s">
        <v>222</v>
      </c>
      <c r="C1985" t="s">
        <v>4164</v>
      </c>
      <c r="D1985" t="s">
        <v>4280</v>
      </c>
      <c r="E1985" s="1" t="s">
        <v>4281</v>
      </c>
      <c r="F1985">
        <f>VLOOKUP(A1985,Classifications!$A:$E,5,FALSE)</f>
        <v>2</v>
      </c>
      <c r="G1985">
        <f>VLOOKUP(A1985,Classifications!$A:$F,6,FALSE)</f>
        <v>2</v>
      </c>
      <c r="H1985">
        <f>VLOOKUP(A1985,Classifications!$A:$G,7,FALSE)</f>
        <v>41</v>
      </c>
      <c r="I1985" t="s">
        <v>24</v>
      </c>
      <c r="J1985" s="2">
        <v>44020.569710648146</v>
      </c>
    </row>
    <row r="1986" spans="1:10" ht="12.75" customHeight="1" x14ac:dyDescent="0.3">
      <c r="A1986">
        <v>1236638</v>
      </c>
      <c r="B1986" t="s">
        <v>446</v>
      </c>
      <c r="C1986" t="s">
        <v>4282</v>
      </c>
      <c r="D1986" t="s">
        <v>4283</v>
      </c>
      <c r="E1986" s="1" t="s">
        <v>4284</v>
      </c>
      <c r="F1986">
        <f>VLOOKUP(A1986,Classifications!$A:$E,5,FALSE)</f>
        <v>3</v>
      </c>
      <c r="G1986">
        <f>VLOOKUP(A1986,Classifications!$A:$F,6,FALSE)</f>
        <v>2</v>
      </c>
      <c r="H1986">
        <f>VLOOKUP(A1986,Classifications!$A:$G,7,FALSE)</f>
        <v>41</v>
      </c>
      <c r="I1986" t="s">
        <v>11</v>
      </c>
      <c r="J1986" s="2">
        <v>44020.333333333336</v>
      </c>
    </row>
    <row r="1987" spans="1:10" ht="12.75" customHeight="1" x14ac:dyDescent="0.3">
      <c r="A1987">
        <v>1236347</v>
      </c>
      <c r="B1987" t="s">
        <v>20</v>
      </c>
      <c r="C1987" t="s">
        <v>136</v>
      </c>
      <c r="D1987" t="s">
        <v>4285</v>
      </c>
      <c r="E1987" s="1" t="s">
        <v>4286</v>
      </c>
      <c r="F1987">
        <f>VLOOKUP(A1987,Classifications!$A:$E,5,FALSE)</f>
        <v>2</v>
      </c>
      <c r="G1987">
        <f>VLOOKUP(A1987,Classifications!$A:$F,6,FALSE)</f>
        <v>1</v>
      </c>
      <c r="H1987">
        <f>VLOOKUP(A1987,Classifications!$A:$G,7,FALSE)</f>
        <v>43</v>
      </c>
      <c r="I1987" t="s">
        <v>11</v>
      </c>
      <c r="J1987" s="2">
        <v>44019.679386574076</v>
      </c>
    </row>
    <row r="1988" spans="1:10" ht="12.75" customHeight="1" x14ac:dyDescent="0.3">
      <c r="A1988">
        <v>1236183</v>
      </c>
      <c r="B1988" t="s">
        <v>70</v>
      </c>
      <c r="C1988" t="s">
        <v>4287</v>
      </c>
      <c r="D1988" t="s">
        <v>4288</v>
      </c>
      <c r="E1988" s="1" t="s">
        <v>4289</v>
      </c>
      <c r="F1988">
        <f>VLOOKUP(A1988,Classifications!$A:$E,5,FALSE)</f>
        <v>1</v>
      </c>
      <c r="G1988">
        <f>VLOOKUP(A1988,Classifications!$A:$F,6,FALSE)</f>
        <v>1</v>
      </c>
      <c r="H1988">
        <f>VLOOKUP(A1988,Classifications!$A:$G,7,FALSE)</f>
        <v>41</v>
      </c>
      <c r="I1988" t="s">
        <v>11</v>
      </c>
      <c r="J1988" s="2">
        <v>44019.35597222222</v>
      </c>
    </row>
    <row r="1989" spans="1:10" ht="12.75" customHeight="1" x14ac:dyDescent="0.3">
      <c r="A1989">
        <v>1234919</v>
      </c>
      <c r="B1989" t="s">
        <v>25</v>
      </c>
      <c r="C1989" t="s">
        <v>26</v>
      </c>
      <c r="D1989" t="s">
        <v>4290</v>
      </c>
      <c r="E1989" s="1" t="s">
        <v>4291</v>
      </c>
      <c r="F1989">
        <f>VLOOKUP(A1989,Classifications!$A:$E,5,FALSE)</f>
        <v>3</v>
      </c>
      <c r="G1989">
        <f>VLOOKUP(A1989,Classifications!$A:$F,6,FALSE)</f>
        <v>2</v>
      </c>
      <c r="H1989">
        <f>VLOOKUP(A1989,Classifications!$A:$G,7,FALSE)</f>
        <v>41</v>
      </c>
      <c r="I1989" t="s">
        <v>11</v>
      </c>
      <c r="J1989" s="2">
        <v>44016.39366898148</v>
      </c>
    </row>
    <row r="1990" spans="1:10" ht="12.75" customHeight="1" x14ac:dyDescent="0.3">
      <c r="A1990">
        <v>1234551</v>
      </c>
      <c r="B1990" t="s">
        <v>446</v>
      </c>
      <c r="C1990" t="s">
        <v>4105</v>
      </c>
      <c r="D1990" t="s">
        <v>4292</v>
      </c>
      <c r="E1990" s="1" t="s">
        <v>4293</v>
      </c>
      <c r="F1990">
        <f>VLOOKUP(A1990,Classifications!$A:$E,5,FALSE)</f>
        <v>2</v>
      </c>
      <c r="G1990">
        <f>VLOOKUP(A1990,Classifications!$A:$F,6,FALSE)</f>
        <v>2</v>
      </c>
      <c r="H1990">
        <f>VLOOKUP(A1990,Classifications!$A:$G,7,FALSE)</f>
        <v>43</v>
      </c>
      <c r="I1990" t="s">
        <v>11</v>
      </c>
      <c r="J1990" s="2">
        <v>44015.431909722225</v>
      </c>
    </row>
    <row r="1991" spans="1:10" ht="12.75" customHeight="1" x14ac:dyDescent="0.3">
      <c r="A1991">
        <v>1234535</v>
      </c>
      <c r="B1991" t="s">
        <v>91</v>
      </c>
      <c r="C1991" t="s">
        <v>305</v>
      </c>
      <c r="D1991" t="s">
        <v>4294</v>
      </c>
      <c r="E1991" s="1" t="s">
        <v>4295</v>
      </c>
      <c r="F1991">
        <f>VLOOKUP(A1991,Classifications!$A:$E,5,FALSE)</f>
        <v>3</v>
      </c>
      <c r="G1991">
        <f>VLOOKUP(A1991,Classifications!$A:$F,6,FALSE)</f>
        <v>2</v>
      </c>
      <c r="H1991">
        <f>VLOOKUP(A1991,Classifications!$A:$G,7,FALSE)</f>
        <v>41</v>
      </c>
      <c r="I1991" t="s">
        <v>11</v>
      </c>
      <c r="J1991" s="2">
        <v>44015.417453703703</v>
      </c>
    </row>
    <row r="1992" spans="1:10" ht="12.75" customHeight="1" x14ac:dyDescent="0.3">
      <c r="A1992">
        <v>1234138</v>
      </c>
      <c r="B1992" t="s">
        <v>91</v>
      </c>
      <c r="C1992" t="s">
        <v>305</v>
      </c>
      <c r="D1992" t="s">
        <v>4296</v>
      </c>
      <c r="E1992" s="1" t="s">
        <v>4297</v>
      </c>
      <c r="F1992">
        <f>VLOOKUP(A1992,Classifications!$A:$E,5,FALSE)</f>
        <v>2</v>
      </c>
      <c r="G1992">
        <f>VLOOKUP(A1992,Classifications!$A:$F,6,FALSE)</f>
        <v>3</v>
      </c>
      <c r="H1992">
        <f>VLOOKUP(A1992,Classifications!$A:$G,7,FALSE)</f>
        <v>41</v>
      </c>
      <c r="I1992" t="s">
        <v>11</v>
      </c>
      <c r="J1992" s="2">
        <v>44014.567800925928</v>
      </c>
    </row>
    <row r="1993" spans="1:10" ht="12.75" customHeight="1" x14ac:dyDescent="0.3">
      <c r="A1993">
        <v>1233036</v>
      </c>
      <c r="B1993" t="s">
        <v>277</v>
      </c>
      <c r="C1993" t="s">
        <v>816</v>
      </c>
      <c r="D1993" t="s">
        <v>4298</v>
      </c>
      <c r="E1993" s="1" t="s">
        <v>4299</v>
      </c>
      <c r="F1993">
        <f>VLOOKUP(A1993,Classifications!$A:$E,5,FALSE)</f>
        <v>2</v>
      </c>
      <c r="G1993">
        <f>VLOOKUP(A1993,Classifications!$A:$F,6,FALSE)</f>
        <v>2</v>
      </c>
      <c r="H1993">
        <f>VLOOKUP(A1993,Classifications!$A:$G,7,FALSE)</f>
        <v>41</v>
      </c>
      <c r="I1993" t="s">
        <v>11</v>
      </c>
      <c r="J1993" s="2">
        <v>44012.393900462965</v>
      </c>
    </row>
    <row r="1994" spans="1:10" ht="12.75" customHeight="1" x14ac:dyDescent="0.3">
      <c r="A1994">
        <v>1232597</v>
      </c>
      <c r="B1994" t="s">
        <v>12</v>
      </c>
      <c r="C1994" t="s">
        <v>338</v>
      </c>
      <c r="D1994" t="s">
        <v>4300</v>
      </c>
      <c r="E1994" s="1" t="s">
        <v>4301</v>
      </c>
      <c r="F1994">
        <f>VLOOKUP(A1994,Classifications!$A:$E,5,FALSE)</f>
        <v>2</v>
      </c>
      <c r="G1994">
        <f>VLOOKUP(A1994,Classifications!$A:$F,6,FALSE)</f>
        <v>2</v>
      </c>
      <c r="H1994">
        <f>VLOOKUP(A1994,Classifications!$A:$G,7,FALSE)</f>
        <v>41</v>
      </c>
      <c r="I1994" t="s">
        <v>11</v>
      </c>
      <c r="J1994" s="2">
        <v>44011.468854166669</v>
      </c>
    </row>
    <row r="1995" spans="1:10" ht="12.75" customHeight="1" x14ac:dyDescent="0.3">
      <c r="A1995">
        <v>1232503</v>
      </c>
      <c r="B1995" t="s">
        <v>1013</v>
      </c>
      <c r="C1995" t="s">
        <v>1014</v>
      </c>
      <c r="D1995" t="s">
        <v>4302</v>
      </c>
      <c r="E1995" s="1" t="s">
        <v>4303</v>
      </c>
      <c r="F1995">
        <f>VLOOKUP(A1995,Classifications!$A:$E,5,FALSE)</f>
        <v>2</v>
      </c>
      <c r="G1995">
        <f>VLOOKUP(A1995,Classifications!$A:$F,6,FALSE)</f>
        <v>2</v>
      </c>
      <c r="H1995">
        <f>VLOOKUP(A1995,Classifications!$A:$G,7,FALSE)</f>
        <v>43</v>
      </c>
      <c r="I1995" t="s">
        <v>11</v>
      </c>
      <c r="J1995" s="2">
        <v>44011.384293981479</v>
      </c>
    </row>
    <row r="1996" spans="1:10" ht="12.75" customHeight="1" x14ac:dyDescent="0.3">
      <c r="A1996">
        <v>1226843</v>
      </c>
      <c r="B1996" t="s">
        <v>4304</v>
      </c>
      <c r="C1996" t="s">
        <v>4305</v>
      </c>
      <c r="D1996" t="s">
        <v>4306</v>
      </c>
      <c r="E1996" s="1" t="s">
        <v>4307</v>
      </c>
      <c r="F1996">
        <f>VLOOKUP(A1996,Classifications!$A:$E,5,FALSE)</f>
        <v>2</v>
      </c>
      <c r="G1996">
        <f>VLOOKUP(A1996,Classifications!$A:$F,6,FALSE)</f>
        <v>2</v>
      </c>
      <c r="H1996">
        <f>VLOOKUP(A1996,Classifications!$A:$G,7,FALSE)</f>
        <v>43</v>
      </c>
      <c r="I1996" t="s">
        <v>24</v>
      </c>
      <c r="J1996" s="2">
        <v>43998.480775462966</v>
      </c>
    </row>
    <row r="1997" spans="1:10" ht="12.75" customHeight="1" x14ac:dyDescent="0.3">
      <c r="A1997">
        <v>1225170</v>
      </c>
      <c r="B1997" t="s">
        <v>53</v>
      </c>
      <c r="C1997" t="s">
        <v>54</v>
      </c>
      <c r="D1997" t="s">
        <v>4308</v>
      </c>
      <c r="E1997" s="1" t="s">
        <v>4309</v>
      </c>
      <c r="F1997">
        <f>VLOOKUP(A1997,Classifications!$A:$E,5,FALSE)</f>
        <v>2</v>
      </c>
      <c r="G1997">
        <f>VLOOKUP(A1997,Classifications!$A:$F,6,FALSE)</f>
        <v>2</v>
      </c>
      <c r="H1997">
        <f>VLOOKUP(A1997,Classifications!$A:$G,7,FALSE)</f>
        <v>41</v>
      </c>
      <c r="I1997" t="s">
        <v>11</v>
      </c>
      <c r="J1997" s="2">
        <v>43994.466608796298</v>
      </c>
    </row>
    <row r="1998" spans="1:10" ht="12.75" customHeight="1" x14ac:dyDescent="0.3">
      <c r="A1998">
        <v>1209148</v>
      </c>
      <c r="B1998" t="s">
        <v>70</v>
      </c>
      <c r="C1998" t="s">
        <v>369</v>
      </c>
      <c r="D1998" t="s">
        <v>4310</v>
      </c>
      <c r="E1998" s="1" t="s">
        <v>4311</v>
      </c>
      <c r="F1998">
        <f>VLOOKUP(A1998,Classifications!$A:$E,5,FALSE)</f>
        <v>3</v>
      </c>
      <c r="G1998">
        <f>VLOOKUP(A1998,Classifications!$A:$F,6,FALSE)</f>
        <v>3</v>
      </c>
      <c r="H1998">
        <f>VLOOKUP(A1998,Classifications!$A:$G,7,FALSE)</f>
        <v>41</v>
      </c>
      <c r="I1998" t="s">
        <v>11</v>
      </c>
      <c r="J1998" s="2">
        <v>43962.282118055555</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DC1D25-5224-410F-89D2-3D116E1CB1CF}">
  <dimension ref="A1:G1998"/>
  <sheetViews>
    <sheetView workbookViewId="0"/>
  </sheetViews>
  <sheetFormatPr defaultRowHeight="15" customHeight="1" x14ac:dyDescent="0.3"/>
  <cols>
    <col min="1" max="1" width="9.33203125" bestFit="1" customWidth="1"/>
    <col min="2" max="2" width="44.6640625" bestFit="1" customWidth="1"/>
    <col min="3" max="3" width="34" bestFit="1" customWidth="1"/>
    <col min="4" max="4" width="97.33203125" bestFit="1" customWidth="1"/>
    <col min="5" max="5" width="255.6640625" bestFit="1" customWidth="1"/>
    <col min="6" max="6" width="15.5546875" bestFit="1" customWidth="1"/>
    <col min="7" max="7" width="15.88671875" bestFit="1" customWidth="1"/>
  </cols>
  <sheetData>
    <row r="1" spans="1:7" ht="15" customHeight="1" x14ac:dyDescent="0.3">
      <c r="A1" t="s">
        <v>0</v>
      </c>
      <c r="B1" t="s">
        <v>1</v>
      </c>
      <c r="C1" t="s">
        <v>2</v>
      </c>
      <c r="D1" t="s">
        <v>3</v>
      </c>
      <c r="E1" t="s">
        <v>4</v>
      </c>
      <c r="F1" t="s">
        <v>5</v>
      </c>
      <c r="G1" t="s">
        <v>6</v>
      </c>
    </row>
    <row r="2" spans="1:7" ht="15" customHeight="1" x14ac:dyDescent="0.3">
      <c r="A2">
        <v>1367437</v>
      </c>
      <c r="B2" t="s">
        <v>7</v>
      </c>
      <c r="C2" t="s">
        <v>8</v>
      </c>
      <c r="D2" t="s">
        <v>9</v>
      </c>
      <c r="E2" s="1" t="s">
        <v>10</v>
      </c>
      <c r="F2" t="s">
        <v>11</v>
      </c>
      <c r="G2" s="2">
        <v>44249.338310185187</v>
      </c>
    </row>
    <row r="3" spans="1:7" ht="15" customHeight="1" x14ac:dyDescent="0.3">
      <c r="A3">
        <v>1367056</v>
      </c>
      <c r="B3" t="s">
        <v>12</v>
      </c>
      <c r="C3" t="s">
        <v>13</v>
      </c>
      <c r="D3" t="s">
        <v>14</v>
      </c>
      <c r="E3" s="1" t="s">
        <v>15</v>
      </c>
      <c r="F3" t="s">
        <v>11</v>
      </c>
      <c r="G3" s="2">
        <v>44248.442199074074</v>
      </c>
    </row>
    <row r="4" spans="1:7" ht="15" customHeight="1" x14ac:dyDescent="0.3">
      <c r="A4">
        <v>1366390</v>
      </c>
      <c r="B4" t="s">
        <v>16</v>
      </c>
      <c r="C4" t="s">
        <v>17</v>
      </c>
      <c r="D4" t="s">
        <v>18</v>
      </c>
      <c r="E4" s="1" t="s">
        <v>19</v>
      </c>
      <c r="F4" t="s">
        <v>11</v>
      </c>
      <c r="G4" s="2">
        <v>44246.899259259262</v>
      </c>
    </row>
    <row r="5" spans="1:7" ht="15" customHeight="1" x14ac:dyDescent="0.3">
      <c r="A5">
        <v>1366274</v>
      </c>
      <c r="B5" t="s">
        <v>20</v>
      </c>
      <c r="C5" t="s">
        <v>21</v>
      </c>
      <c r="D5" t="s">
        <v>22</v>
      </c>
      <c r="E5" s="1" t="s">
        <v>23</v>
      </c>
      <c r="F5" t="s">
        <v>24</v>
      </c>
      <c r="G5" s="2">
        <v>44246.7340625</v>
      </c>
    </row>
    <row r="6" spans="1:7" ht="15" customHeight="1" x14ac:dyDescent="0.3">
      <c r="A6">
        <v>1366248</v>
      </c>
      <c r="B6" t="s">
        <v>25</v>
      </c>
      <c r="C6" t="s">
        <v>26</v>
      </c>
      <c r="D6" t="s">
        <v>27</v>
      </c>
      <c r="E6" s="1" t="s">
        <v>28</v>
      </c>
      <c r="F6" t="s">
        <v>11</v>
      </c>
      <c r="G6" s="2">
        <v>44246.691631944443</v>
      </c>
    </row>
    <row r="7" spans="1:7" ht="15" customHeight="1" x14ac:dyDescent="0.3">
      <c r="A7">
        <v>1366241</v>
      </c>
      <c r="B7" t="s">
        <v>16</v>
      </c>
      <c r="C7" t="s">
        <v>29</v>
      </c>
      <c r="D7" t="s">
        <v>30</v>
      </c>
      <c r="E7" s="1" t="s">
        <v>31</v>
      </c>
      <c r="F7" t="s">
        <v>11</v>
      </c>
      <c r="G7" s="2">
        <v>44246.666527777779</v>
      </c>
    </row>
    <row r="8" spans="1:7" ht="15" customHeight="1" x14ac:dyDescent="0.3">
      <c r="A8">
        <v>1366222</v>
      </c>
      <c r="B8" t="s">
        <v>32</v>
      </c>
      <c r="C8" t="s">
        <v>33</v>
      </c>
      <c r="D8" t="s">
        <v>34</v>
      </c>
      <c r="E8" s="1" t="s">
        <v>35</v>
      </c>
      <c r="F8" t="s">
        <v>11</v>
      </c>
      <c r="G8" s="2">
        <v>44246.60528935185</v>
      </c>
    </row>
    <row r="9" spans="1:7" ht="15" customHeight="1" x14ac:dyDescent="0.3">
      <c r="A9">
        <v>1366198</v>
      </c>
      <c r="B9" t="s">
        <v>36</v>
      </c>
      <c r="C9" t="s">
        <v>37</v>
      </c>
      <c r="D9" t="s">
        <v>38</v>
      </c>
      <c r="E9" s="1" t="s">
        <v>39</v>
      </c>
      <c r="F9" t="s">
        <v>11</v>
      </c>
      <c r="G9" s="2">
        <v>44246.533715277779</v>
      </c>
    </row>
    <row r="10" spans="1:7" ht="15" customHeight="1" x14ac:dyDescent="0.3">
      <c r="A10">
        <v>1366182</v>
      </c>
      <c r="B10" t="s">
        <v>7</v>
      </c>
      <c r="C10" t="s">
        <v>40</v>
      </c>
      <c r="D10" t="s">
        <v>41</v>
      </c>
      <c r="E10" s="1" t="s">
        <v>42</v>
      </c>
      <c r="F10" t="s">
        <v>24</v>
      </c>
      <c r="G10" s="2">
        <v>44246.486701388887</v>
      </c>
    </row>
    <row r="11" spans="1:7" ht="15" customHeight="1" x14ac:dyDescent="0.3">
      <c r="A11">
        <v>1366178</v>
      </c>
      <c r="B11" t="s">
        <v>7</v>
      </c>
      <c r="C11" t="s">
        <v>40</v>
      </c>
      <c r="D11" t="s">
        <v>43</v>
      </c>
      <c r="E11" s="1" t="s">
        <v>44</v>
      </c>
      <c r="F11" t="s">
        <v>24</v>
      </c>
      <c r="G11" s="2">
        <v>44246.477488425924</v>
      </c>
    </row>
    <row r="12" spans="1:7" ht="15" customHeight="1" x14ac:dyDescent="0.3">
      <c r="A12">
        <v>1366172</v>
      </c>
      <c r="B12" t="s">
        <v>45</v>
      </c>
      <c r="C12" t="s">
        <v>46</v>
      </c>
      <c r="D12" t="s">
        <v>47</v>
      </c>
      <c r="E12" s="1" t="s">
        <v>48</v>
      </c>
      <c r="F12" t="s">
        <v>11</v>
      </c>
      <c r="G12" s="2">
        <v>44246.46398148148</v>
      </c>
    </row>
    <row r="13" spans="1:7" ht="15" customHeight="1" x14ac:dyDescent="0.3">
      <c r="A13">
        <v>1366166</v>
      </c>
      <c r="B13" t="s">
        <v>49</v>
      </c>
      <c r="C13" t="s">
        <v>50</v>
      </c>
      <c r="D13" t="s">
        <v>51</v>
      </c>
      <c r="E13" s="1" t="s">
        <v>52</v>
      </c>
      <c r="F13" t="s">
        <v>11</v>
      </c>
      <c r="G13" s="2">
        <v>44246.450879629629</v>
      </c>
    </row>
    <row r="14" spans="1:7" ht="15" customHeight="1" x14ac:dyDescent="0.3">
      <c r="A14">
        <v>1366148</v>
      </c>
      <c r="B14" t="s">
        <v>53</v>
      </c>
      <c r="C14" t="s">
        <v>54</v>
      </c>
      <c r="D14" t="s">
        <v>55</v>
      </c>
      <c r="E14" s="1" t="s">
        <v>56</v>
      </c>
      <c r="F14" t="s">
        <v>11</v>
      </c>
      <c r="G14" s="2">
        <v>44246.425081018519</v>
      </c>
    </row>
    <row r="15" spans="1:7" ht="15" customHeight="1" x14ac:dyDescent="0.3">
      <c r="A15">
        <v>1366144</v>
      </c>
      <c r="B15" t="s">
        <v>20</v>
      </c>
      <c r="C15" t="s">
        <v>57</v>
      </c>
      <c r="D15" t="s">
        <v>58</v>
      </c>
      <c r="E15" s="1" t="s">
        <v>59</v>
      </c>
      <c r="F15" t="s">
        <v>11</v>
      </c>
      <c r="G15" s="2">
        <v>44246.420613425929</v>
      </c>
    </row>
    <row r="16" spans="1:7" ht="15" customHeight="1" x14ac:dyDescent="0.3">
      <c r="A16">
        <v>1366141</v>
      </c>
      <c r="B16" t="s">
        <v>53</v>
      </c>
      <c r="C16" t="s">
        <v>60</v>
      </c>
      <c r="D16" t="s">
        <v>61</v>
      </c>
      <c r="E16" s="1" t="s">
        <v>62</v>
      </c>
      <c r="F16" t="s">
        <v>11</v>
      </c>
      <c r="G16" s="2">
        <v>44246.419756944444</v>
      </c>
    </row>
    <row r="17" spans="1:7" ht="15" customHeight="1" x14ac:dyDescent="0.3">
      <c r="A17">
        <v>1366114</v>
      </c>
      <c r="B17" t="s">
        <v>63</v>
      </c>
      <c r="C17" t="s">
        <v>64</v>
      </c>
      <c r="D17" t="s">
        <v>65</v>
      </c>
      <c r="E17" s="1" t="s">
        <v>66</v>
      </c>
      <c r="F17" t="s">
        <v>11</v>
      </c>
      <c r="G17" s="2">
        <v>44246.413946759261</v>
      </c>
    </row>
    <row r="18" spans="1:7" ht="15" customHeight="1" x14ac:dyDescent="0.3">
      <c r="A18">
        <v>1366110</v>
      </c>
      <c r="B18" t="s">
        <v>36</v>
      </c>
      <c r="C18" t="s">
        <v>67</v>
      </c>
      <c r="D18" t="s">
        <v>68</v>
      </c>
      <c r="E18" s="1" t="s">
        <v>69</v>
      </c>
      <c r="F18" t="s">
        <v>24</v>
      </c>
      <c r="G18" s="2">
        <v>44246.409270833334</v>
      </c>
    </row>
    <row r="19" spans="1:7" ht="15" customHeight="1" x14ac:dyDescent="0.3">
      <c r="A19">
        <v>1366086</v>
      </c>
      <c r="B19" t="s">
        <v>70</v>
      </c>
      <c r="C19" t="s">
        <v>71</v>
      </c>
      <c r="D19" t="s">
        <v>72</v>
      </c>
      <c r="E19" s="1" t="s">
        <v>73</v>
      </c>
      <c r="F19" t="s">
        <v>11</v>
      </c>
      <c r="G19" s="2">
        <v>44246.365162037036</v>
      </c>
    </row>
    <row r="20" spans="1:7" ht="15" customHeight="1" x14ac:dyDescent="0.3">
      <c r="A20">
        <v>1366078</v>
      </c>
      <c r="B20" t="s">
        <v>74</v>
      </c>
      <c r="C20" t="s">
        <v>75</v>
      </c>
      <c r="D20" t="s">
        <v>76</v>
      </c>
      <c r="E20" s="1" t="s">
        <v>77</v>
      </c>
      <c r="F20" t="s">
        <v>11</v>
      </c>
      <c r="G20" s="2">
        <v>44246.347696759258</v>
      </c>
    </row>
    <row r="21" spans="1:7" ht="15" customHeight="1" x14ac:dyDescent="0.3">
      <c r="A21">
        <v>1365764</v>
      </c>
      <c r="B21" t="s">
        <v>20</v>
      </c>
      <c r="C21" t="s">
        <v>78</v>
      </c>
      <c r="D21" t="s">
        <v>79</v>
      </c>
      <c r="E21" s="1" t="s">
        <v>80</v>
      </c>
      <c r="F21" t="s">
        <v>24</v>
      </c>
      <c r="G21" s="2">
        <v>44245.764317129629</v>
      </c>
    </row>
    <row r="22" spans="1:7" ht="15" customHeight="1" x14ac:dyDescent="0.3">
      <c r="A22">
        <v>1365703</v>
      </c>
      <c r="B22" t="s">
        <v>20</v>
      </c>
      <c r="C22" t="s">
        <v>81</v>
      </c>
      <c r="D22" t="s">
        <v>82</v>
      </c>
      <c r="E22" s="1" t="s">
        <v>83</v>
      </c>
      <c r="F22" t="s">
        <v>24</v>
      </c>
      <c r="G22" s="2">
        <v>44245.676412037035</v>
      </c>
    </row>
    <row r="23" spans="1:7" ht="15" customHeight="1" x14ac:dyDescent="0.3">
      <c r="A23">
        <v>1365694</v>
      </c>
      <c r="B23" t="s">
        <v>20</v>
      </c>
      <c r="C23" t="s">
        <v>84</v>
      </c>
      <c r="D23" t="s">
        <v>85</v>
      </c>
      <c r="E23" s="1" t="s">
        <v>86</v>
      </c>
      <c r="F23" t="s">
        <v>11</v>
      </c>
      <c r="G23" s="2">
        <v>44245.655335648145</v>
      </c>
    </row>
    <row r="24" spans="1:7" ht="15" customHeight="1" x14ac:dyDescent="0.3">
      <c r="A24">
        <v>1365690</v>
      </c>
      <c r="B24" t="s">
        <v>87</v>
      </c>
      <c r="C24" t="s">
        <v>88</v>
      </c>
      <c r="D24" t="s">
        <v>89</v>
      </c>
      <c r="E24" s="1" t="s">
        <v>90</v>
      </c>
      <c r="F24" t="s">
        <v>11</v>
      </c>
      <c r="G24" s="2">
        <v>44245.647129629629</v>
      </c>
    </row>
    <row r="25" spans="1:7" ht="15" customHeight="1" x14ac:dyDescent="0.3">
      <c r="A25">
        <v>1365682</v>
      </c>
      <c r="B25" t="s">
        <v>91</v>
      </c>
      <c r="C25" t="s">
        <v>92</v>
      </c>
      <c r="D25" t="s">
        <v>93</v>
      </c>
      <c r="E25" s="1" t="s">
        <v>94</v>
      </c>
      <c r="F25" t="s">
        <v>24</v>
      </c>
      <c r="G25" s="2">
        <v>44245.627638888887</v>
      </c>
    </row>
    <row r="26" spans="1:7" ht="15" customHeight="1" x14ac:dyDescent="0.3">
      <c r="A26">
        <v>1365678</v>
      </c>
      <c r="B26" t="s">
        <v>95</v>
      </c>
      <c r="C26" t="s">
        <v>96</v>
      </c>
      <c r="D26" t="s">
        <v>97</v>
      </c>
      <c r="E26" s="1" t="s">
        <v>98</v>
      </c>
      <c r="F26" t="s">
        <v>24</v>
      </c>
      <c r="G26" s="2">
        <v>44245.617418981485</v>
      </c>
    </row>
    <row r="27" spans="1:7" ht="15" customHeight="1" x14ac:dyDescent="0.3">
      <c r="A27">
        <v>1365673</v>
      </c>
      <c r="B27" t="s">
        <v>20</v>
      </c>
      <c r="C27" t="s">
        <v>78</v>
      </c>
      <c r="D27" t="s">
        <v>99</v>
      </c>
      <c r="E27" s="1" t="s">
        <v>100</v>
      </c>
      <c r="F27" t="s">
        <v>24</v>
      </c>
      <c r="G27" s="2">
        <v>44245.604618055557</v>
      </c>
    </row>
    <row r="28" spans="1:7" ht="15" customHeight="1" x14ac:dyDescent="0.3">
      <c r="A28">
        <v>1365666</v>
      </c>
      <c r="B28" t="s">
        <v>20</v>
      </c>
      <c r="C28" t="s">
        <v>101</v>
      </c>
      <c r="D28" t="s">
        <v>102</v>
      </c>
      <c r="E28" s="1" t="s">
        <v>103</v>
      </c>
      <c r="F28" t="s">
        <v>24</v>
      </c>
      <c r="G28" s="2">
        <v>44245.586608796293</v>
      </c>
    </row>
    <row r="29" spans="1:7" ht="15" customHeight="1" x14ac:dyDescent="0.3">
      <c r="A29">
        <v>1365653</v>
      </c>
      <c r="B29" t="s">
        <v>53</v>
      </c>
      <c r="C29" t="s">
        <v>104</v>
      </c>
      <c r="D29" t="s">
        <v>105</v>
      </c>
      <c r="E29" s="1" t="s">
        <v>106</v>
      </c>
      <c r="F29" t="s">
        <v>24</v>
      </c>
      <c r="G29" s="2">
        <v>44245.553067129629</v>
      </c>
    </row>
    <row r="30" spans="1:7" ht="15" customHeight="1" x14ac:dyDescent="0.3">
      <c r="A30">
        <v>1365640</v>
      </c>
      <c r="B30" t="s">
        <v>7</v>
      </c>
      <c r="C30" t="s">
        <v>107</v>
      </c>
      <c r="D30" t="s">
        <v>108</v>
      </c>
      <c r="E30" s="1" t="s">
        <v>109</v>
      </c>
      <c r="F30" t="s">
        <v>11</v>
      </c>
      <c r="G30" s="2">
        <v>44245.507523148146</v>
      </c>
    </row>
    <row r="31" spans="1:7" ht="15" customHeight="1" x14ac:dyDescent="0.3">
      <c r="A31">
        <v>1365636</v>
      </c>
      <c r="B31" t="s">
        <v>20</v>
      </c>
      <c r="C31" t="s">
        <v>84</v>
      </c>
      <c r="D31" t="s">
        <v>110</v>
      </c>
      <c r="E31" s="1" t="s">
        <v>111</v>
      </c>
      <c r="F31" t="s">
        <v>11</v>
      </c>
      <c r="G31" s="2">
        <v>44245.497719907406</v>
      </c>
    </row>
    <row r="32" spans="1:7" ht="15" customHeight="1" x14ac:dyDescent="0.3">
      <c r="A32">
        <v>1365632</v>
      </c>
      <c r="B32" t="s">
        <v>45</v>
      </c>
      <c r="C32" t="s">
        <v>112</v>
      </c>
      <c r="D32" t="s">
        <v>113</v>
      </c>
      <c r="E32" s="1" t="s">
        <v>114</v>
      </c>
      <c r="F32" t="s">
        <v>11</v>
      </c>
      <c r="G32" s="2">
        <v>44245.489490740743</v>
      </c>
    </row>
    <row r="33" spans="1:7" ht="15" customHeight="1" x14ac:dyDescent="0.3">
      <c r="A33">
        <v>1365622</v>
      </c>
      <c r="B33" t="s">
        <v>32</v>
      </c>
      <c r="C33" t="s">
        <v>115</v>
      </c>
      <c r="D33" t="s">
        <v>116</v>
      </c>
      <c r="E33" s="1" t="s">
        <v>117</v>
      </c>
      <c r="F33" t="s">
        <v>11</v>
      </c>
      <c r="G33" s="2">
        <v>44245.453912037039</v>
      </c>
    </row>
    <row r="34" spans="1:7" ht="15" customHeight="1" x14ac:dyDescent="0.3">
      <c r="A34">
        <v>1365557</v>
      </c>
      <c r="B34" t="s">
        <v>118</v>
      </c>
      <c r="C34" t="s">
        <v>119</v>
      </c>
      <c r="D34" t="s">
        <v>120</v>
      </c>
      <c r="E34" s="1" t="s">
        <v>121</v>
      </c>
      <c r="F34" t="s">
        <v>11</v>
      </c>
      <c r="G34" s="2">
        <v>44245.395451388889</v>
      </c>
    </row>
    <row r="35" spans="1:7" ht="15" customHeight="1" x14ac:dyDescent="0.3">
      <c r="A35">
        <v>1365554</v>
      </c>
      <c r="B35" t="s">
        <v>20</v>
      </c>
      <c r="C35" t="s">
        <v>78</v>
      </c>
      <c r="D35" t="s">
        <v>122</v>
      </c>
      <c r="E35" s="1" t="s">
        <v>123</v>
      </c>
      <c r="F35" t="s">
        <v>24</v>
      </c>
      <c r="G35" s="2">
        <v>44245.391469907408</v>
      </c>
    </row>
    <row r="36" spans="1:7" ht="15" customHeight="1" x14ac:dyDescent="0.3">
      <c r="A36">
        <v>1365552</v>
      </c>
      <c r="B36" t="s">
        <v>36</v>
      </c>
      <c r="C36" t="s">
        <v>124</v>
      </c>
      <c r="D36" t="s">
        <v>125</v>
      </c>
      <c r="E36" s="1" t="s">
        <v>126</v>
      </c>
      <c r="F36" t="s">
        <v>11</v>
      </c>
      <c r="G36" s="2">
        <v>44245.388391203705</v>
      </c>
    </row>
    <row r="37" spans="1:7" ht="15" customHeight="1" x14ac:dyDescent="0.3">
      <c r="A37">
        <v>1365550</v>
      </c>
      <c r="B37" t="s">
        <v>20</v>
      </c>
      <c r="C37" t="s">
        <v>78</v>
      </c>
      <c r="D37" t="s">
        <v>127</v>
      </c>
      <c r="E37" s="1" t="s">
        <v>128</v>
      </c>
      <c r="F37" t="s">
        <v>24</v>
      </c>
      <c r="G37" s="2">
        <v>44245.387141203704</v>
      </c>
    </row>
    <row r="38" spans="1:7" ht="15" customHeight="1" x14ac:dyDescent="0.3">
      <c r="A38">
        <v>1365540</v>
      </c>
      <c r="B38" t="s">
        <v>95</v>
      </c>
      <c r="C38" t="s">
        <v>129</v>
      </c>
      <c r="D38" t="s">
        <v>130</v>
      </c>
      <c r="E38" s="1" t="s">
        <v>131</v>
      </c>
      <c r="F38" t="s">
        <v>11</v>
      </c>
      <c r="G38" s="2">
        <v>44245.350856481484</v>
      </c>
    </row>
    <row r="39" spans="1:7" ht="15" customHeight="1" x14ac:dyDescent="0.3">
      <c r="A39">
        <v>1365110</v>
      </c>
      <c r="B39" t="s">
        <v>132</v>
      </c>
      <c r="C39" t="s">
        <v>133</v>
      </c>
      <c r="D39" t="s">
        <v>134</v>
      </c>
      <c r="E39" s="1" t="s">
        <v>135</v>
      </c>
      <c r="F39" t="s">
        <v>24</v>
      </c>
      <c r="G39" s="2">
        <v>44244.574895833335</v>
      </c>
    </row>
    <row r="40" spans="1:7" ht="15" customHeight="1" x14ac:dyDescent="0.3">
      <c r="A40">
        <v>1365101</v>
      </c>
      <c r="B40" t="s">
        <v>20</v>
      </c>
      <c r="C40" t="s">
        <v>136</v>
      </c>
      <c r="D40" t="s">
        <v>137</v>
      </c>
      <c r="E40" s="1" t="s">
        <v>138</v>
      </c>
      <c r="F40" t="s">
        <v>11</v>
      </c>
      <c r="G40" s="2">
        <v>44244.561539351853</v>
      </c>
    </row>
    <row r="41" spans="1:7" ht="15" customHeight="1" x14ac:dyDescent="0.3">
      <c r="A41">
        <v>1365073</v>
      </c>
      <c r="B41" t="s">
        <v>139</v>
      </c>
      <c r="C41" t="s">
        <v>140</v>
      </c>
      <c r="D41" t="s">
        <v>141</v>
      </c>
      <c r="E41" s="1" t="s">
        <v>142</v>
      </c>
      <c r="F41" t="s">
        <v>24</v>
      </c>
      <c r="G41" s="2">
        <v>44244.502060185187</v>
      </c>
    </row>
    <row r="42" spans="1:7" ht="15" customHeight="1" x14ac:dyDescent="0.3">
      <c r="A42">
        <v>1365065</v>
      </c>
      <c r="B42" t="s">
        <v>70</v>
      </c>
      <c r="C42" t="s">
        <v>143</v>
      </c>
      <c r="D42" t="s">
        <v>144</v>
      </c>
      <c r="E42" s="1" t="s">
        <v>145</v>
      </c>
      <c r="F42" t="s">
        <v>24</v>
      </c>
      <c r="G42" s="2">
        <v>44244.484467592592</v>
      </c>
    </row>
    <row r="43" spans="1:7" ht="15" customHeight="1" x14ac:dyDescent="0.3">
      <c r="A43">
        <v>1365057</v>
      </c>
      <c r="B43" t="s">
        <v>146</v>
      </c>
      <c r="C43" t="s">
        <v>147</v>
      </c>
      <c r="D43" t="s">
        <v>148</v>
      </c>
      <c r="E43" s="1" t="s">
        <v>149</v>
      </c>
      <c r="F43" t="s">
        <v>11</v>
      </c>
      <c r="G43" s="2">
        <v>44244.476875</v>
      </c>
    </row>
    <row r="44" spans="1:7" ht="15" customHeight="1" x14ac:dyDescent="0.3">
      <c r="A44">
        <v>1365055</v>
      </c>
      <c r="B44" t="s">
        <v>150</v>
      </c>
      <c r="C44" t="s">
        <v>151</v>
      </c>
      <c r="D44" t="s">
        <v>152</v>
      </c>
      <c r="E44" s="1" t="s">
        <v>153</v>
      </c>
      <c r="F44" t="s">
        <v>24</v>
      </c>
      <c r="G44" s="2">
        <v>44244.473310185182</v>
      </c>
    </row>
    <row r="45" spans="1:7" ht="15" customHeight="1" x14ac:dyDescent="0.3">
      <c r="A45">
        <v>1365047</v>
      </c>
      <c r="B45" t="s">
        <v>87</v>
      </c>
      <c r="C45" t="s">
        <v>154</v>
      </c>
      <c r="D45" t="s">
        <v>155</v>
      </c>
      <c r="E45" s="1" t="s">
        <v>156</v>
      </c>
      <c r="F45" t="s">
        <v>11</v>
      </c>
      <c r="G45" s="2">
        <v>44244.456400462965</v>
      </c>
    </row>
    <row r="46" spans="1:7" ht="15" customHeight="1" x14ac:dyDescent="0.3">
      <c r="A46">
        <v>1365044</v>
      </c>
      <c r="B46" t="s">
        <v>157</v>
      </c>
      <c r="C46" t="s">
        <v>158</v>
      </c>
      <c r="D46" t="s">
        <v>159</v>
      </c>
      <c r="E46" s="1" t="s">
        <v>160</v>
      </c>
      <c r="F46" t="s">
        <v>24</v>
      </c>
      <c r="G46" s="2">
        <v>44244.452685185184</v>
      </c>
    </row>
    <row r="47" spans="1:7" ht="15" customHeight="1" x14ac:dyDescent="0.3">
      <c r="A47">
        <v>1364978</v>
      </c>
      <c r="B47" t="s">
        <v>12</v>
      </c>
      <c r="C47" t="s">
        <v>161</v>
      </c>
      <c r="D47" t="s">
        <v>162</v>
      </c>
      <c r="E47" s="1" t="s">
        <v>163</v>
      </c>
      <c r="F47" t="s">
        <v>11</v>
      </c>
      <c r="G47" s="2">
        <v>44244.400590277779</v>
      </c>
    </row>
    <row r="48" spans="1:7" ht="15" customHeight="1" x14ac:dyDescent="0.3">
      <c r="A48">
        <v>1364975</v>
      </c>
      <c r="B48" t="s">
        <v>36</v>
      </c>
      <c r="C48" t="s">
        <v>164</v>
      </c>
      <c r="D48" t="s">
        <v>165</v>
      </c>
      <c r="E48" s="1" t="s">
        <v>166</v>
      </c>
      <c r="F48" t="s">
        <v>24</v>
      </c>
      <c r="G48" s="2">
        <v>44244.398043981484</v>
      </c>
    </row>
    <row r="49" spans="1:7" ht="15" customHeight="1" x14ac:dyDescent="0.3">
      <c r="A49">
        <v>1364961</v>
      </c>
      <c r="B49" t="s">
        <v>36</v>
      </c>
      <c r="C49" t="s">
        <v>124</v>
      </c>
      <c r="D49" t="s">
        <v>167</v>
      </c>
      <c r="E49" s="1" t="s">
        <v>168</v>
      </c>
      <c r="F49" t="s">
        <v>24</v>
      </c>
      <c r="G49" s="2">
        <v>44244.37736111111</v>
      </c>
    </row>
    <row r="50" spans="1:7" ht="15" customHeight="1" x14ac:dyDescent="0.3">
      <c r="A50">
        <v>1364960</v>
      </c>
      <c r="B50" t="s">
        <v>53</v>
      </c>
      <c r="C50" t="s">
        <v>60</v>
      </c>
      <c r="D50" t="s">
        <v>169</v>
      </c>
      <c r="E50" s="1" t="s">
        <v>170</v>
      </c>
      <c r="F50" t="s">
        <v>11</v>
      </c>
      <c r="G50" s="2">
        <v>44244.375509259262</v>
      </c>
    </row>
    <row r="51" spans="1:7" ht="15" customHeight="1" x14ac:dyDescent="0.3">
      <c r="A51">
        <v>1364955</v>
      </c>
      <c r="B51" t="s">
        <v>32</v>
      </c>
      <c r="C51" t="s">
        <v>171</v>
      </c>
      <c r="D51" t="s">
        <v>172</v>
      </c>
      <c r="E51" s="1" t="s">
        <v>173</v>
      </c>
      <c r="F51" t="s">
        <v>11</v>
      </c>
      <c r="G51" s="2">
        <v>44244.365532407406</v>
      </c>
    </row>
    <row r="52" spans="1:7" ht="15" customHeight="1" x14ac:dyDescent="0.3">
      <c r="A52">
        <v>1364931</v>
      </c>
      <c r="B52" t="s">
        <v>32</v>
      </c>
      <c r="C52" t="s">
        <v>174</v>
      </c>
      <c r="D52" t="s">
        <v>175</v>
      </c>
      <c r="E52" s="1" t="s">
        <v>176</v>
      </c>
      <c r="F52" t="s">
        <v>24</v>
      </c>
      <c r="G52" s="2">
        <v>44244.335358796299</v>
      </c>
    </row>
    <row r="53" spans="1:7" ht="15" customHeight="1" x14ac:dyDescent="0.3">
      <c r="A53">
        <v>1364587</v>
      </c>
      <c r="B53" t="s">
        <v>177</v>
      </c>
      <c r="C53" t="s">
        <v>178</v>
      </c>
      <c r="D53" t="s">
        <v>179</v>
      </c>
      <c r="E53" s="1" t="s">
        <v>180</v>
      </c>
      <c r="F53" t="s">
        <v>11</v>
      </c>
      <c r="G53" s="2">
        <v>44243.70516203704</v>
      </c>
    </row>
    <row r="54" spans="1:7" ht="15" customHeight="1" x14ac:dyDescent="0.3">
      <c r="A54">
        <v>1364580</v>
      </c>
      <c r="B54" t="s">
        <v>16</v>
      </c>
      <c r="C54" t="s">
        <v>181</v>
      </c>
      <c r="D54" t="s">
        <v>182</v>
      </c>
      <c r="E54" s="1" t="s">
        <v>183</v>
      </c>
      <c r="F54" t="s">
        <v>24</v>
      </c>
      <c r="G54" s="2">
        <v>44243.683946759258</v>
      </c>
    </row>
    <row r="55" spans="1:7" ht="15" customHeight="1" x14ac:dyDescent="0.3">
      <c r="A55">
        <v>1364540</v>
      </c>
      <c r="B55" t="s">
        <v>184</v>
      </c>
      <c r="C55" t="s">
        <v>185</v>
      </c>
      <c r="D55" t="s">
        <v>186</v>
      </c>
      <c r="E55" t="s">
        <v>187</v>
      </c>
      <c r="F55" t="s">
        <v>188</v>
      </c>
      <c r="G55" s="2">
        <v>44243.61078703704</v>
      </c>
    </row>
    <row r="56" spans="1:7" ht="15" customHeight="1" x14ac:dyDescent="0.3">
      <c r="A56">
        <v>1364535</v>
      </c>
      <c r="B56" t="s">
        <v>53</v>
      </c>
      <c r="C56" t="s">
        <v>158</v>
      </c>
      <c r="D56" t="s">
        <v>189</v>
      </c>
      <c r="E56" s="1" t="s">
        <v>190</v>
      </c>
      <c r="F56" t="s">
        <v>24</v>
      </c>
      <c r="G56" s="2">
        <v>44243.590416666666</v>
      </c>
    </row>
    <row r="57" spans="1:7" ht="15" customHeight="1" x14ac:dyDescent="0.3">
      <c r="A57">
        <v>1364530</v>
      </c>
      <c r="B57" t="s">
        <v>191</v>
      </c>
      <c r="C57" t="s">
        <v>192</v>
      </c>
      <c r="D57" t="s">
        <v>193</v>
      </c>
      <c r="E57" s="1" t="s">
        <v>194</v>
      </c>
      <c r="F57" t="s">
        <v>11</v>
      </c>
      <c r="G57" s="2">
        <v>44243.577673611115</v>
      </c>
    </row>
    <row r="58" spans="1:7" ht="15" customHeight="1" x14ac:dyDescent="0.3">
      <c r="A58">
        <v>1364504</v>
      </c>
      <c r="B58" t="s">
        <v>20</v>
      </c>
      <c r="C58" t="s">
        <v>81</v>
      </c>
      <c r="D58" t="s">
        <v>195</v>
      </c>
      <c r="E58" s="1" t="s">
        <v>196</v>
      </c>
      <c r="F58" t="s">
        <v>24</v>
      </c>
      <c r="G58" s="2">
        <v>44243.554803240739</v>
      </c>
    </row>
    <row r="59" spans="1:7" ht="15" customHeight="1" x14ac:dyDescent="0.3">
      <c r="A59">
        <v>1364436</v>
      </c>
      <c r="B59" t="s">
        <v>118</v>
      </c>
      <c r="C59" t="s">
        <v>197</v>
      </c>
      <c r="D59" t="s">
        <v>198</v>
      </c>
      <c r="E59" t="s">
        <v>199</v>
      </c>
      <c r="F59" t="s">
        <v>24</v>
      </c>
      <c r="G59" s="2">
        <v>44243.448206018518</v>
      </c>
    </row>
    <row r="60" spans="1:7" ht="15" customHeight="1" x14ac:dyDescent="0.3">
      <c r="A60">
        <v>1364433</v>
      </c>
      <c r="B60" t="s">
        <v>118</v>
      </c>
      <c r="C60" t="s">
        <v>200</v>
      </c>
      <c r="D60" t="s">
        <v>201</v>
      </c>
      <c r="E60" s="1" t="s">
        <v>202</v>
      </c>
      <c r="F60" t="s">
        <v>11</v>
      </c>
      <c r="G60" s="2">
        <v>44243.446655092594</v>
      </c>
    </row>
    <row r="61" spans="1:7" ht="15" customHeight="1" x14ac:dyDescent="0.3">
      <c r="A61">
        <v>1364406</v>
      </c>
      <c r="B61" t="s">
        <v>20</v>
      </c>
      <c r="C61" t="s">
        <v>136</v>
      </c>
      <c r="D61" t="s">
        <v>203</v>
      </c>
      <c r="E61" s="1" t="s">
        <v>204</v>
      </c>
      <c r="F61" t="s">
        <v>11</v>
      </c>
      <c r="G61" s="2">
        <v>44243.419664351852</v>
      </c>
    </row>
    <row r="62" spans="1:7" ht="15" customHeight="1" x14ac:dyDescent="0.3">
      <c r="A62">
        <v>1364343</v>
      </c>
      <c r="B62" t="s">
        <v>32</v>
      </c>
      <c r="C62" t="s">
        <v>205</v>
      </c>
      <c r="D62" t="s">
        <v>206</v>
      </c>
      <c r="E62" s="1" t="s">
        <v>207</v>
      </c>
      <c r="F62" t="s">
        <v>11</v>
      </c>
      <c r="G62" s="2">
        <v>44243.413495370369</v>
      </c>
    </row>
    <row r="63" spans="1:7" ht="15" customHeight="1" x14ac:dyDescent="0.3">
      <c r="A63">
        <v>1364299</v>
      </c>
      <c r="B63" t="s">
        <v>20</v>
      </c>
      <c r="C63" t="s">
        <v>208</v>
      </c>
      <c r="D63" t="s">
        <v>209</v>
      </c>
      <c r="E63" s="1" t="s">
        <v>210</v>
      </c>
      <c r="F63" t="s">
        <v>24</v>
      </c>
      <c r="G63" s="2">
        <v>44243.394085648149</v>
      </c>
    </row>
    <row r="64" spans="1:7" ht="15" customHeight="1" x14ac:dyDescent="0.3">
      <c r="A64">
        <v>1364291</v>
      </c>
      <c r="B64" t="s">
        <v>32</v>
      </c>
      <c r="C64" t="s">
        <v>211</v>
      </c>
      <c r="D64" t="s">
        <v>212</v>
      </c>
      <c r="E64" s="1" t="s">
        <v>213</v>
      </c>
      <c r="F64" t="s">
        <v>11</v>
      </c>
      <c r="G64" s="2">
        <v>44243.386956018519</v>
      </c>
    </row>
    <row r="65" spans="1:7" ht="15" customHeight="1" x14ac:dyDescent="0.3">
      <c r="A65">
        <v>1364283</v>
      </c>
      <c r="B65" t="s">
        <v>214</v>
      </c>
      <c r="C65" t="s">
        <v>215</v>
      </c>
      <c r="D65" t="s">
        <v>216</v>
      </c>
      <c r="E65" s="1" t="s">
        <v>217</v>
      </c>
      <c r="F65" t="s">
        <v>11</v>
      </c>
      <c r="G65" s="2">
        <v>44243.379363425927</v>
      </c>
    </row>
    <row r="66" spans="1:7" ht="15" customHeight="1" x14ac:dyDescent="0.3">
      <c r="A66">
        <v>1364280</v>
      </c>
      <c r="B66" t="s">
        <v>218</v>
      </c>
      <c r="C66" t="s">
        <v>219</v>
      </c>
      <c r="D66" t="s">
        <v>220</v>
      </c>
      <c r="E66" s="1" t="s">
        <v>221</v>
      </c>
      <c r="F66" t="s">
        <v>11</v>
      </c>
      <c r="G66" s="2">
        <v>44243.373020833336</v>
      </c>
    </row>
    <row r="67" spans="1:7" ht="15" customHeight="1" x14ac:dyDescent="0.3">
      <c r="A67">
        <v>1364267</v>
      </c>
      <c r="B67" t="s">
        <v>222</v>
      </c>
      <c r="C67" t="s">
        <v>223</v>
      </c>
      <c r="D67" t="s">
        <v>224</v>
      </c>
      <c r="E67" s="1" t="s">
        <v>225</v>
      </c>
      <c r="F67" t="s">
        <v>24</v>
      </c>
      <c r="G67" s="2">
        <v>44243.354270833333</v>
      </c>
    </row>
    <row r="68" spans="1:7" ht="15" customHeight="1" x14ac:dyDescent="0.3">
      <c r="A68">
        <v>1364260</v>
      </c>
      <c r="B68" t="s">
        <v>226</v>
      </c>
      <c r="C68" t="s">
        <v>227</v>
      </c>
      <c r="D68" t="s">
        <v>228</v>
      </c>
      <c r="E68" s="1" t="s">
        <v>229</v>
      </c>
      <c r="F68" t="s">
        <v>11</v>
      </c>
      <c r="G68" s="2">
        <v>44243.349849537037</v>
      </c>
    </row>
    <row r="69" spans="1:7" ht="15" customHeight="1" x14ac:dyDescent="0.3">
      <c r="A69">
        <v>1364245</v>
      </c>
      <c r="B69" t="s">
        <v>230</v>
      </c>
      <c r="C69" t="s">
        <v>231</v>
      </c>
      <c r="D69" t="s">
        <v>232</v>
      </c>
      <c r="E69" s="1" t="s">
        <v>233</v>
      </c>
      <c r="F69" t="s">
        <v>11</v>
      </c>
      <c r="G69" s="2">
        <v>44243.337858796294</v>
      </c>
    </row>
    <row r="70" spans="1:7" ht="15" customHeight="1" x14ac:dyDescent="0.3">
      <c r="A70">
        <v>1364223</v>
      </c>
      <c r="B70" t="s">
        <v>32</v>
      </c>
      <c r="C70" t="s">
        <v>211</v>
      </c>
      <c r="D70" t="s">
        <v>234</v>
      </c>
      <c r="E70" s="1" t="s">
        <v>235</v>
      </c>
      <c r="F70" t="s">
        <v>11</v>
      </c>
      <c r="G70" s="2">
        <v>44243.309374999997</v>
      </c>
    </row>
    <row r="71" spans="1:7" ht="15" customHeight="1" x14ac:dyDescent="0.3">
      <c r="A71">
        <v>1363052</v>
      </c>
      <c r="B71" t="s">
        <v>70</v>
      </c>
      <c r="C71" t="s">
        <v>236</v>
      </c>
      <c r="D71" t="s">
        <v>237</v>
      </c>
      <c r="E71" s="1" t="s">
        <v>238</v>
      </c>
      <c r="F71" t="s">
        <v>11</v>
      </c>
      <c r="G71" s="2">
        <v>44240.490312499998</v>
      </c>
    </row>
    <row r="72" spans="1:7" ht="15" customHeight="1" x14ac:dyDescent="0.3">
      <c r="A72">
        <v>1362612</v>
      </c>
      <c r="B72" t="s">
        <v>20</v>
      </c>
      <c r="C72" t="s">
        <v>136</v>
      </c>
      <c r="D72" t="s">
        <v>239</v>
      </c>
      <c r="E72" s="1" t="s">
        <v>240</v>
      </c>
      <c r="F72" t="s">
        <v>11</v>
      </c>
      <c r="G72" s="2">
        <v>44239.608807870369</v>
      </c>
    </row>
    <row r="73" spans="1:7" ht="15" customHeight="1" x14ac:dyDescent="0.3">
      <c r="A73">
        <v>1362600</v>
      </c>
      <c r="B73" t="s">
        <v>20</v>
      </c>
      <c r="C73" t="s">
        <v>21</v>
      </c>
      <c r="D73" t="s">
        <v>241</v>
      </c>
      <c r="E73" s="1" t="s">
        <v>242</v>
      </c>
      <c r="F73" t="s">
        <v>24</v>
      </c>
      <c r="G73" s="2">
        <v>44239.593090277776</v>
      </c>
    </row>
    <row r="74" spans="1:7" ht="15" customHeight="1" x14ac:dyDescent="0.3">
      <c r="A74">
        <v>1362595</v>
      </c>
      <c r="B74" t="s">
        <v>214</v>
      </c>
      <c r="C74" t="s">
        <v>215</v>
      </c>
      <c r="D74" t="s">
        <v>243</v>
      </c>
      <c r="E74" s="1" t="s">
        <v>244</v>
      </c>
      <c r="F74" t="s">
        <v>11</v>
      </c>
      <c r="G74" s="2">
        <v>44239.579432870371</v>
      </c>
    </row>
    <row r="75" spans="1:7" ht="15" customHeight="1" x14ac:dyDescent="0.3">
      <c r="A75">
        <v>1362576</v>
      </c>
      <c r="B75" t="s">
        <v>177</v>
      </c>
      <c r="C75" t="s">
        <v>178</v>
      </c>
      <c r="D75" t="s">
        <v>245</v>
      </c>
      <c r="E75" s="1" t="s">
        <v>246</v>
      </c>
      <c r="F75" t="s">
        <v>11</v>
      </c>
      <c r="G75" s="2">
        <v>44239.533217592594</v>
      </c>
    </row>
    <row r="76" spans="1:7" ht="15" customHeight="1" x14ac:dyDescent="0.3">
      <c r="A76">
        <v>1362570</v>
      </c>
      <c r="B76" t="s">
        <v>177</v>
      </c>
      <c r="C76" t="s">
        <v>247</v>
      </c>
      <c r="D76" t="s">
        <v>248</v>
      </c>
      <c r="E76" s="1" t="s">
        <v>249</v>
      </c>
      <c r="F76" t="s">
        <v>24</v>
      </c>
      <c r="G76" s="2">
        <v>44239.519305555557</v>
      </c>
    </row>
    <row r="77" spans="1:7" ht="15" customHeight="1" x14ac:dyDescent="0.3">
      <c r="A77">
        <v>1362557</v>
      </c>
      <c r="B77" t="s">
        <v>20</v>
      </c>
      <c r="C77" t="s">
        <v>250</v>
      </c>
      <c r="D77" t="s">
        <v>251</v>
      </c>
      <c r="E77" s="1" t="s">
        <v>252</v>
      </c>
      <c r="F77" t="s">
        <v>24</v>
      </c>
      <c r="G77" s="2">
        <v>44239.483425925922</v>
      </c>
    </row>
    <row r="78" spans="1:7" ht="15" customHeight="1" x14ac:dyDescent="0.3">
      <c r="A78">
        <v>1362545</v>
      </c>
      <c r="B78" t="s">
        <v>20</v>
      </c>
      <c r="C78" t="s">
        <v>253</v>
      </c>
      <c r="D78" t="s">
        <v>254</v>
      </c>
      <c r="E78" t="s">
        <v>255</v>
      </c>
      <c r="F78" t="s">
        <v>24</v>
      </c>
      <c r="G78" s="2">
        <v>44239.472488425927</v>
      </c>
    </row>
    <row r="79" spans="1:7" ht="15" customHeight="1" x14ac:dyDescent="0.3">
      <c r="A79">
        <v>1362531</v>
      </c>
      <c r="B79" t="s">
        <v>20</v>
      </c>
      <c r="C79" t="s">
        <v>256</v>
      </c>
      <c r="D79" t="s">
        <v>257</v>
      </c>
      <c r="E79" s="1" t="s">
        <v>258</v>
      </c>
      <c r="F79" t="s">
        <v>24</v>
      </c>
      <c r="G79" s="2">
        <v>44239.449837962966</v>
      </c>
    </row>
    <row r="80" spans="1:7" ht="15" customHeight="1" x14ac:dyDescent="0.3">
      <c r="A80">
        <v>1362523</v>
      </c>
      <c r="B80" t="s">
        <v>259</v>
      </c>
      <c r="C80" t="s">
        <v>260</v>
      </c>
      <c r="D80" t="s">
        <v>261</v>
      </c>
      <c r="E80" s="1" t="s">
        <v>262</v>
      </c>
      <c r="F80" t="s">
        <v>11</v>
      </c>
      <c r="G80" s="2">
        <v>44239.442673611113</v>
      </c>
    </row>
    <row r="81" spans="1:7" ht="15" customHeight="1" x14ac:dyDescent="0.3">
      <c r="A81">
        <v>1362519</v>
      </c>
      <c r="B81" t="s">
        <v>36</v>
      </c>
      <c r="C81" t="s">
        <v>263</v>
      </c>
      <c r="D81" t="s">
        <v>264</v>
      </c>
      <c r="E81" s="1" t="s">
        <v>265</v>
      </c>
      <c r="F81" t="s">
        <v>24</v>
      </c>
      <c r="G81" s="2">
        <v>44239.433935185189</v>
      </c>
    </row>
    <row r="82" spans="1:7" ht="15" customHeight="1" x14ac:dyDescent="0.3">
      <c r="A82">
        <v>1362475</v>
      </c>
      <c r="B82" t="s">
        <v>20</v>
      </c>
      <c r="C82" t="s">
        <v>266</v>
      </c>
      <c r="D82" t="s">
        <v>267</v>
      </c>
      <c r="E82" s="1" t="s">
        <v>268</v>
      </c>
      <c r="F82" t="s">
        <v>24</v>
      </c>
      <c r="G82" s="2">
        <v>44239.401435185187</v>
      </c>
    </row>
    <row r="83" spans="1:7" ht="15" customHeight="1" x14ac:dyDescent="0.3">
      <c r="A83">
        <v>1362463</v>
      </c>
      <c r="B83" t="s">
        <v>20</v>
      </c>
      <c r="C83" t="s">
        <v>269</v>
      </c>
      <c r="D83" t="s">
        <v>270</v>
      </c>
      <c r="E83" s="1" t="s">
        <v>271</v>
      </c>
      <c r="F83" t="s">
        <v>24</v>
      </c>
      <c r="G83" s="2">
        <v>44239.39371527778</v>
      </c>
    </row>
    <row r="84" spans="1:7" ht="15" customHeight="1" x14ac:dyDescent="0.3">
      <c r="A84">
        <v>1362425</v>
      </c>
      <c r="B84" t="s">
        <v>16</v>
      </c>
      <c r="C84" t="s">
        <v>272</v>
      </c>
      <c r="D84" t="s">
        <v>273</v>
      </c>
      <c r="E84" s="1" t="s">
        <v>274</v>
      </c>
      <c r="F84" t="s">
        <v>11</v>
      </c>
      <c r="G84" s="2">
        <v>44239.328726851854</v>
      </c>
    </row>
    <row r="85" spans="1:7" ht="15" customHeight="1" x14ac:dyDescent="0.3">
      <c r="A85">
        <v>1362031</v>
      </c>
      <c r="B85" t="s">
        <v>191</v>
      </c>
      <c r="C85" t="s">
        <v>192</v>
      </c>
      <c r="D85" t="s">
        <v>275</v>
      </c>
      <c r="E85" s="1" t="s">
        <v>276</v>
      </c>
      <c r="F85" t="s">
        <v>11</v>
      </c>
      <c r="G85" s="2">
        <v>44238.804178240738</v>
      </c>
    </row>
    <row r="86" spans="1:7" ht="15" customHeight="1" x14ac:dyDescent="0.3">
      <c r="A86">
        <v>1361897</v>
      </c>
      <c r="B86" t="s">
        <v>277</v>
      </c>
      <c r="C86" t="s">
        <v>278</v>
      </c>
      <c r="D86" t="s">
        <v>279</v>
      </c>
      <c r="E86" s="1" t="s">
        <v>280</v>
      </c>
      <c r="F86" t="s">
        <v>11</v>
      </c>
      <c r="G86" s="2">
        <v>44238.574479166666</v>
      </c>
    </row>
    <row r="87" spans="1:7" ht="15" customHeight="1" x14ac:dyDescent="0.3">
      <c r="A87">
        <v>1361891</v>
      </c>
      <c r="B87" t="s">
        <v>281</v>
      </c>
      <c r="C87" t="s">
        <v>282</v>
      </c>
      <c r="D87" t="s">
        <v>283</v>
      </c>
      <c r="E87" s="1" t="s">
        <v>284</v>
      </c>
      <c r="F87" t="s">
        <v>11</v>
      </c>
      <c r="G87" s="2">
        <v>44238.567800925928</v>
      </c>
    </row>
    <row r="88" spans="1:7" ht="15" customHeight="1" x14ac:dyDescent="0.3">
      <c r="A88">
        <v>1361878</v>
      </c>
      <c r="B88" t="s">
        <v>53</v>
      </c>
      <c r="C88" t="s">
        <v>54</v>
      </c>
      <c r="D88" t="s">
        <v>285</v>
      </c>
      <c r="E88" s="1" t="s">
        <v>286</v>
      </c>
      <c r="F88" t="s">
        <v>11</v>
      </c>
      <c r="G88" s="2">
        <v>44238.53837962963</v>
      </c>
    </row>
    <row r="89" spans="1:7" ht="15" customHeight="1" x14ac:dyDescent="0.3">
      <c r="A89">
        <v>1361877</v>
      </c>
      <c r="B89" t="s">
        <v>36</v>
      </c>
      <c r="C89" t="s">
        <v>287</v>
      </c>
      <c r="D89" t="s">
        <v>288</v>
      </c>
      <c r="E89" s="1" t="s">
        <v>289</v>
      </c>
      <c r="F89" t="s">
        <v>24</v>
      </c>
      <c r="G89" s="2">
        <v>44238.533935185187</v>
      </c>
    </row>
    <row r="90" spans="1:7" ht="15" customHeight="1" x14ac:dyDescent="0.3">
      <c r="A90">
        <v>1361859</v>
      </c>
      <c r="B90" t="s">
        <v>290</v>
      </c>
      <c r="C90" t="s">
        <v>291</v>
      </c>
      <c r="D90" t="s">
        <v>292</v>
      </c>
      <c r="E90" s="1" t="s">
        <v>293</v>
      </c>
      <c r="F90" t="s">
        <v>24</v>
      </c>
      <c r="G90" s="2">
        <v>44238.492835648147</v>
      </c>
    </row>
    <row r="91" spans="1:7" ht="15" customHeight="1" x14ac:dyDescent="0.3">
      <c r="A91">
        <v>1361834</v>
      </c>
      <c r="B91" t="s">
        <v>74</v>
      </c>
      <c r="C91" t="s">
        <v>294</v>
      </c>
      <c r="D91" t="s">
        <v>295</v>
      </c>
      <c r="E91" s="1" t="s">
        <v>296</v>
      </c>
      <c r="F91" t="s">
        <v>24</v>
      </c>
      <c r="G91" s="2">
        <v>44238.440127314818</v>
      </c>
    </row>
    <row r="92" spans="1:7" ht="15" customHeight="1" x14ac:dyDescent="0.3">
      <c r="A92">
        <v>1361778</v>
      </c>
      <c r="B92" t="s">
        <v>297</v>
      </c>
      <c r="C92" t="s">
        <v>298</v>
      </c>
      <c r="D92" t="s">
        <v>299</v>
      </c>
      <c r="E92" s="1" t="s">
        <v>300</v>
      </c>
      <c r="F92" t="s">
        <v>11</v>
      </c>
      <c r="G92" s="2">
        <v>44238.377233796295</v>
      </c>
    </row>
    <row r="93" spans="1:7" ht="15" customHeight="1" x14ac:dyDescent="0.3">
      <c r="A93">
        <v>1361742</v>
      </c>
      <c r="B93" t="s">
        <v>301</v>
      </c>
      <c r="C93" t="s">
        <v>302</v>
      </c>
      <c r="D93" t="s">
        <v>303</v>
      </c>
      <c r="E93" s="1" t="s">
        <v>304</v>
      </c>
      <c r="F93" t="s">
        <v>11</v>
      </c>
      <c r="G93" s="2">
        <v>44238.259942129633</v>
      </c>
    </row>
    <row r="94" spans="1:7" ht="15" customHeight="1" x14ac:dyDescent="0.3">
      <c r="A94">
        <v>1361483</v>
      </c>
      <c r="B94" t="s">
        <v>91</v>
      </c>
      <c r="C94" t="s">
        <v>305</v>
      </c>
      <c r="D94" t="s">
        <v>306</v>
      </c>
      <c r="E94" s="1" t="s">
        <v>307</v>
      </c>
      <c r="F94" t="s">
        <v>11</v>
      </c>
      <c r="G94" s="2">
        <v>44237.693888888891</v>
      </c>
    </row>
    <row r="95" spans="1:7" ht="15" customHeight="1" x14ac:dyDescent="0.3">
      <c r="A95">
        <v>1361463</v>
      </c>
      <c r="B95" t="s">
        <v>290</v>
      </c>
      <c r="C95" t="s">
        <v>308</v>
      </c>
      <c r="D95" t="s">
        <v>309</v>
      </c>
      <c r="E95" s="1" t="s">
        <v>310</v>
      </c>
      <c r="F95" t="s">
        <v>24</v>
      </c>
      <c r="G95" s="2">
        <v>44237.649814814817</v>
      </c>
    </row>
    <row r="96" spans="1:7" ht="15" customHeight="1" x14ac:dyDescent="0.3">
      <c r="A96">
        <v>1361454</v>
      </c>
      <c r="B96" t="s">
        <v>311</v>
      </c>
      <c r="C96" t="s">
        <v>312</v>
      </c>
      <c r="D96" t="s">
        <v>313</v>
      </c>
      <c r="E96" s="1" t="s">
        <v>314</v>
      </c>
      <c r="F96" t="s">
        <v>24</v>
      </c>
      <c r="G96" s="2">
        <v>44237.625115740739</v>
      </c>
    </row>
    <row r="97" spans="1:7" ht="15" customHeight="1" x14ac:dyDescent="0.3">
      <c r="A97">
        <v>1361450</v>
      </c>
      <c r="B97" t="s">
        <v>49</v>
      </c>
      <c r="C97" t="s">
        <v>315</v>
      </c>
      <c r="D97" t="s">
        <v>316</v>
      </c>
      <c r="E97" s="1" t="s">
        <v>317</v>
      </c>
      <c r="F97" t="s">
        <v>24</v>
      </c>
      <c r="G97" s="2">
        <v>44237.611215277779</v>
      </c>
    </row>
    <row r="98" spans="1:7" ht="15" customHeight="1" x14ac:dyDescent="0.3">
      <c r="A98">
        <v>1361436</v>
      </c>
      <c r="B98" t="s">
        <v>318</v>
      </c>
      <c r="C98" t="s">
        <v>319</v>
      </c>
      <c r="D98" t="s">
        <v>320</v>
      </c>
      <c r="E98" s="1" t="s">
        <v>321</v>
      </c>
      <c r="F98" t="s">
        <v>24</v>
      </c>
      <c r="G98" s="2">
        <v>44237.564849537041</v>
      </c>
    </row>
    <row r="99" spans="1:7" ht="15" customHeight="1" x14ac:dyDescent="0.3">
      <c r="A99">
        <v>1361402</v>
      </c>
      <c r="B99" t="s">
        <v>118</v>
      </c>
      <c r="C99" t="s">
        <v>158</v>
      </c>
      <c r="D99" t="s">
        <v>322</v>
      </c>
      <c r="E99" s="1" t="s">
        <v>323</v>
      </c>
      <c r="F99" t="s">
        <v>11</v>
      </c>
      <c r="G99" s="2">
        <v>44237.479583333334</v>
      </c>
    </row>
    <row r="100" spans="1:7" ht="15" customHeight="1" x14ac:dyDescent="0.3">
      <c r="A100">
        <v>1361400</v>
      </c>
      <c r="B100" t="s">
        <v>36</v>
      </c>
      <c r="C100" t="s">
        <v>324</v>
      </c>
      <c r="D100" t="s">
        <v>325</v>
      </c>
      <c r="E100" s="1" t="s">
        <v>326</v>
      </c>
      <c r="F100" t="s">
        <v>24</v>
      </c>
      <c r="G100" s="2">
        <v>44237.477662037039</v>
      </c>
    </row>
    <row r="101" spans="1:7" ht="15" customHeight="1" x14ac:dyDescent="0.3">
      <c r="A101">
        <v>1361394</v>
      </c>
      <c r="B101" t="s">
        <v>20</v>
      </c>
      <c r="C101" t="s">
        <v>57</v>
      </c>
      <c r="D101" t="s">
        <v>327</v>
      </c>
      <c r="E101" s="1" t="s">
        <v>328</v>
      </c>
      <c r="F101" t="s">
        <v>24</v>
      </c>
      <c r="G101" s="2">
        <v>44237.464930555558</v>
      </c>
    </row>
    <row r="102" spans="1:7" ht="15" customHeight="1" x14ac:dyDescent="0.3">
      <c r="A102">
        <v>1361393</v>
      </c>
      <c r="B102" t="s">
        <v>20</v>
      </c>
      <c r="C102" t="s">
        <v>269</v>
      </c>
      <c r="D102" t="s">
        <v>329</v>
      </c>
      <c r="E102" s="1" t="s">
        <v>330</v>
      </c>
      <c r="F102" t="s">
        <v>24</v>
      </c>
      <c r="G102" s="2">
        <v>44237.458472222221</v>
      </c>
    </row>
    <row r="103" spans="1:7" ht="15" customHeight="1" x14ac:dyDescent="0.3">
      <c r="A103">
        <v>1361388</v>
      </c>
      <c r="B103" t="s">
        <v>331</v>
      </c>
      <c r="C103" t="s">
        <v>332</v>
      </c>
      <c r="D103" t="s">
        <v>333</v>
      </c>
      <c r="E103" s="1" t="s">
        <v>334</v>
      </c>
      <c r="F103" t="s">
        <v>11</v>
      </c>
      <c r="G103" s="2">
        <v>44237.446979166663</v>
      </c>
    </row>
    <row r="104" spans="1:7" ht="15" customHeight="1" x14ac:dyDescent="0.3">
      <c r="A104">
        <v>1361326</v>
      </c>
      <c r="B104" t="s">
        <v>335</v>
      </c>
      <c r="C104" t="s">
        <v>158</v>
      </c>
      <c r="D104" t="s">
        <v>336</v>
      </c>
      <c r="E104" s="1" t="s">
        <v>337</v>
      </c>
      <c r="F104" t="s">
        <v>24</v>
      </c>
      <c r="G104" s="2">
        <v>44237.391770833332</v>
      </c>
    </row>
    <row r="105" spans="1:7" ht="15" customHeight="1" x14ac:dyDescent="0.3">
      <c r="A105">
        <v>1360915</v>
      </c>
      <c r="B105" t="s">
        <v>12</v>
      </c>
      <c r="C105" t="s">
        <v>338</v>
      </c>
      <c r="D105" t="s">
        <v>339</v>
      </c>
      <c r="E105" s="1" t="s">
        <v>340</v>
      </c>
      <c r="F105" t="s">
        <v>11</v>
      </c>
      <c r="G105" s="2">
        <v>44236.679282407407</v>
      </c>
    </row>
    <row r="106" spans="1:7" ht="15" customHeight="1" x14ac:dyDescent="0.3">
      <c r="A106">
        <v>1360914</v>
      </c>
      <c r="B106" t="s">
        <v>16</v>
      </c>
      <c r="C106" t="s">
        <v>181</v>
      </c>
      <c r="D106" t="s">
        <v>341</v>
      </c>
      <c r="E106" s="1" t="s">
        <v>342</v>
      </c>
      <c r="F106" t="s">
        <v>11</v>
      </c>
      <c r="G106" s="2">
        <v>44236.677835648145</v>
      </c>
    </row>
    <row r="107" spans="1:7" ht="15" customHeight="1" x14ac:dyDescent="0.3">
      <c r="A107">
        <v>1360906</v>
      </c>
      <c r="B107" t="s">
        <v>36</v>
      </c>
      <c r="C107" t="s">
        <v>343</v>
      </c>
      <c r="D107" t="s">
        <v>344</v>
      </c>
      <c r="E107" s="1" t="s">
        <v>345</v>
      </c>
      <c r="F107" t="s">
        <v>24</v>
      </c>
      <c r="G107" s="2">
        <v>44236.655381944445</v>
      </c>
    </row>
    <row r="108" spans="1:7" ht="15" customHeight="1" x14ac:dyDescent="0.3">
      <c r="A108">
        <v>1360905</v>
      </c>
      <c r="B108" t="s">
        <v>346</v>
      </c>
      <c r="C108" t="s">
        <v>347</v>
      </c>
      <c r="D108" t="s">
        <v>348</v>
      </c>
      <c r="E108" s="1" t="s">
        <v>349</v>
      </c>
      <c r="F108" t="s">
        <v>11</v>
      </c>
      <c r="G108" s="2">
        <v>44236.65347222222</v>
      </c>
    </row>
    <row r="109" spans="1:7" ht="15" customHeight="1" x14ac:dyDescent="0.3">
      <c r="A109">
        <v>1360894</v>
      </c>
      <c r="B109" t="s">
        <v>350</v>
      </c>
      <c r="C109" t="s">
        <v>351</v>
      </c>
      <c r="D109" t="s">
        <v>352</v>
      </c>
      <c r="E109" s="1" t="s">
        <v>353</v>
      </c>
      <c r="F109" t="s">
        <v>24</v>
      </c>
      <c r="G109" s="2">
        <v>44236.623738425929</v>
      </c>
    </row>
    <row r="110" spans="1:7" ht="15" customHeight="1" x14ac:dyDescent="0.3">
      <c r="A110">
        <v>1360887</v>
      </c>
      <c r="B110" t="s">
        <v>45</v>
      </c>
      <c r="C110" t="s">
        <v>354</v>
      </c>
      <c r="D110" t="s">
        <v>355</v>
      </c>
      <c r="E110" s="1" t="s">
        <v>356</v>
      </c>
      <c r="F110" t="s">
        <v>11</v>
      </c>
      <c r="G110" s="2">
        <v>44236.607418981483</v>
      </c>
    </row>
    <row r="111" spans="1:7" ht="15" customHeight="1" x14ac:dyDescent="0.3">
      <c r="A111">
        <v>1360886</v>
      </c>
      <c r="B111" t="s">
        <v>118</v>
      </c>
      <c r="C111" t="s">
        <v>200</v>
      </c>
      <c r="D111" t="s">
        <v>357</v>
      </c>
      <c r="E111" s="1" t="s">
        <v>358</v>
      </c>
      <c r="F111" t="s">
        <v>11</v>
      </c>
      <c r="G111" s="2">
        <v>44236.604872685188</v>
      </c>
    </row>
    <row r="112" spans="1:7" ht="15" customHeight="1" x14ac:dyDescent="0.3">
      <c r="A112">
        <v>1360885</v>
      </c>
      <c r="B112" t="s">
        <v>45</v>
      </c>
      <c r="C112" t="s">
        <v>354</v>
      </c>
      <c r="D112" t="s">
        <v>359</v>
      </c>
      <c r="E112" s="1" t="s">
        <v>356</v>
      </c>
      <c r="F112" t="s">
        <v>11</v>
      </c>
      <c r="G112" s="2">
        <v>44236.604490740741</v>
      </c>
    </row>
    <row r="113" spans="1:7" ht="15" customHeight="1" x14ac:dyDescent="0.3">
      <c r="A113">
        <v>1360883</v>
      </c>
      <c r="B113" t="s">
        <v>16</v>
      </c>
      <c r="C113" t="s">
        <v>360</v>
      </c>
      <c r="D113" t="s">
        <v>361</v>
      </c>
      <c r="E113" s="1" t="s">
        <v>362</v>
      </c>
      <c r="F113" t="s">
        <v>11</v>
      </c>
      <c r="G113" s="2">
        <v>44236.598599537036</v>
      </c>
    </row>
    <row r="114" spans="1:7" ht="15" customHeight="1" x14ac:dyDescent="0.3">
      <c r="A114">
        <v>1360874</v>
      </c>
      <c r="B114" t="s">
        <v>20</v>
      </c>
      <c r="C114" t="s">
        <v>363</v>
      </c>
      <c r="D114" t="s">
        <v>364</v>
      </c>
      <c r="E114" s="1" t="s">
        <v>365</v>
      </c>
      <c r="F114" t="s">
        <v>24</v>
      </c>
      <c r="G114" s="2">
        <v>44236.590925925928</v>
      </c>
    </row>
    <row r="115" spans="1:7" ht="15" customHeight="1" x14ac:dyDescent="0.3">
      <c r="A115">
        <v>1360866</v>
      </c>
      <c r="B115" t="s">
        <v>7</v>
      </c>
      <c r="C115" t="s">
        <v>366</v>
      </c>
      <c r="D115" t="s">
        <v>367</v>
      </c>
      <c r="E115" s="1" t="s">
        <v>368</v>
      </c>
      <c r="F115" t="s">
        <v>11</v>
      </c>
      <c r="G115" s="2">
        <v>44236.58152777778</v>
      </c>
    </row>
    <row r="116" spans="1:7" ht="15" customHeight="1" x14ac:dyDescent="0.3">
      <c r="A116">
        <v>1360864</v>
      </c>
      <c r="B116" t="s">
        <v>70</v>
      </c>
      <c r="C116" t="s">
        <v>369</v>
      </c>
      <c r="D116" t="s">
        <v>370</v>
      </c>
      <c r="E116" s="1" t="s">
        <v>371</v>
      </c>
      <c r="F116" t="s">
        <v>11</v>
      </c>
      <c r="G116" s="2">
        <v>44236.577581018515</v>
      </c>
    </row>
    <row r="117" spans="1:7" ht="15" customHeight="1" x14ac:dyDescent="0.3">
      <c r="A117">
        <v>1360859</v>
      </c>
      <c r="B117" t="s">
        <v>118</v>
      </c>
      <c r="C117" t="s">
        <v>200</v>
      </c>
      <c r="D117" t="s">
        <v>372</v>
      </c>
      <c r="E117" s="1" t="s">
        <v>373</v>
      </c>
      <c r="F117" t="s">
        <v>11</v>
      </c>
      <c r="G117" s="2">
        <v>44236.574629629627</v>
      </c>
    </row>
    <row r="118" spans="1:7" ht="15" customHeight="1" x14ac:dyDescent="0.3">
      <c r="A118">
        <v>1360856</v>
      </c>
      <c r="B118" t="s">
        <v>374</v>
      </c>
      <c r="C118" t="s">
        <v>375</v>
      </c>
      <c r="D118" t="s">
        <v>376</v>
      </c>
      <c r="E118" s="1" t="s">
        <v>377</v>
      </c>
      <c r="F118" t="s">
        <v>11</v>
      </c>
      <c r="G118" s="2">
        <v>44236.572615740741</v>
      </c>
    </row>
    <row r="119" spans="1:7" ht="15" customHeight="1" x14ac:dyDescent="0.3">
      <c r="A119">
        <v>1360853</v>
      </c>
      <c r="B119" t="s">
        <v>118</v>
      </c>
      <c r="C119" t="s">
        <v>119</v>
      </c>
      <c r="D119" t="s">
        <v>378</v>
      </c>
      <c r="E119" s="1" t="s">
        <v>379</v>
      </c>
      <c r="F119" t="s">
        <v>11</v>
      </c>
      <c r="G119" s="2">
        <v>44236.57</v>
      </c>
    </row>
    <row r="120" spans="1:7" ht="15" customHeight="1" x14ac:dyDescent="0.3">
      <c r="A120">
        <v>1360838</v>
      </c>
      <c r="B120" t="s">
        <v>177</v>
      </c>
      <c r="C120" t="s">
        <v>178</v>
      </c>
      <c r="D120" t="s">
        <v>380</v>
      </c>
      <c r="E120" s="1" t="s">
        <v>381</v>
      </c>
      <c r="F120" t="s">
        <v>11</v>
      </c>
      <c r="G120" s="2">
        <v>44236.537523148145</v>
      </c>
    </row>
    <row r="121" spans="1:7" ht="15" customHeight="1" x14ac:dyDescent="0.3">
      <c r="A121">
        <v>1360833</v>
      </c>
      <c r="B121" t="s">
        <v>36</v>
      </c>
      <c r="C121" t="s">
        <v>124</v>
      </c>
      <c r="D121" t="s">
        <v>382</v>
      </c>
      <c r="E121" s="1" t="s">
        <v>383</v>
      </c>
      <c r="F121" t="s">
        <v>24</v>
      </c>
      <c r="G121" s="2">
        <v>44236.529178240744</v>
      </c>
    </row>
    <row r="122" spans="1:7" ht="15" customHeight="1" x14ac:dyDescent="0.3">
      <c r="A122">
        <v>1360824</v>
      </c>
      <c r="B122" t="s">
        <v>384</v>
      </c>
      <c r="C122" t="s">
        <v>385</v>
      </c>
      <c r="D122" t="s">
        <v>386</v>
      </c>
      <c r="E122" s="1" t="s">
        <v>387</v>
      </c>
      <c r="F122" t="s">
        <v>11</v>
      </c>
      <c r="G122" s="2">
        <v>44236.503101851849</v>
      </c>
    </row>
    <row r="123" spans="1:7" ht="15" customHeight="1" x14ac:dyDescent="0.3">
      <c r="A123">
        <v>1360820</v>
      </c>
      <c r="B123" t="s">
        <v>32</v>
      </c>
      <c r="C123" t="s">
        <v>158</v>
      </c>
      <c r="D123" t="s">
        <v>388</v>
      </c>
      <c r="E123" s="1" t="s">
        <v>389</v>
      </c>
      <c r="F123" t="s">
        <v>11</v>
      </c>
      <c r="G123" s="2">
        <v>44236.491168981483</v>
      </c>
    </row>
    <row r="124" spans="1:7" ht="15" customHeight="1" x14ac:dyDescent="0.3">
      <c r="A124">
        <v>1360819</v>
      </c>
      <c r="B124" t="s">
        <v>16</v>
      </c>
      <c r="C124" t="s">
        <v>158</v>
      </c>
      <c r="D124" t="s">
        <v>390</v>
      </c>
      <c r="E124" s="1" t="s">
        <v>391</v>
      </c>
      <c r="F124" t="s">
        <v>11</v>
      </c>
      <c r="G124" s="2">
        <v>44236.490104166667</v>
      </c>
    </row>
    <row r="125" spans="1:7" ht="15" customHeight="1" x14ac:dyDescent="0.3">
      <c r="A125">
        <v>1360817</v>
      </c>
      <c r="B125" t="s">
        <v>177</v>
      </c>
      <c r="C125" t="s">
        <v>178</v>
      </c>
      <c r="D125" t="s">
        <v>392</v>
      </c>
      <c r="E125" s="1" t="s">
        <v>393</v>
      </c>
      <c r="F125" t="s">
        <v>11</v>
      </c>
      <c r="G125" s="2">
        <v>44236.489803240744</v>
      </c>
    </row>
    <row r="126" spans="1:7" ht="15" customHeight="1" x14ac:dyDescent="0.3">
      <c r="A126">
        <v>1360815</v>
      </c>
      <c r="B126" t="s">
        <v>16</v>
      </c>
      <c r="C126" t="s">
        <v>394</v>
      </c>
      <c r="D126" t="s">
        <v>395</v>
      </c>
      <c r="E126" s="1" t="s">
        <v>396</v>
      </c>
      <c r="F126" t="s">
        <v>11</v>
      </c>
      <c r="G126" s="2">
        <v>44236.482916666668</v>
      </c>
    </row>
    <row r="127" spans="1:7" ht="15" customHeight="1" x14ac:dyDescent="0.3">
      <c r="A127">
        <v>1360812</v>
      </c>
      <c r="B127" t="s">
        <v>397</v>
      </c>
      <c r="C127" t="s">
        <v>398</v>
      </c>
      <c r="D127" t="s">
        <v>399</v>
      </c>
      <c r="E127" s="1" t="s">
        <v>400</v>
      </c>
      <c r="F127" t="s">
        <v>11</v>
      </c>
      <c r="G127" s="2">
        <v>44236.47619212963</v>
      </c>
    </row>
    <row r="128" spans="1:7" ht="15" customHeight="1" x14ac:dyDescent="0.3">
      <c r="A128">
        <v>1360806</v>
      </c>
      <c r="B128" t="s">
        <v>401</v>
      </c>
      <c r="C128" t="s">
        <v>402</v>
      </c>
      <c r="D128" t="s">
        <v>403</v>
      </c>
      <c r="E128" s="1" t="s">
        <v>404</v>
      </c>
      <c r="F128" t="s">
        <v>11</v>
      </c>
      <c r="G128" s="2">
        <v>44236.465370370373</v>
      </c>
    </row>
    <row r="129" spans="1:7" ht="15" customHeight="1" x14ac:dyDescent="0.3">
      <c r="A129">
        <v>1360802</v>
      </c>
      <c r="B129" t="s">
        <v>36</v>
      </c>
      <c r="C129" t="s">
        <v>405</v>
      </c>
      <c r="D129" t="s">
        <v>406</v>
      </c>
      <c r="E129" s="1" t="s">
        <v>407</v>
      </c>
      <c r="F129" t="s">
        <v>24</v>
      </c>
      <c r="G129" s="2">
        <v>44236.452974537038</v>
      </c>
    </row>
    <row r="130" spans="1:7" ht="15" customHeight="1" x14ac:dyDescent="0.3">
      <c r="A130">
        <v>1360800</v>
      </c>
      <c r="B130" t="s">
        <v>20</v>
      </c>
      <c r="C130" t="s">
        <v>78</v>
      </c>
      <c r="D130" t="s">
        <v>408</v>
      </c>
      <c r="E130" s="1" t="s">
        <v>409</v>
      </c>
      <c r="F130" t="s">
        <v>11</v>
      </c>
      <c r="G130" s="2">
        <v>44236.451284722221</v>
      </c>
    </row>
    <row r="131" spans="1:7" ht="15" customHeight="1" x14ac:dyDescent="0.3">
      <c r="A131">
        <v>1360788</v>
      </c>
      <c r="B131" t="s">
        <v>410</v>
      </c>
      <c r="C131" t="s">
        <v>411</v>
      </c>
      <c r="D131" t="s">
        <v>412</v>
      </c>
      <c r="E131" s="1" t="s">
        <v>413</v>
      </c>
      <c r="F131" t="s">
        <v>11</v>
      </c>
      <c r="G131" s="2">
        <v>44236.438148148147</v>
      </c>
    </row>
    <row r="132" spans="1:7" ht="15" customHeight="1" x14ac:dyDescent="0.3">
      <c r="A132">
        <v>1360785</v>
      </c>
      <c r="B132" t="s">
        <v>157</v>
      </c>
      <c r="C132" t="s">
        <v>414</v>
      </c>
      <c r="D132" t="s">
        <v>415</v>
      </c>
      <c r="E132" s="1" t="s">
        <v>416</v>
      </c>
      <c r="F132" t="s">
        <v>11</v>
      </c>
      <c r="G132" s="2">
        <v>44236.42900462963</v>
      </c>
    </row>
    <row r="133" spans="1:7" ht="15" customHeight="1" x14ac:dyDescent="0.3">
      <c r="A133">
        <v>1360781</v>
      </c>
      <c r="B133" t="s">
        <v>91</v>
      </c>
      <c r="C133" t="s">
        <v>92</v>
      </c>
      <c r="D133" t="s">
        <v>417</v>
      </c>
      <c r="E133" s="1" t="s">
        <v>418</v>
      </c>
      <c r="F133" t="s">
        <v>24</v>
      </c>
      <c r="G133" s="2">
        <v>44236.423020833332</v>
      </c>
    </row>
    <row r="134" spans="1:7" ht="15" customHeight="1" x14ac:dyDescent="0.3">
      <c r="A134">
        <v>1360780</v>
      </c>
      <c r="B134" t="s">
        <v>87</v>
      </c>
      <c r="C134" t="s">
        <v>88</v>
      </c>
      <c r="D134" t="s">
        <v>419</v>
      </c>
      <c r="E134" s="1" t="s">
        <v>420</v>
      </c>
      <c r="F134" t="s">
        <v>11</v>
      </c>
      <c r="G134" s="2">
        <v>44236.421157407407</v>
      </c>
    </row>
    <row r="135" spans="1:7" ht="15" customHeight="1" x14ac:dyDescent="0.3">
      <c r="A135">
        <v>1360749</v>
      </c>
      <c r="B135" t="s">
        <v>335</v>
      </c>
      <c r="C135" t="s">
        <v>421</v>
      </c>
      <c r="D135" t="s">
        <v>422</v>
      </c>
      <c r="E135" s="1" t="s">
        <v>423</v>
      </c>
      <c r="F135" t="s">
        <v>11</v>
      </c>
      <c r="G135" s="2">
        <v>44236.416550925926</v>
      </c>
    </row>
    <row r="136" spans="1:7" ht="15" customHeight="1" x14ac:dyDescent="0.3">
      <c r="A136">
        <v>1360737</v>
      </c>
      <c r="B136" t="s">
        <v>7</v>
      </c>
      <c r="C136" t="s">
        <v>424</v>
      </c>
      <c r="D136" t="s">
        <v>425</v>
      </c>
      <c r="E136" s="1" t="s">
        <v>426</v>
      </c>
      <c r="F136" t="s">
        <v>11</v>
      </c>
      <c r="G136" s="2">
        <v>44236.398645833331</v>
      </c>
    </row>
    <row r="137" spans="1:7" ht="15" customHeight="1" x14ac:dyDescent="0.3">
      <c r="A137">
        <v>1360728</v>
      </c>
      <c r="B137" t="s">
        <v>427</v>
      </c>
      <c r="C137" t="s">
        <v>428</v>
      </c>
      <c r="D137" t="s">
        <v>429</v>
      </c>
      <c r="E137" s="1" t="s">
        <v>430</v>
      </c>
      <c r="F137" t="s">
        <v>11</v>
      </c>
      <c r="G137" s="2">
        <v>44236.387476851851</v>
      </c>
    </row>
    <row r="138" spans="1:7" ht="15" customHeight="1" x14ac:dyDescent="0.3">
      <c r="A138">
        <v>1360726</v>
      </c>
      <c r="B138" t="s">
        <v>431</v>
      </c>
      <c r="C138" t="s">
        <v>432</v>
      </c>
      <c r="D138" t="s">
        <v>433</v>
      </c>
      <c r="E138" s="1" t="s">
        <v>434</v>
      </c>
      <c r="F138" t="s">
        <v>11</v>
      </c>
      <c r="G138" s="2">
        <v>44236.380914351852</v>
      </c>
    </row>
    <row r="139" spans="1:7" ht="15" customHeight="1" x14ac:dyDescent="0.3">
      <c r="A139">
        <v>1360725</v>
      </c>
      <c r="B139" t="s">
        <v>435</v>
      </c>
      <c r="C139" t="s">
        <v>436</v>
      </c>
      <c r="D139" t="s">
        <v>437</v>
      </c>
      <c r="E139" s="1" t="s">
        <v>438</v>
      </c>
      <c r="F139" t="s">
        <v>11</v>
      </c>
      <c r="G139" s="2">
        <v>44236.379733796297</v>
      </c>
    </row>
    <row r="140" spans="1:7" ht="15" customHeight="1" x14ac:dyDescent="0.3">
      <c r="A140">
        <v>1360722</v>
      </c>
      <c r="B140" t="s">
        <v>177</v>
      </c>
      <c r="C140" t="s">
        <v>247</v>
      </c>
      <c r="D140" t="s">
        <v>439</v>
      </c>
      <c r="E140" s="1" t="s">
        <v>440</v>
      </c>
      <c r="F140" t="s">
        <v>24</v>
      </c>
      <c r="G140" s="2">
        <v>44236.375462962962</v>
      </c>
    </row>
    <row r="141" spans="1:7" ht="15" customHeight="1" x14ac:dyDescent="0.3">
      <c r="A141">
        <v>1360719</v>
      </c>
      <c r="B141" t="s">
        <v>70</v>
      </c>
      <c r="C141" t="s">
        <v>143</v>
      </c>
      <c r="D141" t="s">
        <v>441</v>
      </c>
      <c r="E141" s="1" t="s">
        <v>442</v>
      </c>
      <c r="F141" t="s">
        <v>24</v>
      </c>
      <c r="G141" s="2">
        <v>44236.369317129633</v>
      </c>
    </row>
    <row r="142" spans="1:7" ht="15" customHeight="1" x14ac:dyDescent="0.3">
      <c r="A142">
        <v>1360714</v>
      </c>
      <c r="B142" t="s">
        <v>157</v>
      </c>
      <c r="C142" t="s">
        <v>443</v>
      </c>
      <c r="D142" t="s">
        <v>444</v>
      </c>
      <c r="E142" s="1" t="s">
        <v>445</v>
      </c>
      <c r="F142" t="s">
        <v>11</v>
      </c>
      <c r="G142" s="2">
        <v>44236.358194444445</v>
      </c>
    </row>
    <row r="143" spans="1:7" ht="15" customHeight="1" x14ac:dyDescent="0.3">
      <c r="A143">
        <v>1360713</v>
      </c>
      <c r="B143" t="s">
        <v>446</v>
      </c>
      <c r="C143" t="s">
        <v>447</v>
      </c>
      <c r="D143" t="s">
        <v>448</v>
      </c>
      <c r="E143" s="1" t="s">
        <v>449</v>
      </c>
      <c r="F143" t="s">
        <v>24</v>
      </c>
      <c r="G143" s="2">
        <v>44236.357476851852</v>
      </c>
    </row>
    <row r="144" spans="1:7" ht="15" customHeight="1" x14ac:dyDescent="0.3">
      <c r="A144">
        <v>1360712</v>
      </c>
      <c r="B144" t="s">
        <v>74</v>
      </c>
      <c r="C144" t="s">
        <v>450</v>
      </c>
      <c r="D144" t="s">
        <v>451</v>
      </c>
      <c r="E144" s="1" t="s">
        <v>452</v>
      </c>
      <c r="F144" t="s">
        <v>24</v>
      </c>
      <c r="G144" s="2">
        <v>44236.357025462959</v>
      </c>
    </row>
    <row r="145" spans="1:7" ht="15" customHeight="1" x14ac:dyDescent="0.3">
      <c r="A145">
        <v>1360708</v>
      </c>
      <c r="B145" t="s">
        <v>36</v>
      </c>
      <c r="C145" t="s">
        <v>67</v>
      </c>
      <c r="D145" t="s">
        <v>453</v>
      </c>
      <c r="E145" s="1" t="s">
        <v>454</v>
      </c>
      <c r="F145" t="s">
        <v>24</v>
      </c>
      <c r="G145" s="2">
        <v>44236.344814814816</v>
      </c>
    </row>
    <row r="146" spans="1:7" ht="15" customHeight="1" x14ac:dyDescent="0.3">
      <c r="A146">
        <v>1360703</v>
      </c>
      <c r="B146" t="s">
        <v>16</v>
      </c>
      <c r="C146" t="s">
        <v>455</v>
      </c>
      <c r="D146" t="s">
        <v>456</v>
      </c>
      <c r="E146" s="1" t="s">
        <v>457</v>
      </c>
      <c r="F146" t="s">
        <v>24</v>
      </c>
      <c r="G146" s="2">
        <v>44236.340902777774</v>
      </c>
    </row>
    <row r="147" spans="1:7" ht="15" customHeight="1" x14ac:dyDescent="0.3">
      <c r="A147">
        <v>1360392</v>
      </c>
      <c r="B147" t="s">
        <v>458</v>
      </c>
      <c r="C147" t="s">
        <v>459</v>
      </c>
      <c r="D147" t="s">
        <v>460</v>
      </c>
      <c r="E147" t="s">
        <v>461</v>
      </c>
      <c r="F147" t="s">
        <v>462</v>
      </c>
      <c r="G147" s="2">
        <v>44235.750208333331</v>
      </c>
    </row>
    <row r="148" spans="1:7" ht="15" customHeight="1" x14ac:dyDescent="0.3">
      <c r="A148">
        <v>1360369</v>
      </c>
      <c r="B148" t="s">
        <v>32</v>
      </c>
      <c r="C148" t="s">
        <v>463</v>
      </c>
      <c r="D148" t="s">
        <v>464</v>
      </c>
      <c r="E148" s="1" t="s">
        <v>465</v>
      </c>
      <c r="F148" t="s">
        <v>11</v>
      </c>
      <c r="G148" s="2">
        <v>44235.706585648149</v>
      </c>
    </row>
    <row r="149" spans="1:7" ht="15" customHeight="1" x14ac:dyDescent="0.3">
      <c r="A149">
        <v>1360366</v>
      </c>
      <c r="B149" t="s">
        <v>184</v>
      </c>
      <c r="C149" t="s">
        <v>466</v>
      </c>
      <c r="D149" t="s">
        <v>467</v>
      </c>
      <c r="E149" s="1" t="s">
        <v>468</v>
      </c>
      <c r="F149" t="s">
        <v>11</v>
      </c>
      <c r="G149" s="2">
        <v>44235.693993055553</v>
      </c>
    </row>
    <row r="150" spans="1:7" ht="15" customHeight="1" x14ac:dyDescent="0.3">
      <c r="A150">
        <v>1360364</v>
      </c>
      <c r="B150" t="s">
        <v>70</v>
      </c>
      <c r="C150" t="s">
        <v>369</v>
      </c>
      <c r="D150" t="s">
        <v>469</v>
      </c>
      <c r="E150" s="1" t="s">
        <v>470</v>
      </c>
      <c r="F150" t="s">
        <v>11</v>
      </c>
      <c r="G150" s="2">
        <v>44235.69127314815</v>
      </c>
    </row>
    <row r="151" spans="1:7" ht="15" customHeight="1" x14ac:dyDescent="0.3">
      <c r="A151">
        <v>1360363</v>
      </c>
      <c r="B151" t="s">
        <v>20</v>
      </c>
      <c r="C151" t="s">
        <v>57</v>
      </c>
      <c r="D151" t="s">
        <v>471</v>
      </c>
      <c r="E151" s="1" t="s">
        <v>472</v>
      </c>
      <c r="F151" t="s">
        <v>24</v>
      </c>
      <c r="G151" s="2">
        <v>44235.690208333333</v>
      </c>
    </row>
    <row r="152" spans="1:7" ht="15" customHeight="1" x14ac:dyDescent="0.3">
      <c r="A152">
        <v>1360355</v>
      </c>
      <c r="B152" t="s">
        <v>473</v>
      </c>
      <c r="C152" t="s">
        <v>474</v>
      </c>
      <c r="D152" t="s">
        <v>475</v>
      </c>
      <c r="E152" s="1" t="s">
        <v>476</v>
      </c>
      <c r="F152" t="s">
        <v>11</v>
      </c>
      <c r="G152" s="2">
        <v>44235.667164351849</v>
      </c>
    </row>
    <row r="153" spans="1:7" ht="15" customHeight="1" x14ac:dyDescent="0.3">
      <c r="A153">
        <v>1360352</v>
      </c>
      <c r="B153" t="s">
        <v>477</v>
      </c>
      <c r="C153" t="s">
        <v>158</v>
      </c>
      <c r="D153" t="s">
        <v>478</v>
      </c>
      <c r="E153" s="1" t="s">
        <v>479</v>
      </c>
      <c r="F153" t="s">
        <v>11</v>
      </c>
      <c r="G153" s="2">
        <v>44235.652280092596</v>
      </c>
    </row>
    <row r="154" spans="1:7" ht="15" customHeight="1" x14ac:dyDescent="0.3">
      <c r="A154">
        <v>1360348</v>
      </c>
      <c r="B154" t="s">
        <v>177</v>
      </c>
      <c r="C154" t="s">
        <v>480</v>
      </c>
      <c r="D154" t="s">
        <v>481</v>
      </c>
      <c r="E154" s="1" t="s">
        <v>482</v>
      </c>
      <c r="F154" t="s">
        <v>24</v>
      </c>
      <c r="G154" s="2">
        <v>44235.636516203704</v>
      </c>
    </row>
    <row r="155" spans="1:7" ht="15" customHeight="1" x14ac:dyDescent="0.3">
      <c r="A155">
        <v>1360346</v>
      </c>
      <c r="B155" t="s">
        <v>45</v>
      </c>
      <c r="C155" t="s">
        <v>483</v>
      </c>
      <c r="D155" t="s">
        <v>484</v>
      </c>
      <c r="E155" s="1" t="s">
        <v>485</v>
      </c>
      <c r="F155" t="s">
        <v>11</v>
      </c>
      <c r="G155" s="2">
        <v>44235.634699074071</v>
      </c>
    </row>
    <row r="156" spans="1:7" ht="15" customHeight="1" x14ac:dyDescent="0.3">
      <c r="A156">
        <v>1360337</v>
      </c>
      <c r="B156" t="s">
        <v>16</v>
      </c>
      <c r="C156" t="s">
        <v>486</v>
      </c>
      <c r="D156" t="s">
        <v>487</v>
      </c>
      <c r="E156" s="1" t="s">
        <v>488</v>
      </c>
      <c r="F156" t="s">
        <v>11</v>
      </c>
      <c r="G156" s="2">
        <v>44235.617164351854</v>
      </c>
    </row>
    <row r="157" spans="1:7" ht="15" customHeight="1" x14ac:dyDescent="0.3">
      <c r="A157">
        <v>1360335</v>
      </c>
      <c r="B157" t="s">
        <v>489</v>
      </c>
      <c r="C157" t="s">
        <v>490</v>
      </c>
      <c r="D157" t="s">
        <v>491</v>
      </c>
      <c r="E157" s="1" t="s">
        <v>492</v>
      </c>
      <c r="F157" t="s">
        <v>11</v>
      </c>
      <c r="G157" s="2">
        <v>44235.61378472222</v>
      </c>
    </row>
    <row r="158" spans="1:7" ht="15" customHeight="1" x14ac:dyDescent="0.3">
      <c r="A158">
        <v>1360331</v>
      </c>
      <c r="B158" t="s">
        <v>16</v>
      </c>
      <c r="C158" t="s">
        <v>158</v>
      </c>
      <c r="D158" t="s">
        <v>493</v>
      </c>
      <c r="E158" s="1" t="s">
        <v>488</v>
      </c>
      <c r="F158" t="s">
        <v>11</v>
      </c>
      <c r="G158" s="2">
        <v>44235.612337962964</v>
      </c>
    </row>
    <row r="159" spans="1:7" ht="15" customHeight="1" x14ac:dyDescent="0.3">
      <c r="A159">
        <v>1360329</v>
      </c>
      <c r="B159" t="s">
        <v>281</v>
      </c>
      <c r="C159" t="s">
        <v>494</v>
      </c>
      <c r="D159" t="s">
        <v>495</v>
      </c>
      <c r="E159" s="1" t="s">
        <v>496</v>
      </c>
      <c r="F159" t="s">
        <v>11</v>
      </c>
      <c r="G159" s="2">
        <v>44235.607569444444</v>
      </c>
    </row>
    <row r="160" spans="1:7" ht="15" customHeight="1" x14ac:dyDescent="0.3">
      <c r="A160">
        <v>1360322</v>
      </c>
      <c r="B160" t="s">
        <v>20</v>
      </c>
      <c r="C160" t="s">
        <v>497</v>
      </c>
      <c r="D160" t="s">
        <v>498</v>
      </c>
      <c r="E160" s="1" t="s">
        <v>499</v>
      </c>
      <c r="F160" t="s">
        <v>24</v>
      </c>
      <c r="G160" s="2">
        <v>44235.588993055557</v>
      </c>
    </row>
    <row r="161" spans="1:7" ht="15" customHeight="1" x14ac:dyDescent="0.3">
      <c r="A161">
        <v>1360307</v>
      </c>
      <c r="B161" t="s">
        <v>16</v>
      </c>
      <c r="C161" t="s">
        <v>500</v>
      </c>
      <c r="D161" t="s">
        <v>501</v>
      </c>
      <c r="E161" s="1" t="s">
        <v>502</v>
      </c>
      <c r="F161" t="s">
        <v>11</v>
      </c>
      <c r="G161" s="2">
        <v>44235.567465277774</v>
      </c>
    </row>
    <row r="162" spans="1:7" ht="15" customHeight="1" x14ac:dyDescent="0.3">
      <c r="A162">
        <v>1360306</v>
      </c>
      <c r="B162" t="s">
        <v>503</v>
      </c>
      <c r="D162" t="s">
        <v>504</v>
      </c>
      <c r="E162" s="1" t="s">
        <v>505</v>
      </c>
      <c r="F162" t="s">
        <v>11</v>
      </c>
      <c r="G162" s="2">
        <v>44235.567337962966</v>
      </c>
    </row>
    <row r="163" spans="1:7" ht="15" customHeight="1" x14ac:dyDescent="0.3">
      <c r="A163">
        <v>1360304</v>
      </c>
      <c r="B163" t="s">
        <v>214</v>
      </c>
      <c r="C163" t="s">
        <v>506</v>
      </c>
      <c r="D163" t="s">
        <v>507</v>
      </c>
      <c r="E163" s="1" t="s">
        <v>508</v>
      </c>
      <c r="F163" t="s">
        <v>11</v>
      </c>
      <c r="G163" s="2">
        <v>44235.566921296297</v>
      </c>
    </row>
    <row r="164" spans="1:7" ht="15" customHeight="1" x14ac:dyDescent="0.3">
      <c r="A164">
        <v>1360303</v>
      </c>
      <c r="B164" t="s">
        <v>36</v>
      </c>
      <c r="C164" t="s">
        <v>509</v>
      </c>
      <c r="D164" t="s">
        <v>510</v>
      </c>
      <c r="E164" s="1" t="s">
        <v>511</v>
      </c>
      <c r="F164" t="s">
        <v>24</v>
      </c>
      <c r="G164" s="2">
        <v>44235.565671296295</v>
      </c>
    </row>
    <row r="165" spans="1:7" ht="15" customHeight="1" x14ac:dyDescent="0.3">
      <c r="A165">
        <v>1360300</v>
      </c>
      <c r="B165" t="s">
        <v>477</v>
      </c>
      <c r="C165" t="s">
        <v>512</v>
      </c>
      <c r="D165" t="s">
        <v>513</v>
      </c>
      <c r="E165" s="1" t="s">
        <v>514</v>
      </c>
      <c r="F165" t="s">
        <v>11</v>
      </c>
      <c r="G165" s="2">
        <v>44235.547256944446</v>
      </c>
    </row>
    <row r="166" spans="1:7" ht="15" customHeight="1" x14ac:dyDescent="0.3">
      <c r="A166">
        <v>1360299</v>
      </c>
      <c r="B166" t="s">
        <v>515</v>
      </c>
      <c r="C166" t="s">
        <v>516</v>
      </c>
      <c r="D166" t="s">
        <v>517</v>
      </c>
      <c r="E166" s="1" t="s">
        <v>518</v>
      </c>
      <c r="F166" t="s">
        <v>11</v>
      </c>
      <c r="G166" s="2">
        <v>44235.546539351853</v>
      </c>
    </row>
    <row r="167" spans="1:7" ht="15" customHeight="1" x14ac:dyDescent="0.3">
      <c r="A167">
        <v>1360297</v>
      </c>
      <c r="B167" t="s">
        <v>20</v>
      </c>
      <c r="C167" t="s">
        <v>519</v>
      </c>
      <c r="D167" t="s">
        <v>520</v>
      </c>
      <c r="E167" s="1" t="s">
        <v>521</v>
      </c>
      <c r="F167" t="s">
        <v>24</v>
      </c>
      <c r="G167" s="2">
        <v>44235.54310185185</v>
      </c>
    </row>
    <row r="168" spans="1:7" ht="15" customHeight="1" x14ac:dyDescent="0.3">
      <c r="A168">
        <v>1360289</v>
      </c>
      <c r="B168" t="s">
        <v>222</v>
      </c>
      <c r="C168" t="s">
        <v>522</v>
      </c>
      <c r="D168" t="s">
        <v>523</v>
      </c>
      <c r="E168" s="1" t="s">
        <v>524</v>
      </c>
      <c r="F168" t="s">
        <v>11</v>
      </c>
      <c r="G168" s="2">
        <v>44235.515810185185</v>
      </c>
    </row>
    <row r="169" spans="1:7" ht="15" customHeight="1" x14ac:dyDescent="0.3">
      <c r="A169">
        <v>1360285</v>
      </c>
      <c r="B169" t="s">
        <v>118</v>
      </c>
      <c r="C169" t="s">
        <v>200</v>
      </c>
      <c r="D169" t="s">
        <v>525</v>
      </c>
      <c r="E169" s="1" t="s">
        <v>526</v>
      </c>
      <c r="F169" t="s">
        <v>11</v>
      </c>
      <c r="G169" s="2">
        <v>44235.512245370373</v>
      </c>
    </row>
    <row r="170" spans="1:7" ht="15" customHeight="1" x14ac:dyDescent="0.3">
      <c r="A170">
        <v>1360284</v>
      </c>
      <c r="B170" t="s">
        <v>118</v>
      </c>
      <c r="C170" t="s">
        <v>200</v>
      </c>
      <c r="D170" t="s">
        <v>527</v>
      </c>
      <c r="E170" s="1" t="s">
        <v>528</v>
      </c>
      <c r="F170" t="s">
        <v>11</v>
      </c>
      <c r="G170" s="2">
        <v>44235.5077662037</v>
      </c>
    </row>
    <row r="171" spans="1:7" ht="15" customHeight="1" x14ac:dyDescent="0.3">
      <c r="A171">
        <v>1360275</v>
      </c>
      <c r="B171" t="s">
        <v>20</v>
      </c>
      <c r="C171" t="s">
        <v>529</v>
      </c>
      <c r="D171" t="s">
        <v>530</v>
      </c>
      <c r="E171" t="s">
        <v>531</v>
      </c>
      <c r="F171" t="s">
        <v>24</v>
      </c>
      <c r="G171" s="2">
        <v>44235.483310185184</v>
      </c>
    </row>
    <row r="172" spans="1:7" ht="15" customHeight="1" x14ac:dyDescent="0.3">
      <c r="A172">
        <v>1360273</v>
      </c>
      <c r="B172" t="s">
        <v>20</v>
      </c>
      <c r="C172" t="s">
        <v>532</v>
      </c>
      <c r="D172" t="s">
        <v>533</v>
      </c>
      <c r="E172" s="1" t="s">
        <v>534</v>
      </c>
      <c r="F172" t="s">
        <v>24</v>
      </c>
      <c r="G172" s="2">
        <v>44235.478946759256</v>
      </c>
    </row>
    <row r="173" spans="1:7" ht="15" customHeight="1" x14ac:dyDescent="0.3">
      <c r="A173">
        <v>1360272</v>
      </c>
      <c r="B173" t="s">
        <v>157</v>
      </c>
      <c r="C173" t="s">
        <v>535</v>
      </c>
      <c r="D173" t="s">
        <v>536</v>
      </c>
      <c r="E173" s="1" t="s">
        <v>537</v>
      </c>
      <c r="F173" t="s">
        <v>11</v>
      </c>
      <c r="G173" s="2">
        <v>44235.478576388887</v>
      </c>
    </row>
    <row r="174" spans="1:7" ht="15" customHeight="1" x14ac:dyDescent="0.3">
      <c r="A174">
        <v>1360271</v>
      </c>
      <c r="B174" t="s">
        <v>20</v>
      </c>
      <c r="C174" t="s">
        <v>136</v>
      </c>
      <c r="D174" t="s">
        <v>538</v>
      </c>
      <c r="E174" s="1" t="s">
        <v>539</v>
      </c>
      <c r="F174" t="s">
        <v>11</v>
      </c>
      <c r="G174" s="2">
        <v>44235.477256944447</v>
      </c>
    </row>
    <row r="175" spans="1:7" ht="15" customHeight="1" x14ac:dyDescent="0.3">
      <c r="A175">
        <v>1360268</v>
      </c>
      <c r="B175" t="s">
        <v>540</v>
      </c>
      <c r="C175" t="s">
        <v>158</v>
      </c>
      <c r="D175" t="s">
        <v>541</v>
      </c>
      <c r="E175" s="1" t="s">
        <v>542</v>
      </c>
      <c r="F175" t="s">
        <v>24</v>
      </c>
      <c r="G175" s="2">
        <v>44235.473865740743</v>
      </c>
    </row>
    <row r="176" spans="1:7" ht="15" customHeight="1" x14ac:dyDescent="0.3">
      <c r="A176">
        <v>1360267</v>
      </c>
      <c r="B176" t="s">
        <v>431</v>
      </c>
      <c r="C176" t="s">
        <v>432</v>
      </c>
      <c r="D176" t="s">
        <v>543</v>
      </c>
      <c r="E176" s="1" t="s">
        <v>544</v>
      </c>
      <c r="F176" t="s">
        <v>11</v>
      </c>
      <c r="G176" s="2">
        <v>44235.471238425926</v>
      </c>
    </row>
    <row r="177" spans="1:7" ht="15" customHeight="1" x14ac:dyDescent="0.3">
      <c r="A177">
        <v>1360265</v>
      </c>
      <c r="B177" t="s">
        <v>545</v>
      </c>
      <c r="C177" t="s">
        <v>546</v>
      </c>
      <c r="D177" t="s">
        <v>547</v>
      </c>
      <c r="E177" s="1" t="s">
        <v>548</v>
      </c>
      <c r="F177" t="s">
        <v>24</v>
      </c>
      <c r="G177" s="2">
        <v>44235.470324074071</v>
      </c>
    </row>
    <row r="178" spans="1:7" ht="15" customHeight="1" x14ac:dyDescent="0.3">
      <c r="A178">
        <v>1360260</v>
      </c>
      <c r="B178" t="s">
        <v>157</v>
      </c>
      <c r="C178" t="s">
        <v>414</v>
      </c>
      <c r="D178" t="s">
        <v>549</v>
      </c>
      <c r="E178" s="1" t="s">
        <v>550</v>
      </c>
      <c r="F178" t="s">
        <v>11</v>
      </c>
      <c r="G178" s="2">
        <v>44235.456597222219</v>
      </c>
    </row>
    <row r="179" spans="1:7" ht="15" customHeight="1" x14ac:dyDescent="0.3">
      <c r="A179">
        <v>1360255</v>
      </c>
      <c r="B179" t="s">
        <v>157</v>
      </c>
      <c r="C179" t="s">
        <v>414</v>
      </c>
      <c r="D179" t="s">
        <v>551</v>
      </c>
      <c r="E179" s="1" t="s">
        <v>552</v>
      </c>
      <c r="F179" t="s">
        <v>11</v>
      </c>
      <c r="G179" s="2">
        <v>44235.443506944444</v>
      </c>
    </row>
    <row r="180" spans="1:7" ht="15" customHeight="1" x14ac:dyDescent="0.3">
      <c r="A180">
        <v>1360252</v>
      </c>
      <c r="B180" t="s">
        <v>553</v>
      </c>
      <c r="C180" t="s">
        <v>554</v>
      </c>
      <c r="D180" t="s">
        <v>555</v>
      </c>
      <c r="E180" s="1" t="s">
        <v>556</v>
      </c>
      <c r="F180" t="s">
        <v>11</v>
      </c>
      <c r="G180" s="2">
        <v>44235.440324074072</v>
      </c>
    </row>
    <row r="181" spans="1:7" ht="15" customHeight="1" x14ac:dyDescent="0.3">
      <c r="A181">
        <v>1360251</v>
      </c>
      <c r="B181" t="s">
        <v>177</v>
      </c>
      <c r="C181" t="s">
        <v>557</v>
      </c>
      <c r="D181" t="s">
        <v>558</v>
      </c>
      <c r="E181" t="s">
        <v>559</v>
      </c>
      <c r="F181" t="s">
        <v>24</v>
      </c>
      <c r="G181" s="2">
        <v>44235.4371875</v>
      </c>
    </row>
    <row r="182" spans="1:7" ht="15" customHeight="1" x14ac:dyDescent="0.3">
      <c r="A182">
        <v>1360250</v>
      </c>
      <c r="B182" t="s">
        <v>36</v>
      </c>
      <c r="C182" t="s">
        <v>263</v>
      </c>
      <c r="D182" t="s">
        <v>560</v>
      </c>
      <c r="E182" s="1" t="s">
        <v>561</v>
      </c>
      <c r="F182" t="s">
        <v>24</v>
      </c>
      <c r="G182" s="2">
        <v>44235.434004629627</v>
      </c>
    </row>
    <row r="183" spans="1:7" ht="15" customHeight="1" x14ac:dyDescent="0.3">
      <c r="A183">
        <v>1360247</v>
      </c>
      <c r="B183" t="s">
        <v>12</v>
      </c>
      <c r="C183" t="s">
        <v>562</v>
      </c>
      <c r="D183" t="s">
        <v>563</v>
      </c>
      <c r="E183" s="1" t="s">
        <v>564</v>
      </c>
      <c r="F183" t="s">
        <v>24</v>
      </c>
      <c r="G183" s="2">
        <v>44235.42728009259</v>
      </c>
    </row>
    <row r="184" spans="1:7" ht="15" customHeight="1" x14ac:dyDescent="0.3">
      <c r="A184">
        <v>1360245</v>
      </c>
      <c r="B184" t="s">
        <v>20</v>
      </c>
      <c r="C184" t="s">
        <v>565</v>
      </c>
      <c r="D184" t="s">
        <v>566</v>
      </c>
      <c r="E184" s="1" t="s">
        <v>567</v>
      </c>
      <c r="F184" t="s">
        <v>24</v>
      </c>
      <c r="G184" s="2">
        <v>44235.425775462965</v>
      </c>
    </row>
    <row r="185" spans="1:7" ht="15" customHeight="1" x14ac:dyDescent="0.3">
      <c r="A185">
        <v>1360213</v>
      </c>
      <c r="B185" t="s">
        <v>157</v>
      </c>
      <c r="C185" t="s">
        <v>568</v>
      </c>
      <c r="D185" t="s">
        <v>569</v>
      </c>
      <c r="E185" s="1" t="s">
        <v>570</v>
      </c>
      <c r="F185" t="s">
        <v>24</v>
      </c>
      <c r="G185" s="2">
        <v>44235.411874999998</v>
      </c>
    </row>
    <row r="186" spans="1:7" ht="15" customHeight="1" x14ac:dyDescent="0.3">
      <c r="A186">
        <v>1360204</v>
      </c>
      <c r="B186" t="s">
        <v>70</v>
      </c>
      <c r="C186" t="s">
        <v>369</v>
      </c>
      <c r="D186" t="s">
        <v>571</v>
      </c>
      <c r="E186" s="1" t="s">
        <v>572</v>
      </c>
      <c r="F186" t="s">
        <v>11</v>
      </c>
      <c r="G186" s="2">
        <v>44235.399872685186</v>
      </c>
    </row>
    <row r="187" spans="1:7" ht="15" customHeight="1" x14ac:dyDescent="0.3">
      <c r="A187">
        <v>1360193</v>
      </c>
      <c r="B187" t="s">
        <v>157</v>
      </c>
      <c r="C187" t="s">
        <v>573</v>
      </c>
      <c r="D187" t="s">
        <v>574</v>
      </c>
      <c r="E187" s="1" t="s">
        <v>575</v>
      </c>
      <c r="F187" t="s">
        <v>24</v>
      </c>
      <c r="G187" s="2">
        <v>44235.394050925926</v>
      </c>
    </row>
    <row r="188" spans="1:7" ht="15" customHeight="1" x14ac:dyDescent="0.3">
      <c r="A188">
        <v>1360188</v>
      </c>
      <c r="B188" t="s">
        <v>70</v>
      </c>
      <c r="C188" t="s">
        <v>71</v>
      </c>
      <c r="D188" t="s">
        <v>576</v>
      </c>
      <c r="E188" s="1" t="s">
        <v>577</v>
      </c>
      <c r="F188" t="s">
        <v>11</v>
      </c>
      <c r="G188" s="2">
        <v>44235.376261574071</v>
      </c>
    </row>
    <row r="189" spans="1:7" ht="15" customHeight="1" x14ac:dyDescent="0.3">
      <c r="A189">
        <v>1360185</v>
      </c>
      <c r="B189" t="s">
        <v>36</v>
      </c>
      <c r="C189" t="s">
        <v>578</v>
      </c>
      <c r="D189" t="s">
        <v>579</v>
      </c>
      <c r="E189" s="1" t="s">
        <v>580</v>
      </c>
      <c r="F189" t="s">
        <v>24</v>
      </c>
      <c r="G189" s="2">
        <v>44235.370844907404</v>
      </c>
    </row>
    <row r="190" spans="1:7" ht="15" customHeight="1" x14ac:dyDescent="0.3">
      <c r="A190">
        <v>1360184</v>
      </c>
      <c r="B190" t="s">
        <v>70</v>
      </c>
      <c r="C190" t="s">
        <v>581</v>
      </c>
      <c r="D190" t="s">
        <v>582</v>
      </c>
      <c r="E190" s="1" t="s">
        <v>583</v>
      </c>
      <c r="F190" t="s">
        <v>11</v>
      </c>
      <c r="G190" s="2">
        <v>44235.366226851853</v>
      </c>
    </row>
    <row r="191" spans="1:7" ht="15" customHeight="1" x14ac:dyDescent="0.3">
      <c r="A191">
        <v>1360175</v>
      </c>
      <c r="B191" t="s">
        <v>7</v>
      </c>
      <c r="C191" t="s">
        <v>584</v>
      </c>
      <c r="D191" t="s">
        <v>585</v>
      </c>
      <c r="E191" s="1" t="s">
        <v>586</v>
      </c>
      <c r="F191" t="s">
        <v>11</v>
      </c>
      <c r="G191" s="2">
        <v>44235.349409722221</v>
      </c>
    </row>
    <row r="192" spans="1:7" ht="15" customHeight="1" x14ac:dyDescent="0.3">
      <c r="A192">
        <v>1360174</v>
      </c>
      <c r="B192" t="s">
        <v>7</v>
      </c>
      <c r="C192" t="s">
        <v>107</v>
      </c>
      <c r="D192" t="s">
        <v>587</v>
      </c>
      <c r="E192" s="1" t="s">
        <v>588</v>
      </c>
      <c r="F192" t="s">
        <v>11</v>
      </c>
      <c r="G192" s="2">
        <v>44235.347731481481</v>
      </c>
    </row>
    <row r="193" spans="1:7" ht="15" customHeight="1" x14ac:dyDescent="0.3">
      <c r="A193">
        <v>1360162</v>
      </c>
      <c r="B193" t="s">
        <v>36</v>
      </c>
      <c r="C193" t="s">
        <v>589</v>
      </c>
      <c r="D193" t="s">
        <v>590</v>
      </c>
      <c r="E193" s="1" t="s">
        <v>591</v>
      </c>
      <c r="F193" t="s">
        <v>24</v>
      </c>
      <c r="G193" s="2">
        <v>44235.331365740742</v>
      </c>
    </row>
    <row r="194" spans="1:7" ht="15" customHeight="1" x14ac:dyDescent="0.3">
      <c r="A194">
        <v>1360158</v>
      </c>
      <c r="B194" t="s">
        <v>7</v>
      </c>
      <c r="C194" t="s">
        <v>592</v>
      </c>
      <c r="D194" t="s">
        <v>593</v>
      </c>
      <c r="E194" s="1" t="s">
        <v>594</v>
      </c>
      <c r="F194" t="s">
        <v>24</v>
      </c>
      <c r="G194" s="2">
        <v>44235.319421296299</v>
      </c>
    </row>
    <row r="195" spans="1:7" ht="15" customHeight="1" x14ac:dyDescent="0.3">
      <c r="A195">
        <v>1360155</v>
      </c>
      <c r="B195" t="s">
        <v>16</v>
      </c>
      <c r="C195" t="s">
        <v>595</v>
      </c>
      <c r="D195" t="s">
        <v>596</v>
      </c>
      <c r="E195" s="1" t="s">
        <v>597</v>
      </c>
      <c r="F195" t="s">
        <v>11</v>
      </c>
      <c r="G195" s="2">
        <v>44235.311342592591</v>
      </c>
    </row>
    <row r="196" spans="1:7" ht="15" customHeight="1" x14ac:dyDescent="0.3">
      <c r="A196">
        <v>1360141</v>
      </c>
      <c r="B196" t="s">
        <v>12</v>
      </c>
      <c r="C196" t="s">
        <v>598</v>
      </c>
      <c r="D196" t="s">
        <v>599</v>
      </c>
      <c r="E196" s="1" t="s">
        <v>600</v>
      </c>
      <c r="F196" t="s">
        <v>11</v>
      </c>
      <c r="G196" s="2">
        <v>44235.258310185185</v>
      </c>
    </row>
    <row r="197" spans="1:7" ht="15" customHeight="1" x14ac:dyDescent="0.3">
      <c r="A197">
        <v>1360085</v>
      </c>
      <c r="B197" t="s">
        <v>95</v>
      </c>
      <c r="C197" t="s">
        <v>601</v>
      </c>
      <c r="D197" t="s">
        <v>602</v>
      </c>
      <c r="E197" t="s">
        <v>603</v>
      </c>
      <c r="F197" t="s">
        <v>188</v>
      </c>
      <c r="G197" s="2">
        <v>44235.042118055557</v>
      </c>
    </row>
    <row r="198" spans="1:7" ht="15" customHeight="1" x14ac:dyDescent="0.3">
      <c r="A198">
        <v>1359871</v>
      </c>
      <c r="B198" t="s">
        <v>7</v>
      </c>
      <c r="C198" t="s">
        <v>107</v>
      </c>
      <c r="D198" t="s">
        <v>604</v>
      </c>
      <c r="E198" t="s">
        <v>461</v>
      </c>
      <c r="F198" t="s">
        <v>462</v>
      </c>
      <c r="G198" s="2">
        <v>44234.7500462963</v>
      </c>
    </row>
    <row r="199" spans="1:7" ht="15" customHeight="1" x14ac:dyDescent="0.3">
      <c r="A199">
        <v>1359870</v>
      </c>
      <c r="B199" t="s">
        <v>7</v>
      </c>
      <c r="C199" t="s">
        <v>107</v>
      </c>
      <c r="D199" t="s">
        <v>605</v>
      </c>
      <c r="E199" t="s">
        <v>461</v>
      </c>
      <c r="F199" t="s">
        <v>462</v>
      </c>
      <c r="G199" s="2">
        <v>44234.750034722223</v>
      </c>
    </row>
    <row r="200" spans="1:7" ht="15" customHeight="1" x14ac:dyDescent="0.3">
      <c r="A200">
        <v>1359857</v>
      </c>
      <c r="B200" t="s">
        <v>606</v>
      </c>
      <c r="C200" t="s">
        <v>158</v>
      </c>
      <c r="D200" t="s">
        <v>607</v>
      </c>
      <c r="E200" s="1" t="s">
        <v>608</v>
      </c>
      <c r="F200" t="s">
        <v>11</v>
      </c>
      <c r="G200" s="2">
        <v>44234.713692129626</v>
      </c>
    </row>
    <row r="201" spans="1:7" ht="15" customHeight="1" x14ac:dyDescent="0.3">
      <c r="A201">
        <v>1359838</v>
      </c>
      <c r="B201" t="s">
        <v>53</v>
      </c>
      <c r="C201" t="s">
        <v>609</v>
      </c>
      <c r="D201" t="s">
        <v>610</v>
      </c>
      <c r="E201" s="1" t="s">
        <v>611</v>
      </c>
      <c r="F201" t="s">
        <v>11</v>
      </c>
      <c r="G201" s="2">
        <v>44234.569293981483</v>
      </c>
    </row>
    <row r="202" spans="1:7" ht="15" customHeight="1" x14ac:dyDescent="0.3">
      <c r="A202">
        <v>1359297</v>
      </c>
      <c r="B202" t="s">
        <v>7</v>
      </c>
      <c r="C202" t="s">
        <v>158</v>
      </c>
      <c r="D202" t="s">
        <v>612</v>
      </c>
      <c r="E202" s="1" t="s">
        <v>613</v>
      </c>
      <c r="F202" t="s">
        <v>11</v>
      </c>
      <c r="G202" s="2">
        <v>44233.093333333331</v>
      </c>
    </row>
    <row r="203" spans="1:7" ht="15" customHeight="1" x14ac:dyDescent="0.3">
      <c r="A203">
        <v>1359134</v>
      </c>
      <c r="B203" t="s">
        <v>614</v>
      </c>
      <c r="C203" t="s">
        <v>158</v>
      </c>
      <c r="D203" t="s">
        <v>615</v>
      </c>
      <c r="E203" s="1" t="s">
        <v>616</v>
      </c>
      <c r="F203" t="s">
        <v>11</v>
      </c>
      <c r="G203" s="2">
        <v>44232.882986111108</v>
      </c>
    </row>
    <row r="204" spans="1:7" ht="15" customHeight="1" x14ac:dyDescent="0.3">
      <c r="A204">
        <v>1359040</v>
      </c>
      <c r="B204" t="s">
        <v>16</v>
      </c>
      <c r="C204" t="s">
        <v>181</v>
      </c>
      <c r="D204" t="s">
        <v>617</v>
      </c>
      <c r="E204" t="s">
        <v>461</v>
      </c>
      <c r="F204" t="s">
        <v>462</v>
      </c>
      <c r="G204" s="2">
        <v>44232.750034722223</v>
      </c>
    </row>
    <row r="205" spans="1:7" ht="15" customHeight="1" x14ac:dyDescent="0.3">
      <c r="A205">
        <v>1359039</v>
      </c>
      <c r="B205" t="s">
        <v>618</v>
      </c>
      <c r="C205" t="s">
        <v>619</v>
      </c>
      <c r="D205" t="s">
        <v>620</v>
      </c>
      <c r="E205" t="s">
        <v>461</v>
      </c>
      <c r="F205" t="s">
        <v>462</v>
      </c>
      <c r="G205" s="2">
        <v>44232.750011574077</v>
      </c>
    </row>
    <row r="206" spans="1:7" ht="15" customHeight="1" x14ac:dyDescent="0.3">
      <c r="A206">
        <v>1359028</v>
      </c>
      <c r="B206" t="s">
        <v>621</v>
      </c>
      <c r="C206" t="s">
        <v>622</v>
      </c>
      <c r="D206" t="s">
        <v>623</v>
      </c>
      <c r="E206" s="1" t="s">
        <v>624</v>
      </c>
      <c r="F206" t="s">
        <v>11</v>
      </c>
      <c r="G206" s="2">
        <v>44232.727905092594</v>
      </c>
    </row>
    <row r="207" spans="1:7" ht="15" customHeight="1" x14ac:dyDescent="0.3">
      <c r="A207">
        <v>1359013</v>
      </c>
      <c r="B207" t="s">
        <v>503</v>
      </c>
      <c r="D207" t="s">
        <v>625</v>
      </c>
      <c r="E207" s="1" t="s">
        <v>626</v>
      </c>
      <c r="F207" t="s">
        <v>11</v>
      </c>
      <c r="G207" s="2">
        <v>44232.701921296299</v>
      </c>
    </row>
    <row r="208" spans="1:7" ht="15" customHeight="1" x14ac:dyDescent="0.3">
      <c r="A208">
        <v>1359008</v>
      </c>
      <c r="B208" t="s">
        <v>157</v>
      </c>
      <c r="C208" t="s">
        <v>627</v>
      </c>
      <c r="D208" t="s">
        <v>628</v>
      </c>
      <c r="E208" s="1" t="s">
        <v>629</v>
      </c>
      <c r="F208" t="s">
        <v>24</v>
      </c>
      <c r="G208" s="2">
        <v>44232.679965277777</v>
      </c>
    </row>
    <row r="209" spans="1:7" ht="15" customHeight="1" x14ac:dyDescent="0.3">
      <c r="A209">
        <v>1359007</v>
      </c>
      <c r="B209" t="s">
        <v>16</v>
      </c>
      <c r="C209" t="s">
        <v>181</v>
      </c>
      <c r="D209" t="s">
        <v>625</v>
      </c>
      <c r="E209" s="1" t="s">
        <v>630</v>
      </c>
      <c r="F209" t="s">
        <v>11</v>
      </c>
      <c r="G209" s="2">
        <v>44232.678159722222</v>
      </c>
    </row>
    <row r="210" spans="1:7" ht="15" customHeight="1" x14ac:dyDescent="0.3">
      <c r="A210">
        <v>1359004</v>
      </c>
      <c r="B210" t="s">
        <v>20</v>
      </c>
      <c r="C210" t="s">
        <v>136</v>
      </c>
      <c r="D210" t="s">
        <v>631</v>
      </c>
      <c r="E210" s="1" t="s">
        <v>632</v>
      </c>
      <c r="F210" t="s">
        <v>11</v>
      </c>
      <c r="G210" s="2">
        <v>44232.672766203701</v>
      </c>
    </row>
    <row r="211" spans="1:7" ht="15" customHeight="1" x14ac:dyDescent="0.3">
      <c r="A211">
        <v>1358999</v>
      </c>
      <c r="B211" t="s">
        <v>20</v>
      </c>
      <c r="C211" t="s">
        <v>78</v>
      </c>
      <c r="D211" t="s">
        <v>633</v>
      </c>
      <c r="E211" s="1" t="s">
        <v>634</v>
      </c>
      <c r="F211" t="s">
        <v>11</v>
      </c>
      <c r="G211" s="2">
        <v>44232.669687499998</v>
      </c>
    </row>
    <row r="212" spans="1:7" ht="15" customHeight="1" x14ac:dyDescent="0.3">
      <c r="A212">
        <v>1358997</v>
      </c>
      <c r="B212" t="s">
        <v>20</v>
      </c>
      <c r="C212" t="s">
        <v>78</v>
      </c>
      <c r="D212" t="s">
        <v>635</v>
      </c>
      <c r="E212" s="1" t="s">
        <v>636</v>
      </c>
      <c r="F212" t="s">
        <v>11</v>
      </c>
      <c r="G212" s="2">
        <v>44232.669085648151</v>
      </c>
    </row>
    <row r="213" spans="1:7" ht="15" customHeight="1" x14ac:dyDescent="0.3">
      <c r="A213">
        <v>1358996</v>
      </c>
      <c r="B213" t="s">
        <v>20</v>
      </c>
      <c r="C213" t="s">
        <v>136</v>
      </c>
      <c r="D213" t="s">
        <v>637</v>
      </c>
      <c r="E213" s="1" t="s">
        <v>638</v>
      </c>
      <c r="F213" t="s">
        <v>11</v>
      </c>
      <c r="G213" s="2">
        <v>44232.668715277781</v>
      </c>
    </row>
    <row r="214" spans="1:7" ht="15" customHeight="1" x14ac:dyDescent="0.3">
      <c r="A214">
        <v>1358994</v>
      </c>
      <c r="B214" t="s">
        <v>20</v>
      </c>
      <c r="C214" t="s">
        <v>136</v>
      </c>
      <c r="D214" t="s">
        <v>639</v>
      </c>
      <c r="E214" s="1" t="s">
        <v>640</v>
      </c>
      <c r="F214" t="s">
        <v>11</v>
      </c>
      <c r="G214" s="2">
        <v>44232.66846064815</v>
      </c>
    </row>
    <row r="215" spans="1:7" ht="15" customHeight="1" x14ac:dyDescent="0.3">
      <c r="A215">
        <v>1358993</v>
      </c>
      <c r="B215" t="s">
        <v>20</v>
      </c>
      <c r="C215" t="s">
        <v>78</v>
      </c>
      <c r="D215" t="s">
        <v>641</v>
      </c>
      <c r="E215" s="1" t="s">
        <v>642</v>
      </c>
      <c r="F215" t="s">
        <v>11</v>
      </c>
      <c r="G215" s="2">
        <v>44232.664814814816</v>
      </c>
    </row>
    <row r="216" spans="1:7" ht="15" customHeight="1" x14ac:dyDescent="0.3">
      <c r="A216">
        <v>1358990</v>
      </c>
      <c r="B216" t="s">
        <v>177</v>
      </c>
      <c r="C216" t="s">
        <v>643</v>
      </c>
      <c r="D216" t="s">
        <v>644</v>
      </c>
      <c r="E216" s="1" t="s">
        <v>645</v>
      </c>
      <c r="F216" t="s">
        <v>24</v>
      </c>
      <c r="G216" s="2">
        <v>44232.66128472222</v>
      </c>
    </row>
    <row r="217" spans="1:7" ht="15" customHeight="1" x14ac:dyDescent="0.3">
      <c r="A217">
        <v>1358986</v>
      </c>
      <c r="B217" t="s">
        <v>36</v>
      </c>
      <c r="C217" t="s">
        <v>646</v>
      </c>
      <c r="D217" t="s">
        <v>647</v>
      </c>
      <c r="E217" s="1" t="s">
        <v>648</v>
      </c>
      <c r="F217" t="s">
        <v>11</v>
      </c>
      <c r="G217" s="2">
        <v>44232.651516203703</v>
      </c>
    </row>
    <row r="218" spans="1:7" ht="15" customHeight="1" x14ac:dyDescent="0.3">
      <c r="A218">
        <v>1358985</v>
      </c>
      <c r="B218" t="s">
        <v>16</v>
      </c>
      <c r="C218" t="s">
        <v>649</v>
      </c>
      <c r="D218" t="s">
        <v>650</v>
      </c>
      <c r="E218" s="1" t="s">
        <v>651</v>
      </c>
      <c r="F218" t="s">
        <v>11</v>
      </c>
      <c r="G218" s="2">
        <v>44232.646168981482</v>
      </c>
    </row>
    <row r="219" spans="1:7" ht="15" customHeight="1" x14ac:dyDescent="0.3">
      <c r="A219">
        <v>1358983</v>
      </c>
      <c r="B219" t="s">
        <v>20</v>
      </c>
      <c r="C219" t="s">
        <v>78</v>
      </c>
      <c r="D219" t="s">
        <v>652</v>
      </c>
      <c r="E219" s="1" t="s">
        <v>653</v>
      </c>
      <c r="F219" t="s">
        <v>11</v>
      </c>
      <c r="G219" s="2">
        <v>44232.645335648151</v>
      </c>
    </row>
    <row r="220" spans="1:7" ht="15" customHeight="1" x14ac:dyDescent="0.3">
      <c r="A220">
        <v>1358982</v>
      </c>
      <c r="B220" t="s">
        <v>20</v>
      </c>
      <c r="C220" t="s">
        <v>78</v>
      </c>
      <c r="D220" t="s">
        <v>654</v>
      </c>
      <c r="E220" s="1" t="s">
        <v>655</v>
      </c>
      <c r="F220" t="s">
        <v>11</v>
      </c>
      <c r="G220" s="2">
        <v>44232.645069444443</v>
      </c>
    </row>
    <row r="221" spans="1:7" ht="15" customHeight="1" x14ac:dyDescent="0.3">
      <c r="A221">
        <v>1358974</v>
      </c>
      <c r="B221" t="s">
        <v>350</v>
      </c>
      <c r="C221" t="s">
        <v>351</v>
      </c>
      <c r="D221" t="s">
        <v>656</v>
      </c>
      <c r="E221" s="1" t="s">
        <v>657</v>
      </c>
      <c r="F221" t="s">
        <v>24</v>
      </c>
      <c r="G221" s="2">
        <v>44232.615868055553</v>
      </c>
    </row>
    <row r="222" spans="1:7" ht="15" customHeight="1" x14ac:dyDescent="0.3">
      <c r="A222">
        <v>1358966</v>
      </c>
      <c r="B222" t="s">
        <v>53</v>
      </c>
      <c r="C222" t="s">
        <v>54</v>
      </c>
      <c r="D222" t="s">
        <v>658</v>
      </c>
      <c r="E222" s="1" t="s">
        <v>659</v>
      </c>
      <c r="F222" t="s">
        <v>11</v>
      </c>
      <c r="G222" s="2">
        <v>44232.587199074071</v>
      </c>
    </row>
    <row r="223" spans="1:7" ht="15" customHeight="1" x14ac:dyDescent="0.3">
      <c r="A223">
        <v>1358956</v>
      </c>
      <c r="B223" t="s">
        <v>70</v>
      </c>
      <c r="C223" t="s">
        <v>660</v>
      </c>
      <c r="D223" t="s">
        <v>661</v>
      </c>
      <c r="E223" s="1" t="s">
        <v>662</v>
      </c>
      <c r="F223" t="s">
        <v>11</v>
      </c>
      <c r="G223" s="2">
        <v>44232.565254629626</v>
      </c>
    </row>
    <row r="224" spans="1:7" ht="15" customHeight="1" x14ac:dyDescent="0.3">
      <c r="A224">
        <v>1358952</v>
      </c>
      <c r="B224" t="s">
        <v>374</v>
      </c>
      <c r="C224" t="s">
        <v>663</v>
      </c>
      <c r="D224" t="s">
        <v>664</v>
      </c>
      <c r="E224" s="1" t="s">
        <v>665</v>
      </c>
      <c r="F224" t="s">
        <v>11</v>
      </c>
      <c r="G224" s="2">
        <v>44232.556770833333</v>
      </c>
    </row>
    <row r="225" spans="1:7" ht="15" customHeight="1" x14ac:dyDescent="0.3">
      <c r="A225">
        <v>1358951</v>
      </c>
      <c r="B225" t="s">
        <v>222</v>
      </c>
      <c r="C225" t="s">
        <v>522</v>
      </c>
      <c r="D225" t="s">
        <v>666</v>
      </c>
      <c r="E225" s="1" t="s">
        <v>667</v>
      </c>
      <c r="F225" t="s">
        <v>24</v>
      </c>
      <c r="G225" s="2">
        <v>44232.553553240738</v>
      </c>
    </row>
    <row r="226" spans="1:7" ht="15" customHeight="1" x14ac:dyDescent="0.3">
      <c r="A226">
        <v>1358949</v>
      </c>
      <c r="B226" t="s">
        <v>95</v>
      </c>
      <c r="C226" t="s">
        <v>668</v>
      </c>
      <c r="D226" t="s">
        <v>669</v>
      </c>
      <c r="E226" s="1" t="s">
        <v>670</v>
      </c>
      <c r="F226" t="s">
        <v>11</v>
      </c>
      <c r="G226" s="2">
        <v>44232.548761574071</v>
      </c>
    </row>
    <row r="227" spans="1:7" ht="15" customHeight="1" x14ac:dyDescent="0.3">
      <c r="A227">
        <v>1358945</v>
      </c>
      <c r="B227" t="s">
        <v>435</v>
      </c>
      <c r="C227" t="s">
        <v>436</v>
      </c>
      <c r="D227" t="s">
        <v>671</v>
      </c>
      <c r="E227" s="1" t="s">
        <v>672</v>
      </c>
      <c r="F227" t="s">
        <v>11</v>
      </c>
      <c r="G227" s="2">
        <v>44232.545555555553</v>
      </c>
    </row>
    <row r="228" spans="1:7" ht="15" customHeight="1" x14ac:dyDescent="0.3">
      <c r="A228">
        <v>1358944</v>
      </c>
      <c r="B228" t="s">
        <v>36</v>
      </c>
      <c r="C228" t="s">
        <v>673</v>
      </c>
      <c r="D228" t="s">
        <v>674</v>
      </c>
      <c r="E228" s="1" t="s">
        <v>675</v>
      </c>
      <c r="F228" t="s">
        <v>24</v>
      </c>
      <c r="G228" s="2">
        <v>44232.543113425927</v>
      </c>
    </row>
    <row r="229" spans="1:7" ht="15" customHeight="1" x14ac:dyDescent="0.3">
      <c r="A229">
        <v>1358940</v>
      </c>
      <c r="B229" t="s">
        <v>53</v>
      </c>
      <c r="C229" t="s">
        <v>676</v>
      </c>
      <c r="D229" t="s">
        <v>677</v>
      </c>
      <c r="E229" s="1" t="s">
        <v>678</v>
      </c>
      <c r="F229" t="s">
        <v>11</v>
      </c>
      <c r="G229" s="2">
        <v>44232.536423611113</v>
      </c>
    </row>
    <row r="230" spans="1:7" ht="15" customHeight="1" x14ac:dyDescent="0.3">
      <c r="A230">
        <v>1358937</v>
      </c>
      <c r="B230" t="s">
        <v>95</v>
      </c>
      <c r="C230" t="s">
        <v>129</v>
      </c>
      <c r="D230" t="s">
        <v>679</v>
      </c>
      <c r="E230" s="1" t="s">
        <v>680</v>
      </c>
      <c r="F230" t="s">
        <v>11</v>
      </c>
      <c r="G230" s="2">
        <v>44232.521319444444</v>
      </c>
    </row>
    <row r="231" spans="1:7" ht="15" customHeight="1" x14ac:dyDescent="0.3">
      <c r="A231">
        <v>1358919</v>
      </c>
      <c r="B231" t="s">
        <v>222</v>
      </c>
      <c r="C231" t="s">
        <v>681</v>
      </c>
      <c r="D231" t="s">
        <v>682</v>
      </c>
      <c r="E231" s="1" t="s">
        <v>683</v>
      </c>
      <c r="F231" t="s">
        <v>24</v>
      </c>
      <c r="G231" s="2">
        <v>44232.493020833332</v>
      </c>
    </row>
    <row r="232" spans="1:7" ht="15" customHeight="1" x14ac:dyDescent="0.3">
      <c r="A232">
        <v>1358917</v>
      </c>
      <c r="B232" t="s">
        <v>49</v>
      </c>
      <c r="C232" t="s">
        <v>684</v>
      </c>
      <c r="D232" t="s">
        <v>685</v>
      </c>
      <c r="E232" s="1" t="s">
        <v>686</v>
      </c>
      <c r="F232" t="s">
        <v>11</v>
      </c>
      <c r="G232" s="2">
        <v>44232.491354166668</v>
      </c>
    </row>
    <row r="233" spans="1:7" ht="15" customHeight="1" x14ac:dyDescent="0.3">
      <c r="A233">
        <v>1358907</v>
      </c>
      <c r="B233" t="s">
        <v>230</v>
      </c>
      <c r="C233" t="s">
        <v>687</v>
      </c>
      <c r="D233" t="s">
        <v>688</v>
      </c>
      <c r="E233" s="1" t="s">
        <v>689</v>
      </c>
      <c r="F233" t="s">
        <v>24</v>
      </c>
      <c r="G233" s="2">
        <v>44232.475219907406</v>
      </c>
    </row>
    <row r="234" spans="1:7" ht="15" customHeight="1" x14ac:dyDescent="0.3">
      <c r="A234">
        <v>1358891</v>
      </c>
      <c r="B234" t="s">
        <v>503</v>
      </c>
      <c r="D234" t="s">
        <v>690</v>
      </c>
      <c r="E234" s="1" t="s">
        <v>691</v>
      </c>
      <c r="F234" t="s">
        <v>11</v>
      </c>
      <c r="G234" s="2">
        <v>44232.43855324074</v>
      </c>
    </row>
    <row r="235" spans="1:7" ht="15" customHeight="1" x14ac:dyDescent="0.3">
      <c r="A235">
        <v>1358887</v>
      </c>
      <c r="B235" t="s">
        <v>20</v>
      </c>
      <c r="C235" t="s">
        <v>692</v>
      </c>
      <c r="D235" t="s">
        <v>693</v>
      </c>
      <c r="E235" s="1" t="s">
        <v>694</v>
      </c>
      <c r="F235" t="s">
        <v>11</v>
      </c>
      <c r="G235" s="2">
        <v>44232.43346064815</v>
      </c>
    </row>
    <row r="236" spans="1:7" ht="15" customHeight="1" x14ac:dyDescent="0.3">
      <c r="A236">
        <v>1358886</v>
      </c>
      <c r="B236" t="s">
        <v>36</v>
      </c>
      <c r="C236" t="s">
        <v>343</v>
      </c>
      <c r="D236" t="s">
        <v>695</v>
      </c>
      <c r="E236" s="1" t="s">
        <v>696</v>
      </c>
      <c r="F236" t="s">
        <v>11</v>
      </c>
      <c r="G236" s="2">
        <v>44232.431921296295</v>
      </c>
    </row>
    <row r="237" spans="1:7" ht="15" customHeight="1" x14ac:dyDescent="0.3">
      <c r="A237">
        <v>1358851</v>
      </c>
      <c r="B237" t="s">
        <v>53</v>
      </c>
      <c r="C237" t="s">
        <v>697</v>
      </c>
      <c r="D237" t="s">
        <v>698</v>
      </c>
      <c r="E237" s="1" t="s">
        <v>699</v>
      </c>
      <c r="F237" t="s">
        <v>11</v>
      </c>
      <c r="G237" s="2">
        <v>44232.413124999999</v>
      </c>
    </row>
    <row r="238" spans="1:7" ht="15" customHeight="1" x14ac:dyDescent="0.3">
      <c r="A238">
        <v>1358848</v>
      </c>
      <c r="B238" t="s">
        <v>36</v>
      </c>
      <c r="C238" t="s">
        <v>700</v>
      </c>
      <c r="D238" t="s">
        <v>701</v>
      </c>
      <c r="E238" s="1" t="s">
        <v>702</v>
      </c>
      <c r="F238" t="s">
        <v>24</v>
      </c>
      <c r="G238" s="2">
        <v>44232.409722222219</v>
      </c>
    </row>
    <row r="239" spans="1:7" ht="15" customHeight="1" x14ac:dyDescent="0.3">
      <c r="A239">
        <v>1358847</v>
      </c>
      <c r="B239" t="s">
        <v>91</v>
      </c>
      <c r="C239" t="s">
        <v>305</v>
      </c>
      <c r="D239" t="s">
        <v>703</v>
      </c>
      <c r="E239" s="1" t="s">
        <v>704</v>
      </c>
      <c r="F239" t="s">
        <v>11</v>
      </c>
      <c r="G239" s="2">
        <v>44232.408425925925</v>
      </c>
    </row>
    <row r="240" spans="1:7" ht="15" customHeight="1" x14ac:dyDescent="0.3">
      <c r="A240">
        <v>1358846</v>
      </c>
      <c r="B240" t="s">
        <v>16</v>
      </c>
      <c r="C240" t="s">
        <v>705</v>
      </c>
      <c r="D240" t="s">
        <v>706</v>
      </c>
      <c r="E240" s="1" t="s">
        <v>707</v>
      </c>
      <c r="F240" t="s">
        <v>24</v>
      </c>
      <c r="G240" s="2">
        <v>44232.407847222225</v>
      </c>
    </row>
    <row r="241" spans="1:7" ht="15" customHeight="1" x14ac:dyDescent="0.3">
      <c r="A241">
        <v>1358813</v>
      </c>
      <c r="B241" t="s">
        <v>157</v>
      </c>
      <c r="C241" t="s">
        <v>708</v>
      </c>
      <c r="D241" t="s">
        <v>709</v>
      </c>
      <c r="E241" s="1" t="s">
        <v>710</v>
      </c>
      <c r="F241" t="s">
        <v>24</v>
      </c>
      <c r="G241" s="2">
        <v>44232.359652777777</v>
      </c>
    </row>
    <row r="242" spans="1:7" ht="15" customHeight="1" x14ac:dyDescent="0.3">
      <c r="A242">
        <v>1358732</v>
      </c>
      <c r="B242" t="s">
        <v>384</v>
      </c>
      <c r="C242" t="s">
        <v>385</v>
      </c>
      <c r="D242" t="s">
        <v>711</v>
      </c>
      <c r="E242" s="1" t="s">
        <v>712</v>
      </c>
      <c r="F242" t="s">
        <v>11</v>
      </c>
      <c r="G242" s="2">
        <v>44232.208564814813</v>
      </c>
    </row>
    <row r="243" spans="1:7" ht="15" customHeight="1" x14ac:dyDescent="0.3">
      <c r="A243">
        <v>1358545</v>
      </c>
      <c r="B243" t="s">
        <v>157</v>
      </c>
      <c r="C243" t="s">
        <v>713</v>
      </c>
      <c r="D243" t="s">
        <v>714</v>
      </c>
      <c r="E243" s="1" t="s">
        <v>715</v>
      </c>
      <c r="F243" t="s">
        <v>11</v>
      </c>
      <c r="G243" s="2">
        <v>44231.8903125</v>
      </c>
    </row>
    <row r="244" spans="1:7" ht="15" customHeight="1" x14ac:dyDescent="0.3">
      <c r="A244">
        <v>1358442</v>
      </c>
      <c r="B244" t="s">
        <v>177</v>
      </c>
      <c r="C244" t="s">
        <v>643</v>
      </c>
      <c r="D244" t="s">
        <v>716</v>
      </c>
      <c r="E244" t="s">
        <v>461</v>
      </c>
      <c r="F244" t="s">
        <v>462</v>
      </c>
      <c r="G244" s="2">
        <v>44231.750034722223</v>
      </c>
    </row>
    <row r="245" spans="1:7" ht="15" customHeight="1" x14ac:dyDescent="0.3">
      <c r="A245">
        <v>1358426</v>
      </c>
      <c r="B245" t="s">
        <v>16</v>
      </c>
      <c r="C245" t="s">
        <v>394</v>
      </c>
      <c r="D245" t="s">
        <v>717</v>
      </c>
      <c r="E245" s="1" t="s">
        <v>718</v>
      </c>
      <c r="F245" t="s">
        <v>11</v>
      </c>
      <c r="G245" s="2">
        <v>44231.715763888889</v>
      </c>
    </row>
    <row r="246" spans="1:7" ht="15" customHeight="1" x14ac:dyDescent="0.3">
      <c r="A246">
        <v>1358413</v>
      </c>
      <c r="B246" t="s">
        <v>435</v>
      </c>
      <c r="C246" t="s">
        <v>436</v>
      </c>
      <c r="D246">
        <v>1352780</v>
      </c>
      <c r="E246" s="1" t="s">
        <v>719</v>
      </c>
      <c r="F246" t="s">
        <v>11</v>
      </c>
      <c r="G246" s="2">
        <v>44231.690150462964</v>
      </c>
    </row>
    <row r="247" spans="1:7" ht="15" customHeight="1" x14ac:dyDescent="0.3">
      <c r="A247">
        <v>1358412</v>
      </c>
      <c r="B247" t="s">
        <v>350</v>
      </c>
      <c r="C247" t="s">
        <v>351</v>
      </c>
      <c r="D247" t="s">
        <v>720</v>
      </c>
      <c r="E247" s="1" t="s">
        <v>721</v>
      </c>
      <c r="F247" t="s">
        <v>24</v>
      </c>
      <c r="G247" s="2">
        <v>44231.6875</v>
      </c>
    </row>
    <row r="248" spans="1:7" ht="15" customHeight="1" x14ac:dyDescent="0.3">
      <c r="A248">
        <v>1358401</v>
      </c>
      <c r="B248" t="s">
        <v>157</v>
      </c>
      <c r="C248" t="s">
        <v>158</v>
      </c>
      <c r="D248" t="s">
        <v>722</v>
      </c>
      <c r="E248" s="1" t="s">
        <v>723</v>
      </c>
      <c r="F248" t="s">
        <v>11</v>
      </c>
      <c r="G248" s="2">
        <v>44231.657118055555</v>
      </c>
    </row>
    <row r="249" spans="1:7" ht="15" customHeight="1" x14ac:dyDescent="0.3">
      <c r="A249">
        <v>1358399</v>
      </c>
      <c r="B249" t="s">
        <v>25</v>
      </c>
      <c r="C249" t="s">
        <v>724</v>
      </c>
      <c r="D249" t="s">
        <v>725</v>
      </c>
      <c r="E249" s="1" t="s">
        <v>726</v>
      </c>
      <c r="F249" t="s">
        <v>11</v>
      </c>
      <c r="G249" s="2">
        <v>44231.653032407405</v>
      </c>
    </row>
    <row r="250" spans="1:7" ht="15" customHeight="1" x14ac:dyDescent="0.3">
      <c r="A250">
        <v>1358393</v>
      </c>
      <c r="B250" t="s">
        <v>157</v>
      </c>
      <c r="C250" t="s">
        <v>627</v>
      </c>
      <c r="D250" t="s">
        <v>727</v>
      </c>
      <c r="E250" s="1" t="s">
        <v>728</v>
      </c>
      <c r="F250" t="s">
        <v>24</v>
      </c>
      <c r="G250" s="2">
        <v>44231.638437499998</v>
      </c>
    </row>
    <row r="251" spans="1:7" ht="15" customHeight="1" x14ac:dyDescent="0.3">
      <c r="A251">
        <v>1358387</v>
      </c>
      <c r="B251" t="s">
        <v>473</v>
      </c>
      <c r="C251" t="s">
        <v>729</v>
      </c>
      <c r="D251" t="s">
        <v>730</v>
      </c>
      <c r="E251" s="1" t="s">
        <v>731</v>
      </c>
      <c r="F251" t="s">
        <v>11</v>
      </c>
      <c r="G251" s="2">
        <v>44231.629479166666</v>
      </c>
    </row>
    <row r="252" spans="1:7" ht="15" customHeight="1" x14ac:dyDescent="0.3">
      <c r="A252">
        <v>1358386</v>
      </c>
      <c r="B252" t="s">
        <v>70</v>
      </c>
      <c r="C252" t="s">
        <v>732</v>
      </c>
      <c r="D252" t="s">
        <v>733</v>
      </c>
      <c r="E252" s="1" t="s">
        <v>734</v>
      </c>
      <c r="F252" t="s">
        <v>24</v>
      </c>
      <c r="G252" s="2">
        <v>44231.628946759258</v>
      </c>
    </row>
    <row r="253" spans="1:7" ht="15" customHeight="1" x14ac:dyDescent="0.3">
      <c r="A253">
        <v>1358385</v>
      </c>
      <c r="B253" t="s">
        <v>36</v>
      </c>
      <c r="C253" t="s">
        <v>646</v>
      </c>
      <c r="D253" t="s">
        <v>735</v>
      </c>
      <c r="E253" s="1" t="s">
        <v>736</v>
      </c>
      <c r="F253" t="s">
        <v>11</v>
      </c>
      <c r="G253" s="2">
        <v>44231.628831018519</v>
      </c>
    </row>
    <row r="254" spans="1:7" ht="15" customHeight="1" x14ac:dyDescent="0.3">
      <c r="A254">
        <v>1358382</v>
      </c>
      <c r="B254" t="s">
        <v>7</v>
      </c>
      <c r="C254" t="s">
        <v>158</v>
      </c>
      <c r="D254" t="s">
        <v>737</v>
      </c>
      <c r="E254" s="1" t="s">
        <v>738</v>
      </c>
      <c r="F254" t="s">
        <v>11</v>
      </c>
      <c r="G254" s="2">
        <v>44231.6175</v>
      </c>
    </row>
    <row r="255" spans="1:7" ht="15" customHeight="1" x14ac:dyDescent="0.3">
      <c r="A255">
        <v>1358379</v>
      </c>
      <c r="B255" t="s">
        <v>20</v>
      </c>
      <c r="C255" t="s">
        <v>739</v>
      </c>
      <c r="D255" t="s">
        <v>740</v>
      </c>
      <c r="E255" s="1" t="s">
        <v>741</v>
      </c>
      <c r="F255" t="s">
        <v>24</v>
      </c>
      <c r="G255" s="2">
        <v>44231.608530092592</v>
      </c>
    </row>
    <row r="256" spans="1:7" ht="15" customHeight="1" x14ac:dyDescent="0.3">
      <c r="A256">
        <v>1358372</v>
      </c>
      <c r="B256" t="s">
        <v>20</v>
      </c>
      <c r="C256" t="s">
        <v>742</v>
      </c>
      <c r="D256" t="s">
        <v>743</v>
      </c>
      <c r="E256" s="1" t="s">
        <v>744</v>
      </c>
      <c r="F256" t="s">
        <v>24</v>
      </c>
      <c r="G256" s="2">
        <v>44231.587361111109</v>
      </c>
    </row>
    <row r="257" spans="1:7" ht="15" customHeight="1" x14ac:dyDescent="0.3">
      <c r="A257">
        <v>1358367</v>
      </c>
      <c r="B257" t="s">
        <v>435</v>
      </c>
      <c r="C257" t="s">
        <v>436</v>
      </c>
      <c r="D257">
        <v>1358359</v>
      </c>
      <c r="E257" s="1" t="s">
        <v>745</v>
      </c>
      <c r="F257" t="s">
        <v>11</v>
      </c>
      <c r="G257" s="2">
        <v>44231.577847222223</v>
      </c>
    </row>
    <row r="258" spans="1:7" ht="15" customHeight="1" x14ac:dyDescent="0.3">
      <c r="A258">
        <v>1358362</v>
      </c>
      <c r="B258" t="s">
        <v>746</v>
      </c>
      <c r="C258" t="s">
        <v>747</v>
      </c>
      <c r="D258">
        <v>1273041</v>
      </c>
      <c r="E258" s="1" t="s">
        <v>748</v>
      </c>
      <c r="F258" t="s">
        <v>11</v>
      </c>
      <c r="G258" s="2">
        <v>44231.57309027778</v>
      </c>
    </row>
    <row r="259" spans="1:7" ht="15" customHeight="1" x14ac:dyDescent="0.3">
      <c r="A259">
        <v>1358358</v>
      </c>
      <c r="B259" t="s">
        <v>749</v>
      </c>
      <c r="C259" t="s">
        <v>158</v>
      </c>
      <c r="D259" t="s">
        <v>750</v>
      </c>
      <c r="E259" s="1" t="s">
        <v>751</v>
      </c>
      <c r="F259" t="s">
        <v>11</v>
      </c>
      <c r="G259" s="2">
        <v>44231.555115740739</v>
      </c>
    </row>
    <row r="260" spans="1:7" ht="15" customHeight="1" x14ac:dyDescent="0.3">
      <c r="A260">
        <v>1358357</v>
      </c>
      <c r="B260" t="s">
        <v>36</v>
      </c>
      <c r="C260" t="s">
        <v>752</v>
      </c>
      <c r="D260">
        <v>1357016</v>
      </c>
      <c r="E260" s="1" t="s">
        <v>753</v>
      </c>
      <c r="F260" t="s">
        <v>24</v>
      </c>
      <c r="G260" s="2">
        <v>44231.552870370368</v>
      </c>
    </row>
    <row r="261" spans="1:7" ht="15" customHeight="1" x14ac:dyDescent="0.3">
      <c r="A261">
        <v>1358355</v>
      </c>
      <c r="B261" t="s">
        <v>12</v>
      </c>
      <c r="C261" t="s">
        <v>754</v>
      </c>
      <c r="D261" t="s">
        <v>755</v>
      </c>
      <c r="E261" s="1" t="s">
        <v>756</v>
      </c>
      <c r="F261" t="s">
        <v>11</v>
      </c>
      <c r="G261" s="2">
        <v>44231.54179398148</v>
      </c>
    </row>
    <row r="262" spans="1:7" ht="15" customHeight="1" x14ac:dyDescent="0.3">
      <c r="A262">
        <v>1358352</v>
      </c>
      <c r="B262" t="s">
        <v>20</v>
      </c>
      <c r="C262" t="s">
        <v>757</v>
      </c>
      <c r="D262" t="s">
        <v>758</v>
      </c>
      <c r="E262" s="1" t="s">
        <v>759</v>
      </c>
      <c r="F262" t="s">
        <v>11</v>
      </c>
      <c r="G262" s="2">
        <v>44231.522662037038</v>
      </c>
    </row>
    <row r="263" spans="1:7" ht="15" customHeight="1" x14ac:dyDescent="0.3">
      <c r="A263">
        <v>1358342</v>
      </c>
      <c r="B263" t="s">
        <v>350</v>
      </c>
      <c r="C263" t="s">
        <v>351</v>
      </c>
      <c r="D263" t="s">
        <v>760</v>
      </c>
      <c r="E263" s="1" t="s">
        <v>761</v>
      </c>
      <c r="F263" t="s">
        <v>24</v>
      </c>
      <c r="G263" s="2">
        <v>44231.496712962966</v>
      </c>
    </row>
    <row r="264" spans="1:7" ht="15" customHeight="1" x14ac:dyDescent="0.3">
      <c r="A264">
        <v>1358338</v>
      </c>
      <c r="B264" t="s">
        <v>36</v>
      </c>
      <c r="C264" t="s">
        <v>762</v>
      </c>
      <c r="D264" t="s">
        <v>763</v>
      </c>
      <c r="E264" s="1" t="s">
        <v>764</v>
      </c>
      <c r="F264" t="s">
        <v>11</v>
      </c>
      <c r="G264" s="2">
        <v>44231.486030092594</v>
      </c>
    </row>
    <row r="265" spans="1:7" ht="15" customHeight="1" x14ac:dyDescent="0.3">
      <c r="A265">
        <v>1358337</v>
      </c>
      <c r="B265" t="s">
        <v>36</v>
      </c>
      <c r="C265" t="s">
        <v>765</v>
      </c>
      <c r="D265" t="s">
        <v>766</v>
      </c>
      <c r="E265" s="1" t="s">
        <v>767</v>
      </c>
      <c r="F265" t="s">
        <v>24</v>
      </c>
      <c r="G265" s="2">
        <v>44231.4844212963</v>
      </c>
    </row>
    <row r="266" spans="1:7" ht="15" customHeight="1" x14ac:dyDescent="0.3">
      <c r="A266">
        <v>1358335</v>
      </c>
      <c r="B266" t="s">
        <v>350</v>
      </c>
      <c r="C266" t="s">
        <v>768</v>
      </c>
      <c r="D266" t="s">
        <v>769</v>
      </c>
      <c r="E266" s="1" t="s">
        <v>770</v>
      </c>
      <c r="F266" t="s">
        <v>24</v>
      </c>
      <c r="G266" s="2">
        <v>44231.477141203701</v>
      </c>
    </row>
    <row r="267" spans="1:7" ht="15" customHeight="1" x14ac:dyDescent="0.3">
      <c r="A267">
        <v>1358331</v>
      </c>
      <c r="B267" t="s">
        <v>20</v>
      </c>
      <c r="C267" t="s">
        <v>771</v>
      </c>
      <c r="D267" t="s">
        <v>772</v>
      </c>
      <c r="E267" s="1" t="s">
        <v>773</v>
      </c>
      <c r="F267" t="s">
        <v>24</v>
      </c>
      <c r="G267" s="2">
        <v>44231.469178240739</v>
      </c>
    </row>
    <row r="268" spans="1:7" ht="15" customHeight="1" x14ac:dyDescent="0.3">
      <c r="A268">
        <v>1358318</v>
      </c>
      <c r="B268" t="s">
        <v>774</v>
      </c>
      <c r="C268" t="s">
        <v>775</v>
      </c>
      <c r="D268" t="s">
        <v>776</v>
      </c>
      <c r="E268" s="1" t="s">
        <v>777</v>
      </c>
      <c r="F268" t="s">
        <v>11</v>
      </c>
      <c r="G268" s="2">
        <v>44231.455057870371</v>
      </c>
    </row>
    <row r="269" spans="1:7" ht="15" customHeight="1" x14ac:dyDescent="0.3">
      <c r="A269">
        <v>1358317</v>
      </c>
      <c r="B269" t="s">
        <v>20</v>
      </c>
      <c r="C269" t="s">
        <v>778</v>
      </c>
      <c r="D269" t="s">
        <v>779</v>
      </c>
      <c r="E269" s="1" t="s">
        <v>780</v>
      </c>
      <c r="F269" t="s">
        <v>24</v>
      </c>
      <c r="G269" s="2">
        <v>44231.454664351855</v>
      </c>
    </row>
    <row r="270" spans="1:7" ht="15" customHeight="1" x14ac:dyDescent="0.3">
      <c r="A270">
        <v>1358316</v>
      </c>
      <c r="B270" t="s">
        <v>350</v>
      </c>
      <c r="C270" t="s">
        <v>351</v>
      </c>
      <c r="D270" t="s">
        <v>781</v>
      </c>
      <c r="E270" s="1" t="s">
        <v>782</v>
      </c>
      <c r="F270" t="s">
        <v>24</v>
      </c>
      <c r="G270" s="2">
        <v>44231.4530787037</v>
      </c>
    </row>
    <row r="271" spans="1:7" ht="15" customHeight="1" x14ac:dyDescent="0.3">
      <c r="A271">
        <v>1358314</v>
      </c>
      <c r="B271" t="s">
        <v>290</v>
      </c>
      <c r="C271" t="s">
        <v>308</v>
      </c>
      <c r="D271" t="s">
        <v>783</v>
      </c>
      <c r="E271" s="1" t="s">
        <v>784</v>
      </c>
      <c r="F271" t="s">
        <v>11</v>
      </c>
      <c r="G271" s="2">
        <v>44231.451145833336</v>
      </c>
    </row>
    <row r="272" spans="1:7" ht="15" customHeight="1" x14ac:dyDescent="0.3">
      <c r="A272">
        <v>1358274</v>
      </c>
      <c r="B272" t="s">
        <v>785</v>
      </c>
      <c r="C272" t="s">
        <v>786</v>
      </c>
      <c r="D272" t="s">
        <v>787</v>
      </c>
      <c r="E272" s="1" t="s">
        <v>788</v>
      </c>
      <c r="F272" t="s">
        <v>11</v>
      </c>
      <c r="G272" s="2">
        <v>44231.412395833337</v>
      </c>
    </row>
    <row r="273" spans="1:7" ht="15" customHeight="1" x14ac:dyDescent="0.3">
      <c r="A273">
        <v>1358268</v>
      </c>
      <c r="B273" t="s">
        <v>7</v>
      </c>
      <c r="C273" t="s">
        <v>789</v>
      </c>
      <c r="D273" t="s">
        <v>790</v>
      </c>
      <c r="E273" s="1" t="s">
        <v>791</v>
      </c>
      <c r="F273" t="s">
        <v>11</v>
      </c>
      <c r="G273" s="2">
        <v>44231.391145833331</v>
      </c>
    </row>
    <row r="274" spans="1:7" ht="15" customHeight="1" x14ac:dyDescent="0.3">
      <c r="A274">
        <v>1358258</v>
      </c>
      <c r="B274" t="s">
        <v>350</v>
      </c>
      <c r="C274" t="s">
        <v>351</v>
      </c>
      <c r="D274" t="s">
        <v>792</v>
      </c>
      <c r="E274" s="1" t="s">
        <v>793</v>
      </c>
      <c r="F274" t="s">
        <v>24</v>
      </c>
      <c r="G274" s="2">
        <v>44231.381215277775</v>
      </c>
    </row>
    <row r="275" spans="1:7" ht="15" customHeight="1" x14ac:dyDescent="0.3">
      <c r="A275">
        <v>1358256</v>
      </c>
      <c r="B275" t="s">
        <v>16</v>
      </c>
      <c r="C275" t="s">
        <v>649</v>
      </c>
      <c r="D275" t="s">
        <v>794</v>
      </c>
      <c r="E275" s="1" t="s">
        <v>795</v>
      </c>
      <c r="F275" t="s">
        <v>11</v>
      </c>
      <c r="G275" s="2">
        <v>44231.379687499997</v>
      </c>
    </row>
    <row r="276" spans="1:7" ht="15" customHeight="1" x14ac:dyDescent="0.3">
      <c r="A276">
        <v>1358255</v>
      </c>
      <c r="B276" t="s">
        <v>20</v>
      </c>
      <c r="C276" t="s">
        <v>158</v>
      </c>
      <c r="D276" t="s">
        <v>796</v>
      </c>
      <c r="E276" s="1" t="s">
        <v>797</v>
      </c>
      <c r="F276" t="s">
        <v>11</v>
      </c>
      <c r="G276" s="2">
        <v>44231.379004629627</v>
      </c>
    </row>
    <row r="277" spans="1:7" ht="15" customHeight="1" x14ac:dyDescent="0.3">
      <c r="A277">
        <v>1358251</v>
      </c>
      <c r="B277" t="s">
        <v>49</v>
      </c>
      <c r="C277" t="s">
        <v>798</v>
      </c>
      <c r="D277" t="s">
        <v>799</v>
      </c>
      <c r="E277" s="1" t="s">
        <v>800</v>
      </c>
      <c r="F277" t="s">
        <v>11</v>
      </c>
      <c r="G277" s="2">
        <v>44231.368611111109</v>
      </c>
    </row>
    <row r="278" spans="1:7" ht="15" customHeight="1" x14ac:dyDescent="0.3">
      <c r="A278">
        <v>1358248</v>
      </c>
      <c r="B278" t="s">
        <v>49</v>
      </c>
      <c r="C278" t="s">
        <v>801</v>
      </c>
      <c r="D278" t="s">
        <v>802</v>
      </c>
      <c r="E278" s="1" t="s">
        <v>803</v>
      </c>
      <c r="F278" t="s">
        <v>11</v>
      </c>
      <c r="G278" s="2">
        <v>44231.360902777778</v>
      </c>
    </row>
    <row r="279" spans="1:7" ht="15" customHeight="1" x14ac:dyDescent="0.3">
      <c r="A279">
        <v>1358247</v>
      </c>
      <c r="B279" t="s">
        <v>804</v>
      </c>
      <c r="C279" t="s">
        <v>805</v>
      </c>
      <c r="D279" t="s">
        <v>806</v>
      </c>
      <c r="E279" s="1" t="s">
        <v>807</v>
      </c>
      <c r="F279" t="s">
        <v>11</v>
      </c>
      <c r="G279" s="2">
        <v>44231.360277777778</v>
      </c>
    </row>
    <row r="280" spans="1:7" ht="15" customHeight="1" x14ac:dyDescent="0.3">
      <c r="A280">
        <v>1358246</v>
      </c>
      <c r="B280" t="s">
        <v>95</v>
      </c>
      <c r="C280" t="s">
        <v>808</v>
      </c>
      <c r="D280" t="s">
        <v>809</v>
      </c>
      <c r="E280" s="1" t="s">
        <v>810</v>
      </c>
      <c r="F280" t="s">
        <v>11</v>
      </c>
      <c r="G280" s="2">
        <v>44231.351226851853</v>
      </c>
    </row>
    <row r="281" spans="1:7" ht="15" customHeight="1" x14ac:dyDescent="0.3">
      <c r="A281">
        <v>1357922</v>
      </c>
      <c r="B281" t="s">
        <v>157</v>
      </c>
      <c r="C281" t="s">
        <v>158</v>
      </c>
      <c r="D281" t="s">
        <v>811</v>
      </c>
      <c r="E281" s="1" t="s">
        <v>812</v>
      </c>
      <c r="F281" t="s">
        <v>11</v>
      </c>
      <c r="G281" s="2">
        <v>44230.783148148148</v>
      </c>
    </row>
    <row r="282" spans="1:7" ht="15" customHeight="1" x14ac:dyDescent="0.3">
      <c r="A282">
        <v>1357892</v>
      </c>
      <c r="B282" t="s">
        <v>813</v>
      </c>
      <c r="C282" t="s">
        <v>814</v>
      </c>
      <c r="D282" t="s">
        <v>815</v>
      </c>
      <c r="E282" t="s">
        <v>461</v>
      </c>
      <c r="F282" t="s">
        <v>462</v>
      </c>
      <c r="G282" s="2">
        <v>44230.7500462963</v>
      </c>
    </row>
    <row r="283" spans="1:7" ht="15" customHeight="1" x14ac:dyDescent="0.3">
      <c r="A283">
        <v>1357891</v>
      </c>
      <c r="B283" t="s">
        <v>277</v>
      </c>
      <c r="C283" t="s">
        <v>816</v>
      </c>
      <c r="D283" t="s">
        <v>817</v>
      </c>
      <c r="E283" t="s">
        <v>461</v>
      </c>
      <c r="F283" t="s">
        <v>462</v>
      </c>
      <c r="G283" s="2">
        <v>44230.750023148146</v>
      </c>
    </row>
    <row r="284" spans="1:7" ht="15" customHeight="1" x14ac:dyDescent="0.3">
      <c r="A284">
        <v>1357885</v>
      </c>
      <c r="B284" t="s">
        <v>191</v>
      </c>
      <c r="C284" t="s">
        <v>192</v>
      </c>
      <c r="D284" t="s">
        <v>818</v>
      </c>
      <c r="E284" s="1" t="s">
        <v>819</v>
      </c>
      <c r="F284" t="s">
        <v>11</v>
      </c>
      <c r="G284" s="2">
        <v>44230.741701388892</v>
      </c>
    </row>
    <row r="285" spans="1:7" ht="15" customHeight="1" x14ac:dyDescent="0.3">
      <c r="A285">
        <v>1357867</v>
      </c>
      <c r="B285" t="s">
        <v>177</v>
      </c>
      <c r="C285" t="s">
        <v>178</v>
      </c>
      <c r="D285" t="s">
        <v>820</v>
      </c>
      <c r="E285" s="1" t="s">
        <v>821</v>
      </c>
      <c r="F285" t="s">
        <v>11</v>
      </c>
      <c r="G285" s="2">
        <v>44230.700532407405</v>
      </c>
    </row>
    <row r="286" spans="1:7" ht="15" customHeight="1" x14ac:dyDescent="0.3">
      <c r="A286">
        <v>1357860</v>
      </c>
      <c r="B286" t="s">
        <v>36</v>
      </c>
      <c r="C286" t="s">
        <v>822</v>
      </c>
      <c r="D286" t="s">
        <v>823</v>
      </c>
      <c r="E286" s="1" t="s">
        <v>824</v>
      </c>
      <c r="F286" t="s">
        <v>24</v>
      </c>
      <c r="G286" s="2">
        <v>44230.680902777778</v>
      </c>
    </row>
    <row r="287" spans="1:7" ht="15" customHeight="1" x14ac:dyDescent="0.3">
      <c r="A287">
        <v>1357859</v>
      </c>
      <c r="B287" t="s">
        <v>184</v>
      </c>
      <c r="C287" t="s">
        <v>825</v>
      </c>
      <c r="D287" t="s">
        <v>826</v>
      </c>
      <c r="E287" s="1" t="s">
        <v>827</v>
      </c>
      <c r="F287" t="s">
        <v>188</v>
      </c>
      <c r="G287" s="2">
        <v>44230.680069444446</v>
      </c>
    </row>
    <row r="288" spans="1:7" ht="15" customHeight="1" x14ac:dyDescent="0.3">
      <c r="A288">
        <v>1357857</v>
      </c>
      <c r="B288" t="s">
        <v>53</v>
      </c>
      <c r="C288" t="s">
        <v>54</v>
      </c>
      <c r="D288" t="s">
        <v>828</v>
      </c>
      <c r="E288" s="1" t="s">
        <v>829</v>
      </c>
      <c r="F288" t="s">
        <v>11</v>
      </c>
      <c r="G288" s="2">
        <v>44230.680023148147</v>
      </c>
    </row>
    <row r="289" spans="1:7" ht="15" customHeight="1" x14ac:dyDescent="0.3">
      <c r="A289">
        <v>1357856</v>
      </c>
      <c r="B289" t="s">
        <v>53</v>
      </c>
      <c r="C289" t="s">
        <v>54</v>
      </c>
      <c r="D289" t="s">
        <v>830</v>
      </c>
      <c r="E289" s="1" t="s">
        <v>831</v>
      </c>
      <c r="F289" t="s">
        <v>11</v>
      </c>
      <c r="G289" s="2">
        <v>44230.679907407408</v>
      </c>
    </row>
    <row r="290" spans="1:7" ht="15" customHeight="1" x14ac:dyDescent="0.3">
      <c r="A290">
        <v>1357850</v>
      </c>
      <c r="B290" t="s">
        <v>157</v>
      </c>
      <c r="C290" t="s">
        <v>414</v>
      </c>
      <c r="D290" t="s">
        <v>832</v>
      </c>
      <c r="E290" s="1" t="s">
        <v>833</v>
      </c>
      <c r="F290" t="s">
        <v>11</v>
      </c>
      <c r="G290" s="2">
        <v>44230.667858796296</v>
      </c>
    </row>
    <row r="291" spans="1:7" ht="15" customHeight="1" x14ac:dyDescent="0.3">
      <c r="A291">
        <v>1357847</v>
      </c>
      <c r="B291" t="s">
        <v>214</v>
      </c>
      <c r="C291" t="s">
        <v>215</v>
      </c>
      <c r="D291" t="s">
        <v>834</v>
      </c>
      <c r="E291" s="1" t="s">
        <v>835</v>
      </c>
      <c r="F291" t="s">
        <v>11</v>
      </c>
      <c r="G291" s="2">
        <v>44230.658680555556</v>
      </c>
    </row>
    <row r="292" spans="1:7" ht="15" customHeight="1" x14ac:dyDescent="0.3">
      <c r="A292">
        <v>1357846</v>
      </c>
      <c r="B292" t="s">
        <v>401</v>
      </c>
      <c r="C292" t="s">
        <v>836</v>
      </c>
      <c r="D292">
        <v>1357846</v>
      </c>
      <c r="E292" s="1" t="s">
        <v>837</v>
      </c>
      <c r="F292" t="s">
        <v>11</v>
      </c>
      <c r="G292" s="2">
        <v>44230.64980324074</v>
      </c>
    </row>
    <row r="293" spans="1:7" ht="15" customHeight="1" x14ac:dyDescent="0.3">
      <c r="A293">
        <v>1357844</v>
      </c>
      <c r="B293" t="s">
        <v>290</v>
      </c>
      <c r="C293" t="s">
        <v>308</v>
      </c>
      <c r="D293" t="s">
        <v>838</v>
      </c>
      <c r="E293" s="1" t="s">
        <v>839</v>
      </c>
      <c r="F293" t="s">
        <v>24</v>
      </c>
      <c r="G293" s="2">
        <v>44230.643703703703</v>
      </c>
    </row>
    <row r="294" spans="1:7" ht="15" customHeight="1" x14ac:dyDescent="0.3">
      <c r="A294">
        <v>1357839</v>
      </c>
      <c r="B294" t="s">
        <v>435</v>
      </c>
      <c r="C294" t="s">
        <v>436</v>
      </c>
      <c r="D294">
        <v>1352780</v>
      </c>
      <c r="E294" s="1" t="s">
        <v>840</v>
      </c>
      <c r="F294" t="s">
        <v>11</v>
      </c>
      <c r="G294" s="2">
        <v>44230.638541666667</v>
      </c>
    </row>
    <row r="295" spans="1:7" ht="15" customHeight="1" x14ac:dyDescent="0.3">
      <c r="A295">
        <v>1357837</v>
      </c>
      <c r="B295" t="s">
        <v>16</v>
      </c>
      <c r="C295" t="s">
        <v>649</v>
      </c>
      <c r="D295" t="s">
        <v>841</v>
      </c>
      <c r="E295" s="1" t="s">
        <v>842</v>
      </c>
      <c r="F295" t="s">
        <v>11</v>
      </c>
      <c r="G295" s="2">
        <v>44230.636770833335</v>
      </c>
    </row>
    <row r="296" spans="1:7" ht="15" customHeight="1" x14ac:dyDescent="0.3">
      <c r="A296">
        <v>1357834</v>
      </c>
      <c r="B296" t="s">
        <v>843</v>
      </c>
      <c r="C296" t="s">
        <v>844</v>
      </c>
      <c r="D296" t="s">
        <v>845</v>
      </c>
      <c r="E296" s="1" t="s">
        <v>846</v>
      </c>
      <c r="F296" t="s">
        <v>188</v>
      </c>
      <c r="G296" s="2">
        <v>44230.631331018521</v>
      </c>
    </row>
    <row r="297" spans="1:7" ht="15" customHeight="1" x14ac:dyDescent="0.3">
      <c r="A297">
        <v>1357827</v>
      </c>
      <c r="B297" t="s">
        <v>139</v>
      </c>
      <c r="C297" t="s">
        <v>140</v>
      </c>
      <c r="D297" t="s">
        <v>847</v>
      </c>
      <c r="E297" s="1" t="s">
        <v>848</v>
      </c>
      <c r="F297" t="s">
        <v>11</v>
      </c>
      <c r="G297" s="2">
        <v>44230.619004629632</v>
      </c>
    </row>
    <row r="298" spans="1:7" ht="15" customHeight="1" x14ac:dyDescent="0.3">
      <c r="A298">
        <v>1357821</v>
      </c>
      <c r="B298" t="s">
        <v>118</v>
      </c>
      <c r="C298" t="s">
        <v>849</v>
      </c>
      <c r="D298" t="s">
        <v>850</v>
      </c>
      <c r="E298" s="1" t="s">
        <v>851</v>
      </c>
      <c r="F298" t="s">
        <v>24</v>
      </c>
      <c r="G298" s="2">
        <v>44230.597812499997</v>
      </c>
    </row>
    <row r="299" spans="1:7" ht="15" customHeight="1" x14ac:dyDescent="0.3">
      <c r="A299">
        <v>1357820</v>
      </c>
      <c r="B299" t="s">
        <v>852</v>
      </c>
      <c r="C299" t="s">
        <v>853</v>
      </c>
      <c r="D299" t="s">
        <v>854</v>
      </c>
      <c r="E299" s="1" t="s">
        <v>855</v>
      </c>
      <c r="F299" t="s">
        <v>11</v>
      </c>
      <c r="G299" s="2">
        <v>44230.595856481479</v>
      </c>
    </row>
    <row r="300" spans="1:7" ht="15" customHeight="1" x14ac:dyDescent="0.3">
      <c r="A300">
        <v>1357819</v>
      </c>
      <c r="B300" t="s">
        <v>503</v>
      </c>
      <c r="D300" t="s">
        <v>856</v>
      </c>
      <c r="E300" s="1" t="s">
        <v>857</v>
      </c>
      <c r="F300" t="s">
        <v>11</v>
      </c>
      <c r="G300" s="2">
        <v>44230.594490740739</v>
      </c>
    </row>
    <row r="301" spans="1:7" ht="15" customHeight="1" x14ac:dyDescent="0.3">
      <c r="A301">
        <v>1357817</v>
      </c>
      <c r="B301" t="s">
        <v>214</v>
      </c>
      <c r="C301" t="s">
        <v>215</v>
      </c>
      <c r="D301" t="s">
        <v>858</v>
      </c>
      <c r="E301" s="1" t="s">
        <v>859</v>
      </c>
      <c r="F301" t="s">
        <v>11</v>
      </c>
      <c r="G301" s="2">
        <v>44230.587384259263</v>
      </c>
    </row>
    <row r="302" spans="1:7" ht="15" customHeight="1" x14ac:dyDescent="0.3">
      <c r="A302">
        <v>1357814</v>
      </c>
      <c r="B302" t="s">
        <v>860</v>
      </c>
      <c r="C302" t="s">
        <v>861</v>
      </c>
      <c r="D302" t="s">
        <v>862</v>
      </c>
      <c r="E302" s="1" t="s">
        <v>863</v>
      </c>
      <c r="F302" t="s">
        <v>11</v>
      </c>
      <c r="G302" s="2">
        <v>44230.572824074072</v>
      </c>
    </row>
    <row r="303" spans="1:7" ht="15" customHeight="1" x14ac:dyDescent="0.3">
      <c r="A303">
        <v>1357812</v>
      </c>
      <c r="B303" t="s">
        <v>214</v>
      </c>
      <c r="C303" t="s">
        <v>215</v>
      </c>
      <c r="D303" t="s">
        <v>864</v>
      </c>
      <c r="E303" s="1" t="s">
        <v>865</v>
      </c>
      <c r="F303" t="s">
        <v>11</v>
      </c>
      <c r="G303" s="2">
        <v>44230.571296296293</v>
      </c>
    </row>
    <row r="304" spans="1:7" ht="15" customHeight="1" x14ac:dyDescent="0.3">
      <c r="A304">
        <v>1357811</v>
      </c>
      <c r="B304" t="s">
        <v>20</v>
      </c>
      <c r="C304" t="s">
        <v>692</v>
      </c>
      <c r="D304" t="s">
        <v>866</v>
      </c>
      <c r="E304" s="1" t="s">
        <v>867</v>
      </c>
      <c r="F304" t="s">
        <v>11</v>
      </c>
      <c r="G304" s="2">
        <v>44230.571284722224</v>
      </c>
    </row>
    <row r="305" spans="1:7" ht="15" customHeight="1" x14ac:dyDescent="0.3">
      <c r="A305">
        <v>1357809</v>
      </c>
      <c r="B305" t="s">
        <v>401</v>
      </c>
      <c r="C305" t="s">
        <v>836</v>
      </c>
      <c r="D305" t="s">
        <v>868</v>
      </c>
      <c r="E305" s="1" t="s">
        <v>869</v>
      </c>
      <c r="F305" t="s">
        <v>11</v>
      </c>
      <c r="G305" s="2">
        <v>44230.561631944445</v>
      </c>
    </row>
    <row r="306" spans="1:7" ht="15" customHeight="1" x14ac:dyDescent="0.3">
      <c r="A306">
        <v>1357784</v>
      </c>
      <c r="B306" t="s">
        <v>118</v>
      </c>
      <c r="C306" t="s">
        <v>200</v>
      </c>
      <c r="D306" t="s">
        <v>870</v>
      </c>
      <c r="E306" s="1" t="s">
        <v>871</v>
      </c>
      <c r="F306" t="s">
        <v>11</v>
      </c>
      <c r="G306" s="2">
        <v>44230.520682870374</v>
      </c>
    </row>
    <row r="307" spans="1:7" ht="15" customHeight="1" x14ac:dyDescent="0.3">
      <c r="A307">
        <v>1357783</v>
      </c>
      <c r="B307" t="s">
        <v>36</v>
      </c>
      <c r="C307" t="s">
        <v>578</v>
      </c>
      <c r="D307" t="s">
        <v>872</v>
      </c>
      <c r="E307" s="1" t="s">
        <v>873</v>
      </c>
      <c r="F307" t="s">
        <v>24</v>
      </c>
      <c r="G307" s="2">
        <v>44230.51803240741</v>
      </c>
    </row>
    <row r="308" spans="1:7" ht="15" customHeight="1" x14ac:dyDescent="0.3">
      <c r="A308">
        <v>1357771</v>
      </c>
      <c r="B308" t="s">
        <v>350</v>
      </c>
      <c r="C308" t="s">
        <v>351</v>
      </c>
      <c r="D308" t="s">
        <v>874</v>
      </c>
      <c r="E308" s="1" t="s">
        <v>875</v>
      </c>
      <c r="F308" t="s">
        <v>24</v>
      </c>
      <c r="G308" s="2">
        <v>44230.493541666663</v>
      </c>
    </row>
    <row r="309" spans="1:7" ht="15" customHeight="1" x14ac:dyDescent="0.3">
      <c r="A309">
        <v>1357768</v>
      </c>
      <c r="B309" t="s">
        <v>435</v>
      </c>
      <c r="C309" t="s">
        <v>436</v>
      </c>
      <c r="D309">
        <v>1357669</v>
      </c>
      <c r="E309" s="1" t="s">
        <v>876</v>
      </c>
      <c r="F309" t="s">
        <v>11</v>
      </c>
      <c r="G309" s="2">
        <v>44230.491435185184</v>
      </c>
    </row>
    <row r="310" spans="1:7" ht="15" customHeight="1" x14ac:dyDescent="0.3">
      <c r="A310">
        <v>1357765</v>
      </c>
      <c r="B310" t="s">
        <v>401</v>
      </c>
      <c r="C310" t="s">
        <v>402</v>
      </c>
      <c r="D310" t="s">
        <v>877</v>
      </c>
      <c r="E310" s="1" t="s">
        <v>878</v>
      </c>
      <c r="F310" t="s">
        <v>11</v>
      </c>
      <c r="G310" s="2">
        <v>44230.484398148146</v>
      </c>
    </row>
    <row r="311" spans="1:7" ht="15" customHeight="1" x14ac:dyDescent="0.3">
      <c r="A311">
        <v>1357764</v>
      </c>
      <c r="B311" t="s">
        <v>157</v>
      </c>
      <c r="C311" t="s">
        <v>414</v>
      </c>
      <c r="D311" t="s">
        <v>879</v>
      </c>
      <c r="E311" s="1" t="s">
        <v>880</v>
      </c>
      <c r="F311" t="s">
        <v>11</v>
      </c>
      <c r="G311" s="2">
        <v>44230.484282407408</v>
      </c>
    </row>
    <row r="312" spans="1:7" ht="15" customHeight="1" x14ac:dyDescent="0.3">
      <c r="A312">
        <v>1357763</v>
      </c>
      <c r="B312" t="s">
        <v>7</v>
      </c>
      <c r="C312" t="s">
        <v>107</v>
      </c>
      <c r="D312" t="s">
        <v>881</v>
      </c>
      <c r="E312" s="1" t="s">
        <v>882</v>
      </c>
      <c r="F312" t="s">
        <v>11</v>
      </c>
      <c r="G312" s="2">
        <v>44230.483831018515</v>
      </c>
    </row>
    <row r="313" spans="1:7" ht="15" customHeight="1" x14ac:dyDescent="0.3">
      <c r="A313">
        <v>1357762</v>
      </c>
      <c r="B313" t="s">
        <v>16</v>
      </c>
      <c r="C313" t="s">
        <v>883</v>
      </c>
      <c r="D313" t="s">
        <v>884</v>
      </c>
      <c r="E313" s="1" t="s">
        <v>885</v>
      </c>
      <c r="F313" t="s">
        <v>11</v>
      </c>
      <c r="G313" s="2">
        <v>44230.48369212963</v>
      </c>
    </row>
    <row r="314" spans="1:7" ht="15" customHeight="1" x14ac:dyDescent="0.3">
      <c r="A314">
        <v>1357757</v>
      </c>
      <c r="B314" t="s">
        <v>139</v>
      </c>
      <c r="C314" t="s">
        <v>140</v>
      </c>
      <c r="D314" t="s">
        <v>886</v>
      </c>
      <c r="E314" s="1" t="s">
        <v>887</v>
      </c>
      <c r="F314" t="s">
        <v>24</v>
      </c>
      <c r="G314" s="2">
        <v>44230.47556712963</v>
      </c>
    </row>
    <row r="315" spans="1:7" ht="15" customHeight="1" x14ac:dyDescent="0.3">
      <c r="A315">
        <v>1357755</v>
      </c>
      <c r="B315" t="s">
        <v>746</v>
      </c>
      <c r="C315" t="s">
        <v>888</v>
      </c>
      <c r="D315" t="s">
        <v>889</v>
      </c>
      <c r="E315" s="1" t="s">
        <v>890</v>
      </c>
      <c r="F315" t="s">
        <v>11</v>
      </c>
      <c r="G315" s="2">
        <v>44230.461724537039</v>
      </c>
    </row>
    <row r="316" spans="1:7" ht="15" customHeight="1" x14ac:dyDescent="0.3">
      <c r="A316">
        <v>1357752</v>
      </c>
      <c r="B316" t="s">
        <v>25</v>
      </c>
      <c r="C316" t="s">
        <v>26</v>
      </c>
      <c r="D316" t="s">
        <v>891</v>
      </c>
      <c r="E316" s="1" t="s">
        <v>892</v>
      </c>
      <c r="F316" t="s">
        <v>11</v>
      </c>
      <c r="G316" s="2">
        <v>44230.457106481481</v>
      </c>
    </row>
    <row r="317" spans="1:7" ht="15" customHeight="1" x14ac:dyDescent="0.3">
      <c r="A317">
        <v>1357734</v>
      </c>
      <c r="B317" t="s">
        <v>545</v>
      </c>
      <c r="C317" t="s">
        <v>893</v>
      </c>
      <c r="D317" t="s">
        <v>894</v>
      </c>
      <c r="E317" s="1" t="s">
        <v>895</v>
      </c>
      <c r="F317" t="s">
        <v>24</v>
      </c>
      <c r="G317" s="2">
        <v>44230.450636574074</v>
      </c>
    </row>
    <row r="318" spans="1:7" ht="15" customHeight="1" x14ac:dyDescent="0.3">
      <c r="A318">
        <v>1357733</v>
      </c>
      <c r="B318" t="s">
        <v>184</v>
      </c>
      <c r="C318" t="s">
        <v>825</v>
      </c>
      <c r="D318" t="s">
        <v>896</v>
      </c>
      <c r="E318" s="1" t="s">
        <v>827</v>
      </c>
      <c r="F318" t="s">
        <v>11</v>
      </c>
      <c r="G318" s="2">
        <v>44230.447604166664</v>
      </c>
    </row>
    <row r="319" spans="1:7" ht="15" customHeight="1" x14ac:dyDescent="0.3">
      <c r="A319">
        <v>1357718</v>
      </c>
      <c r="B319" t="s">
        <v>214</v>
      </c>
      <c r="C319" t="s">
        <v>215</v>
      </c>
      <c r="D319" t="s">
        <v>897</v>
      </c>
      <c r="E319" s="1" t="s">
        <v>898</v>
      </c>
      <c r="F319" t="s">
        <v>11</v>
      </c>
      <c r="G319" s="2">
        <v>44230.4296412037</v>
      </c>
    </row>
    <row r="320" spans="1:7" ht="15" customHeight="1" x14ac:dyDescent="0.3">
      <c r="A320">
        <v>1357717</v>
      </c>
      <c r="B320" t="s">
        <v>157</v>
      </c>
      <c r="C320" t="s">
        <v>627</v>
      </c>
      <c r="D320" t="s">
        <v>899</v>
      </c>
      <c r="E320" s="1" t="s">
        <v>900</v>
      </c>
      <c r="F320" t="s">
        <v>24</v>
      </c>
      <c r="G320" s="2">
        <v>44230.428773148145</v>
      </c>
    </row>
    <row r="321" spans="1:7" ht="15" customHeight="1" x14ac:dyDescent="0.3">
      <c r="A321">
        <v>1357716</v>
      </c>
      <c r="B321" t="s">
        <v>350</v>
      </c>
      <c r="C321" t="s">
        <v>351</v>
      </c>
      <c r="D321" t="s">
        <v>901</v>
      </c>
      <c r="E321" s="1" t="s">
        <v>902</v>
      </c>
      <c r="F321" t="s">
        <v>11</v>
      </c>
      <c r="G321" s="2">
        <v>44230.427256944444</v>
      </c>
    </row>
    <row r="322" spans="1:7" ht="15" customHeight="1" x14ac:dyDescent="0.3">
      <c r="A322">
        <v>1357715</v>
      </c>
      <c r="B322" t="s">
        <v>20</v>
      </c>
      <c r="C322" t="s">
        <v>84</v>
      </c>
      <c r="D322" t="s">
        <v>903</v>
      </c>
      <c r="E322" s="1" t="s">
        <v>904</v>
      </c>
      <c r="F322" t="s">
        <v>11</v>
      </c>
      <c r="G322" s="2">
        <v>44230.426886574074</v>
      </c>
    </row>
    <row r="323" spans="1:7" ht="15" customHeight="1" x14ac:dyDescent="0.3">
      <c r="A323">
        <v>1357710</v>
      </c>
      <c r="B323" t="s">
        <v>503</v>
      </c>
      <c r="D323" t="s">
        <v>905</v>
      </c>
      <c r="E323" s="1" t="s">
        <v>906</v>
      </c>
      <c r="F323" t="s">
        <v>11</v>
      </c>
      <c r="G323" s="2">
        <v>44230.420775462961</v>
      </c>
    </row>
    <row r="324" spans="1:7" ht="15" customHeight="1" x14ac:dyDescent="0.3">
      <c r="A324">
        <v>1357709</v>
      </c>
      <c r="B324" t="s">
        <v>16</v>
      </c>
      <c r="C324" t="s">
        <v>907</v>
      </c>
      <c r="D324">
        <v>1357703</v>
      </c>
      <c r="E324" s="1" t="s">
        <v>908</v>
      </c>
      <c r="F324" t="s">
        <v>11</v>
      </c>
      <c r="G324" s="2">
        <v>44230.420613425929</v>
      </c>
    </row>
    <row r="325" spans="1:7" ht="15" customHeight="1" x14ac:dyDescent="0.3">
      <c r="A325">
        <v>1357703</v>
      </c>
      <c r="B325" t="s">
        <v>16</v>
      </c>
      <c r="C325" t="s">
        <v>394</v>
      </c>
      <c r="D325" t="s">
        <v>909</v>
      </c>
      <c r="E325" s="1" t="s">
        <v>910</v>
      </c>
      <c r="F325" t="s">
        <v>11</v>
      </c>
      <c r="G325" s="2">
        <v>44230.418067129627</v>
      </c>
    </row>
    <row r="326" spans="1:7" ht="15" customHeight="1" x14ac:dyDescent="0.3">
      <c r="A326">
        <v>1357677</v>
      </c>
      <c r="B326" t="s">
        <v>32</v>
      </c>
      <c r="C326" t="s">
        <v>158</v>
      </c>
      <c r="D326" t="s">
        <v>388</v>
      </c>
      <c r="E326" s="1" t="s">
        <v>911</v>
      </c>
      <c r="F326" t="s">
        <v>11</v>
      </c>
      <c r="G326" s="2">
        <v>44230.412002314813</v>
      </c>
    </row>
    <row r="327" spans="1:7" ht="15" customHeight="1" x14ac:dyDescent="0.3">
      <c r="A327">
        <v>1357673</v>
      </c>
      <c r="B327" t="s">
        <v>318</v>
      </c>
      <c r="C327" t="s">
        <v>319</v>
      </c>
      <c r="D327" t="s">
        <v>912</v>
      </c>
      <c r="E327" s="1" t="s">
        <v>913</v>
      </c>
      <c r="F327" t="s">
        <v>11</v>
      </c>
      <c r="G327" s="2">
        <v>44230.409849537034</v>
      </c>
    </row>
    <row r="328" spans="1:7" ht="15" customHeight="1" x14ac:dyDescent="0.3">
      <c r="A328">
        <v>1357672</v>
      </c>
      <c r="B328" t="s">
        <v>746</v>
      </c>
      <c r="C328" t="s">
        <v>914</v>
      </c>
      <c r="D328" t="s">
        <v>915</v>
      </c>
      <c r="E328" s="1" t="s">
        <v>916</v>
      </c>
      <c r="F328" t="s">
        <v>11</v>
      </c>
      <c r="G328" s="2">
        <v>44230.409826388888</v>
      </c>
    </row>
    <row r="329" spans="1:7" ht="15" customHeight="1" x14ac:dyDescent="0.3">
      <c r="A329">
        <v>1357665</v>
      </c>
      <c r="B329" t="s">
        <v>917</v>
      </c>
      <c r="C329" t="s">
        <v>918</v>
      </c>
      <c r="D329" t="s">
        <v>919</v>
      </c>
      <c r="E329" s="1" t="s">
        <v>920</v>
      </c>
      <c r="F329" t="s">
        <v>24</v>
      </c>
      <c r="G329" s="2">
        <v>44230.392905092594</v>
      </c>
    </row>
    <row r="330" spans="1:7" ht="15" customHeight="1" x14ac:dyDescent="0.3">
      <c r="A330">
        <v>1357664</v>
      </c>
      <c r="B330" t="s">
        <v>16</v>
      </c>
      <c r="C330" t="s">
        <v>649</v>
      </c>
      <c r="D330" t="s">
        <v>921</v>
      </c>
      <c r="E330" s="1" t="s">
        <v>922</v>
      </c>
      <c r="F330" t="s">
        <v>11</v>
      </c>
      <c r="G330" s="2">
        <v>44230.390300925923</v>
      </c>
    </row>
    <row r="331" spans="1:7" ht="15" customHeight="1" x14ac:dyDescent="0.3">
      <c r="A331">
        <v>1357653</v>
      </c>
      <c r="B331" t="s">
        <v>7</v>
      </c>
      <c r="C331" t="s">
        <v>923</v>
      </c>
      <c r="D331" t="s">
        <v>924</v>
      </c>
      <c r="E331" s="1" t="s">
        <v>925</v>
      </c>
      <c r="F331" t="s">
        <v>24</v>
      </c>
      <c r="G331" s="2">
        <v>44230.374062499999</v>
      </c>
    </row>
    <row r="332" spans="1:7" ht="15" customHeight="1" x14ac:dyDescent="0.3">
      <c r="A332">
        <v>1357649</v>
      </c>
      <c r="B332" t="s">
        <v>70</v>
      </c>
      <c r="C332" t="s">
        <v>660</v>
      </c>
      <c r="D332" t="s">
        <v>926</v>
      </c>
      <c r="E332" s="1" t="s">
        <v>927</v>
      </c>
      <c r="F332" t="s">
        <v>11</v>
      </c>
      <c r="G332" s="2">
        <v>44230.370717592596</v>
      </c>
    </row>
    <row r="333" spans="1:7" ht="15" customHeight="1" x14ac:dyDescent="0.3">
      <c r="A333">
        <v>1357646</v>
      </c>
      <c r="B333" t="s">
        <v>157</v>
      </c>
      <c r="C333" t="s">
        <v>627</v>
      </c>
      <c r="D333" t="s">
        <v>928</v>
      </c>
      <c r="E333" s="1" t="s">
        <v>929</v>
      </c>
      <c r="F333" t="s">
        <v>24</v>
      </c>
      <c r="G333" s="2">
        <v>44230.367592592593</v>
      </c>
    </row>
    <row r="334" spans="1:7" ht="15" customHeight="1" x14ac:dyDescent="0.3">
      <c r="A334">
        <v>1357641</v>
      </c>
      <c r="B334" t="s">
        <v>431</v>
      </c>
      <c r="C334" t="s">
        <v>432</v>
      </c>
      <c r="D334" t="s">
        <v>930</v>
      </c>
      <c r="E334" s="1" t="s">
        <v>931</v>
      </c>
      <c r="F334" t="s">
        <v>11</v>
      </c>
      <c r="G334" s="2">
        <v>44230.354629629626</v>
      </c>
    </row>
    <row r="335" spans="1:7" ht="15" customHeight="1" x14ac:dyDescent="0.3">
      <c r="A335">
        <v>1357640</v>
      </c>
      <c r="B335" t="s">
        <v>16</v>
      </c>
      <c r="C335" t="s">
        <v>181</v>
      </c>
      <c r="D335" t="s">
        <v>932</v>
      </c>
      <c r="E335" s="1" t="s">
        <v>933</v>
      </c>
      <c r="F335" t="s">
        <v>11</v>
      </c>
      <c r="G335" s="2">
        <v>44230.353194444448</v>
      </c>
    </row>
    <row r="336" spans="1:7" ht="15" customHeight="1" x14ac:dyDescent="0.3">
      <c r="A336">
        <v>1357639</v>
      </c>
      <c r="B336" t="s">
        <v>934</v>
      </c>
      <c r="C336" t="s">
        <v>935</v>
      </c>
      <c r="D336" t="s">
        <v>936</v>
      </c>
      <c r="E336" t="s">
        <v>461</v>
      </c>
      <c r="F336" t="s">
        <v>462</v>
      </c>
      <c r="G336" s="2">
        <v>44230.350868055553</v>
      </c>
    </row>
    <row r="337" spans="1:7" ht="15" customHeight="1" x14ac:dyDescent="0.3">
      <c r="A337">
        <v>1357618</v>
      </c>
      <c r="B337" t="s">
        <v>435</v>
      </c>
      <c r="C337" t="s">
        <v>436</v>
      </c>
      <c r="D337">
        <v>1354861</v>
      </c>
      <c r="E337" s="1" t="s">
        <v>937</v>
      </c>
      <c r="F337" t="s">
        <v>11</v>
      </c>
      <c r="G337" s="2">
        <v>44230.326979166668</v>
      </c>
    </row>
    <row r="338" spans="1:7" ht="15" customHeight="1" x14ac:dyDescent="0.3">
      <c r="A338">
        <v>1357613</v>
      </c>
      <c r="B338" t="s">
        <v>25</v>
      </c>
      <c r="C338" t="s">
        <v>26</v>
      </c>
      <c r="D338" t="s">
        <v>938</v>
      </c>
      <c r="E338" s="1" t="s">
        <v>939</v>
      </c>
      <c r="F338" t="s">
        <v>11</v>
      </c>
      <c r="G338" s="2">
        <v>44230.317800925928</v>
      </c>
    </row>
    <row r="339" spans="1:7" ht="15" customHeight="1" x14ac:dyDescent="0.3">
      <c r="A339">
        <v>1357608</v>
      </c>
      <c r="B339" t="s">
        <v>32</v>
      </c>
      <c r="C339" t="s">
        <v>940</v>
      </c>
      <c r="D339" t="s">
        <v>941</v>
      </c>
      <c r="E339" s="1" t="s">
        <v>942</v>
      </c>
      <c r="F339" t="s">
        <v>11</v>
      </c>
      <c r="G339" s="2">
        <v>44230.284710648149</v>
      </c>
    </row>
    <row r="340" spans="1:7" ht="15" customHeight="1" x14ac:dyDescent="0.3">
      <c r="A340">
        <v>1357570</v>
      </c>
      <c r="B340" t="s">
        <v>32</v>
      </c>
      <c r="C340" t="s">
        <v>158</v>
      </c>
      <c r="D340" t="s">
        <v>943</v>
      </c>
      <c r="E340" s="1" t="s">
        <v>944</v>
      </c>
      <c r="F340" t="s">
        <v>11</v>
      </c>
      <c r="G340" s="2">
        <v>44230.132210648146</v>
      </c>
    </row>
    <row r="341" spans="1:7" ht="15" customHeight="1" x14ac:dyDescent="0.3">
      <c r="A341">
        <v>1357403</v>
      </c>
      <c r="B341" t="s">
        <v>177</v>
      </c>
      <c r="C341" t="s">
        <v>178</v>
      </c>
      <c r="D341" t="s">
        <v>945</v>
      </c>
      <c r="E341" s="1" t="s">
        <v>946</v>
      </c>
      <c r="F341" t="s">
        <v>11</v>
      </c>
      <c r="G341" s="2">
        <v>44229.888067129628</v>
      </c>
    </row>
    <row r="342" spans="1:7" ht="15" customHeight="1" x14ac:dyDescent="0.3">
      <c r="A342">
        <v>1357296</v>
      </c>
      <c r="B342" t="s">
        <v>36</v>
      </c>
      <c r="C342" t="s">
        <v>752</v>
      </c>
      <c r="D342" t="s">
        <v>947</v>
      </c>
      <c r="E342" s="1" t="s">
        <v>948</v>
      </c>
      <c r="F342" t="s">
        <v>24</v>
      </c>
      <c r="G342" s="2">
        <v>44229.728692129633</v>
      </c>
    </row>
    <row r="343" spans="1:7" ht="15" customHeight="1" x14ac:dyDescent="0.3">
      <c r="A343">
        <v>1357281</v>
      </c>
      <c r="B343" t="s">
        <v>74</v>
      </c>
      <c r="C343" t="s">
        <v>450</v>
      </c>
      <c r="D343" t="s">
        <v>949</v>
      </c>
      <c r="E343" s="1" t="s">
        <v>950</v>
      </c>
      <c r="F343" t="s">
        <v>11</v>
      </c>
      <c r="G343" s="2">
        <v>44229.707465277781</v>
      </c>
    </row>
    <row r="344" spans="1:7" ht="15" customHeight="1" x14ac:dyDescent="0.3">
      <c r="A344">
        <v>1357262</v>
      </c>
      <c r="B344" t="s">
        <v>553</v>
      </c>
      <c r="C344" t="s">
        <v>951</v>
      </c>
      <c r="D344" t="s">
        <v>952</v>
      </c>
      <c r="E344" s="1" t="s">
        <v>953</v>
      </c>
      <c r="F344" t="s">
        <v>11</v>
      </c>
      <c r="G344" s="2">
        <v>44229.663935185185</v>
      </c>
    </row>
    <row r="345" spans="1:7" ht="15" customHeight="1" x14ac:dyDescent="0.3">
      <c r="A345">
        <v>1357260</v>
      </c>
      <c r="B345" t="s">
        <v>91</v>
      </c>
      <c r="C345" t="s">
        <v>954</v>
      </c>
      <c r="D345" t="s">
        <v>955</v>
      </c>
      <c r="E345" s="1" t="s">
        <v>956</v>
      </c>
      <c r="F345" t="s">
        <v>11</v>
      </c>
      <c r="G345" s="2">
        <v>44229.659571759257</v>
      </c>
    </row>
    <row r="346" spans="1:7" ht="15" customHeight="1" x14ac:dyDescent="0.3">
      <c r="A346">
        <v>1357257</v>
      </c>
      <c r="B346" t="s">
        <v>477</v>
      </c>
      <c r="C346" t="s">
        <v>512</v>
      </c>
      <c r="D346">
        <v>1357256</v>
      </c>
      <c r="E346" s="1" t="s">
        <v>957</v>
      </c>
      <c r="F346" t="s">
        <v>11</v>
      </c>
      <c r="G346" s="2">
        <v>44229.654374999998</v>
      </c>
    </row>
    <row r="347" spans="1:7" ht="15" customHeight="1" x14ac:dyDescent="0.3">
      <c r="A347">
        <v>1357256</v>
      </c>
      <c r="B347" t="s">
        <v>477</v>
      </c>
      <c r="C347" t="s">
        <v>512</v>
      </c>
      <c r="D347" t="s">
        <v>958</v>
      </c>
      <c r="E347" s="1" t="s">
        <v>959</v>
      </c>
      <c r="F347" t="s">
        <v>11</v>
      </c>
      <c r="G347" s="2">
        <v>44229.653784722221</v>
      </c>
    </row>
    <row r="348" spans="1:7" ht="15" customHeight="1" x14ac:dyDescent="0.3">
      <c r="A348">
        <v>1357247</v>
      </c>
      <c r="B348" t="s">
        <v>74</v>
      </c>
      <c r="C348" t="s">
        <v>450</v>
      </c>
      <c r="D348" t="s">
        <v>960</v>
      </c>
      <c r="E348" s="1" t="s">
        <v>961</v>
      </c>
      <c r="F348" t="s">
        <v>11</v>
      </c>
      <c r="G348" s="2">
        <v>44229.636122685188</v>
      </c>
    </row>
    <row r="349" spans="1:7" ht="15" customHeight="1" x14ac:dyDescent="0.3">
      <c r="A349">
        <v>1357234</v>
      </c>
      <c r="B349" t="s">
        <v>70</v>
      </c>
      <c r="C349" t="s">
        <v>581</v>
      </c>
      <c r="D349" t="s">
        <v>962</v>
      </c>
      <c r="E349" s="1" t="s">
        <v>963</v>
      </c>
      <c r="F349" t="s">
        <v>11</v>
      </c>
      <c r="G349" s="2">
        <v>44229.623506944445</v>
      </c>
    </row>
    <row r="350" spans="1:7" ht="15" customHeight="1" x14ac:dyDescent="0.3">
      <c r="A350">
        <v>1357227</v>
      </c>
      <c r="B350" t="s">
        <v>70</v>
      </c>
      <c r="C350" t="s">
        <v>369</v>
      </c>
      <c r="D350" t="s">
        <v>964</v>
      </c>
      <c r="E350" s="1" t="s">
        <v>965</v>
      </c>
      <c r="F350" t="s">
        <v>11</v>
      </c>
      <c r="G350" s="2">
        <v>44229.615856481483</v>
      </c>
    </row>
    <row r="351" spans="1:7" ht="15" customHeight="1" x14ac:dyDescent="0.3">
      <c r="A351">
        <v>1357224</v>
      </c>
      <c r="B351" t="s">
        <v>350</v>
      </c>
      <c r="C351" t="s">
        <v>351</v>
      </c>
      <c r="D351" t="s">
        <v>966</v>
      </c>
      <c r="E351" s="1" t="s">
        <v>967</v>
      </c>
      <c r="F351" t="s">
        <v>24</v>
      </c>
      <c r="G351" s="2">
        <v>44229.612534722219</v>
      </c>
    </row>
    <row r="352" spans="1:7" ht="15" customHeight="1" x14ac:dyDescent="0.3">
      <c r="A352">
        <v>1357220</v>
      </c>
      <c r="B352" t="s">
        <v>20</v>
      </c>
      <c r="C352" t="s">
        <v>136</v>
      </c>
      <c r="D352" t="s">
        <v>968</v>
      </c>
      <c r="E352" s="1" t="s">
        <v>969</v>
      </c>
      <c r="F352" t="s">
        <v>11</v>
      </c>
      <c r="G352" s="2">
        <v>44229.60665509259</v>
      </c>
    </row>
    <row r="353" spans="1:7" ht="15" customHeight="1" x14ac:dyDescent="0.3">
      <c r="A353">
        <v>1357211</v>
      </c>
      <c r="B353" t="s">
        <v>20</v>
      </c>
      <c r="C353" t="s">
        <v>136</v>
      </c>
      <c r="D353" t="s">
        <v>970</v>
      </c>
      <c r="E353" s="1" t="s">
        <v>971</v>
      </c>
      <c r="F353" t="s">
        <v>11</v>
      </c>
      <c r="G353" s="2">
        <v>44229.594583333332</v>
      </c>
    </row>
    <row r="354" spans="1:7" ht="15" customHeight="1" x14ac:dyDescent="0.3">
      <c r="A354">
        <v>1357201</v>
      </c>
      <c r="B354" t="s">
        <v>184</v>
      </c>
      <c r="D354" t="s">
        <v>972</v>
      </c>
      <c r="E354" s="1" t="s">
        <v>973</v>
      </c>
      <c r="F354" t="s">
        <v>11</v>
      </c>
      <c r="G354" s="2">
        <v>44229.575462962966</v>
      </c>
    </row>
    <row r="355" spans="1:7" ht="15" customHeight="1" x14ac:dyDescent="0.3">
      <c r="A355">
        <v>1357199</v>
      </c>
      <c r="B355" t="s">
        <v>36</v>
      </c>
      <c r="C355" t="s">
        <v>974</v>
      </c>
      <c r="D355" t="s">
        <v>975</v>
      </c>
      <c r="E355" s="1" t="s">
        <v>976</v>
      </c>
      <c r="F355" t="s">
        <v>24</v>
      </c>
      <c r="G355" s="2">
        <v>44229.572708333333</v>
      </c>
    </row>
    <row r="356" spans="1:7" ht="15" customHeight="1" x14ac:dyDescent="0.3">
      <c r="A356">
        <v>1357198</v>
      </c>
      <c r="B356" t="s">
        <v>230</v>
      </c>
      <c r="C356" t="s">
        <v>977</v>
      </c>
      <c r="D356" t="s">
        <v>978</v>
      </c>
      <c r="E356" s="1" t="s">
        <v>979</v>
      </c>
      <c r="F356" t="s">
        <v>24</v>
      </c>
      <c r="G356" s="2">
        <v>44229.57</v>
      </c>
    </row>
    <row r="357" spans="1:7" ht="15" customHeight="1" x14ac:dyDescent="0.3">
      <c r="A357">
        <v>1357192</v>
      </c>
      <c r="B357" t="s">
        <v>503</v>
      </c>
      <c r="D357" t="s">
        <v>980</v>
      </c>
      <c r="E357" s="1" t="s">
        <v>981</v>
      </c>
      <c r="F357" t="s">
        <v>11</v>
      </c>
      <c r="G357" s="2">
        <v>44229.558032407411</v>
      </c>
    </row>
    <row r="358" spans="1:7" ht="15" customHeight="1" x14ac:dyDescent="0.3">
      <c r="A358">
        <v>1357189</v>
      </c>
      <c r="B358" t="s">
        <v>982</v>
      </c>
      <c r="C358" t="s">
        <v>983</v>
      </c>
      <c r="D358" t="s">
        <v>984</v>
      </c>
      <c r="E358" s="1" t="s">
        <v>985</v>
      </c>
      <c r="F358" t="s">
        <v>11</v>
      </c>
      <c r="G358" s="2">
        <v>44229.55709490741</v>
      </c>
    </row>
    <row r="359" spans="1:7" ht="15" customHeight="1" x14ac:dyDescent="0.3">
      <c r="A359">
        <v>1357187</v>
      </c>
      <c r="B359" t="s">
        <v>16</v>
      </c>
      <c r="C359" t="s">
        <v>986</v>
      </c>
      <c r="D359" t="s">
        <v>987</v>
      </c>
      <c r="E359" s="1" t="s">
        <v>988</v>
      </c>
      <c r="F359" t="s">
        <v>11</v>
      </c>
      <c r="G359" s="2">
        <v>44229.555046296293</v>
      </c>
    </row>
    <row r="360" spans="1:7" ht="15" customHeight="1" x14ac:dyDescent="0.3">
      <c r="A360">
        <v>1357185</v>
      </c>
      <c r="B360" t="s">
        <v>36</v>
      </c>
      <c r="C360" t="s">
        <v>989</v>
      </c>
      <c r="D360" t="s">
        <v>990</v>
      </c>
      <c r="E360" s="1" t="s">
        <v>991</v>
      </c>
      <c r="F360" t="s">
        <v>24</v>
      </c>
      <c r="G360" s="2">
        <v>44229.548298611109</v>
      </c>
    </row>
    <row r="361" spans="1:7" ht="15" customHeight="1" x14ac:dyDescent="0.3">
      <c r="A361">
        <v>1357178</v>
      </c>
      <c r="B361" t="s">
        <v>36</v>
      </c>
      <c r="C361" t="s">
        <v>765</v>
      </c>
      <c r="D361">
        <v>1356994</v>
      </c>
      <c r="E361" s="1" t="s">
        <v>992</v>
      </c>
      <c r="F361" t="s">
        <v>11</v>
      </c>
      <c r="G361" s="2">
        <v>44229.535451388889</v>
      </c>
    </row>
    <row r="362" spans="1:7" ht="15" customHeight="1" x14ac:dyDescent="0.3">
      <c r="A362">
        <v>1357175</v>
      </c>
      <c r="B362" t="s">
        <v>290</v>
      </c>
      <c r="C362" t="s">
        <v>308</v>
      </c>
      <c r="D362" t="s">
        <v>993</v>
      </c>
      <c r="E362" s="1" t="s">
        <v>994</v>
      </c>
      <c r="F362" t="s">
        <v>11</v>
      </c>
      <c r="G362" s="2">
        <v>44229.53020833333</v>
      </c>
    </row>
    <row r="363" spans="1:7" ht="15" customHeight="1" x14ac:dyDescent="0.3">
      <c r="A363">
        <v>1357172</v>
      </c>
      <c r="B363" t="s">
        <v>118</v>
      </c>
      <c r="C363" t="s">
        <v>200</v>
      </c>
      <c r="D363" t="s">
        <v>995</v>
      </c>
      <c r="E363" s="1" t="s">
        <v>996</v>
      </c>
      <c r="F363" t="s">
        <v>11</v>
      </c>
      <c r="G363" s="2">
        <v>44229.522349537037</v>
      </c>
    </row>
    <row r="364" spans="1:7" ht="15" customHeight="1" x14ac:dyDescent="0.3">
      <c r="A364">
        <v>1357167</v>
      </c>
      <c r="B364" t="s">
        <v>87</v>
      </c>
      <c r="C364" t="s">
        <v>997</v>
      </c>
      <c r="D364" t="s">
        <v>998</v>
      </c>
      <c r="E364" s="1" t="s">
        <v>999</v>
      </c>
      <c r="F364" t="s">
        <v>11</v>
      </c>
      <c r="G364" s="2">
        <v>44229.50984953704</v>
      </c>
    </row>
    <row r="365" spans="1:7" ht="15" customHeight="1" x14ac:dyDescent="0.3">
      <c r="A365">
        <v>1357153</v>
      </c>
      <c r="B365" t="s">
        <v>16</v>
      </c>
      <c r="C365" t="s">
        <v>1000</v>
      </c>
      <c r="D365" t="s">
        <v>1001</v>
      </c>
      <c r="E365" s="1" t="s">
        <v>1002</v>
      </c>
      <c r="F365" t="s">
        <v>11</v>
      </c>
      <c r="G365" s="2">
        <v>44229.490532407406</v>
      </c>
    </row>
    <row r="366" spans="1:7" ht="15" customHeight="1" x14ac:dyDescent="0.3">
      <c r="A366">
        <v>1357151</v>
      </c>
      <c r="B366" t="s">
        <v>36</v>
      </c>
      <c r="C366" t="s">
        <v>989</v>
      </c>
      <c r="D366" t="s">
        <v>1003</v>
      </c>
      <c r="E366" s="1" t="s">
        <v>1004</v>
      </c>
      <c r="F366" t="s">
        <v>11</v>
      </c>
      <c r="G366" s="2">
        <v>44229.489791666667</v>
      </c>
    </row>
    <row r="367" spans="1:7" ht="15" customHeight="1" x14ac:dyDescent="0.3">
      <c r="A367">
        <v>1357138</v>
      </c>
      <c r="B367" t="s">
        <v>473</v>
      </c>
      <c r="C367" t="s">
        <v>1005</v>
      </c>
      <c r="D367" t="s">
        <v>1006</v>
      </c>
      <c r="E367" s="1" t="s">
        <v>1007</v>
      </c>
      <c r="F367" t="s">
        <v>11</v>
      </c>
      <c r="G367" s="2">
        <v>44229.466226851851</v>
      </c>
    </row>
    <row r="368" spans="1:7" ht="15" customHeight="1" x14ac:dyDescent="0.3">
      <c r="A368">
        <v>1357134</v>
      </c>
      <c r="B368" t="s">
        <v>226</v>
      </c>
      <c r="C368" t="s">
        <v>1008</v>
      </c>
      <c r="D368" t="s">
        <v>1009</v>
      </c>
      <c r="E368" t="s">
        <v>461</v>
      </c>
      <c r="F368" t="s">
        <v>462</v>
      </c>
      <c r="G368" s="2">
        <v>44229.46020833333</v>
      </c>
    </row>
    <row r="369" spans="1:7" ht="15" customHeight="1" x14ac:dyDescent="0.3">
      <c r="A369">
        <v>1357133</v>
      </c>
      <c r="B369" t="s">
        <v>1010</v>
      </c>
      <c r="C369" t="s">
        <v>1011</v>
      </c>
      <c r="D369" t="s">
        <v>1012</v>
      </c>
      <c r="E369" t="s">
        <v>461</v>
      </c>
      <c r="F369" t="s">
        <v>462</v>
      </c>
      <c r="G369" s="2">
        <v>44229.460196759261</v>
      </c>
    </row>
    <row r="370" spans="1:7" ht="15" customHeight="1" x14ac:dyDescent="0.3">
      <c r="A370">
        <v>1357132</v>
      </c>
      <c r="B370" t="s">
        <v>1013</v>
      </c>
      <c r="C370" t="s">
        <v>1014</v>
      </c>
      <c r="D370" t="s">
        <v>1015</v>
      </c>
      <c r="E370" t="s">
        <v>461</v>
      </c>
      <c r="F370" t="s">
        <v>462</v>
      </c>
      <c r="G370" s="2">
        <v>44229.460185185184</v>
      </c>
    </row>
    <row r="371" spans="1:7" ht="15" customHeight="1" x14ac:dyDescent="0.3">
      <c r="A371">
        <v>1357131</v>
      </c>
      <c r="B371" t="s">
        <v>1016</v>
      </c>
      <c r="C371" t="s">
        <v>1017</v>
      </c>
      <c r="D371" t="s">
        <v>1018</v>
      </c>
      <c r="E371" t="s">
        <v>461</v>
      </c>
      <c r="F371" t="s">
        <v>462</v>
      </c>
      <c r="G371" s="2">
        <v>44229.460173611114</v>
      </c>
    </row>
    <row r="372" spans="1:7" ht="15" customHeight="1" x14ac:dyDescent="0.3">
      <c r="A372">
        <v>1357130</v>
      </c>
      <c r="B372" t="s">
        <v>191</v>
      </c>
      <c r="C372" t="s">
        <v>192</v>
      </c>
      <c r="D372" t="s">
        <v>1019</v>
      </c>
      <c r="E372" t="s">
        <v>461</v>
      </c>
      <c r="F372" t="s">
        <v>462</v>
      </c>
      <c r="G372" s="2">
        <v>44229.460162037038</v>
      </c>
    </row>
    <row r="373" spans="1:7" ht="15" customHeight="1" x14ac:dyDescent="0.3">
      <c r="A373">
        <v>1357129</v>
      </c>
      <c r="B373" t="s">
        <v>281</v>
      </c>
      <c r="C373" t="s">
        <v>282</v>
      </c>
      <c r="D373" t="s">
        <v>1020</v>
      </c>
      <c r="E373" t="s">
        <v>461</v>
      </c>
      <c r="F373" t="s">
        <v>462</v>
      </c>
      <c r="G373" s="2">
        <v>44229.460162037038</v>
      </c>
    </row>
    <row r="374" spans="1:7" ht="15" customHeight="1" x14ac:dyDescent="0.3">
      <c r="A374">
        <v>1357128</v>
      </c>
      <c r="B374" t="s">
        <v>1021</v>
      </c>
      <c r="C374" t="s">
        <v>1022</v>
      </c>
      <c r="D374" t="s">
        <v>1023</v>
      </c>
      <c r="E374" t="s">
        <v>461</v>
      </c>
      <c r="F374" t="s">
        <v>462</v>
      </c>
      <c r="G374" s="2">
        <v>44229.460150462961</v>
      </c>
    </row>
    <row r="375" spans="1:7" ht="15" customHeight="1" x14ac:dyDescent="0.3">
      <c r="A375">
        <v>1357127</v>
      </c>
      <c r="B375" t="s">
        <v>7</v>
      </c>
      <c r="C375" t="s">
        <v>107</v>
      </c>
      <c r="D375" t="s">
        <v>1024</v>
      </c>
      <c r="E375" t="s">
        <v>461</v>
      </c>
      <c r="F375" t="s">
        <v>462</v>
      </c>
      <c r="G375" s="2">
        <v>44229.460138888891</v>
      </c>
    </row>
    <row r="376" spans="1:7" ht="15" customHeight="1" x14ac:dyDescent="0.3">
      <c r="A376">
        <v>1357126</v>
      </c>
      <c r="B376" t="s">
        <v>1025</v>
      </c>
      <c r="C376" t="s">
        <v>1026</v>
      </c>
      <c r="D376" t="s">
        <v>1019</v>
      </c>
      <c r="E376" t="s">
        <v>461</v>
      </c>
      <c r="F376" t="s">
        <v>462</v>
      </c>
      <c r="G376" s="2">
        <v>44229.460127314815</v>
      </c>
    </row>
    <row r="377" spans="1:7" ht="15" customHeight="1" x14ac:dyDescent="0.3">
      <c r="A377">
        <v>1357125</v>
      </c>
      <c r="B377" t="s">
        <v>218</v>
      </c>
      <c r="C377" t="s">
        <v>1027</v>
      </c>
      <c r="D377" t="s">
        <v>1028</v>
      </c>
      <c r="E377" t="s">
        <v>461</v>
      </c>
      <c r="F377" t="s">
        <v>462</v>
      </c>
      <c r="G377" s="2">
        <v>44229.460127314815</v>
      </c>
    </row>
    <row r="378" spans="1:7" ht="15" customHeight="1" x14ac:dyDescent="0.3">
      <c r="A378">
        <v>1357124</v>
      </c>
      <c r="B378" t="s">
        <v>1029</v>
      </c>
      <c r="C378" t="s">
        <v>1030</v>
      </c>
      <c r="D378" t="s">
        <v>1018</v>
      </c>
      <c r="E378" t="s">
        <v>461</v>
      </c>
      <c r="F378" t="s">
        <v>462</v>
      </c>
      <c r="G378" s="2">
        <v>44229.460115740738</v>
      </c>
    </row>
    <row r="379" spans="1:7" ht="15" customHeight="1" x14ac:dyDescent="0.3">
      <c r="A379">
        <v>1357123</v>
      </c>
      <c r="B379" t="s">
        <v>32</v>
      </c>
      <c r="C379" t="s">
        <v>463</v>
      </c>
      <c r="D379" t="s">
        <v>1031</v>
      </c>
      <c r="E379" t="s">
        <v>461</v>
      </c>
      <c r="F379" t="s">
        <v>462</v>
      </c>
      <c r="G379" s="2">
        <v>44229.460092592592</v>
      </c>
    </row>
    <row r="380" spans="1:7" ht="15" customHeight="1" x14ac:dyDescent="0.3">
      <c r="A380">
        <v>1357122</v>
      </c>
      <c r="B380" t="s">
        <v>1032</v>
      </c>
      <c r="C380" t="s">
        <v>1033</v>
      </c>
      <c r="D380" t="s">
        <v>1034</v>
      </c>
      <c r="E380" t="s">
        <v>461</v>
      </c>
      <c r="F380" t="s">
        <v>462</v>
      </c>
      <c r="G380" s="2">
        <v>44229.460081018522</v>
      </c>
    </row>
    <row r="381" spans="1:7" ht="15" customHeight="1" x14ac:dyDescent="0.3">
      <c r="A381">
        <v>1357121</v>
      </c>
      <c r="B381" t="s">
        <v>1035</v>
      </c>
      <c r="C381" t="s">
        <v>1036</v>
      </c>
      <c r="D381" t="s">
        <v>1037</v>
      </c>
      <c r="E381" t="s">
        <v>461</v>
      </c>
      <c r="F381" t="s">
        <v>462</v>
      </c>
      <c r="G381" s="2">
        <v>44229.460069444445</v>
      </c>
    </row>
    <row r="382" spans="1:7" ht="15" customHeight="1" x14ac:dyDescent="0.3">
      <c r="A382">
        <v>1357120</v>
      </c>
      <c r="B382" t="s">
        <v>1038</v>
      </c>
      <c r="C382" t="s">
        <v>1039</v>
      </c>
      <c r="D382" t="s">
        <v>1040</v>
      </c>
      <c r="E382" t="s">
        <v>461</v>
      </c>
      <c r="F382" t="s">
        <v>462</v>
      </c>
      <c r="G382" s="2">
        <v>44229.460069444445</v>
      </c>
    </row>
    <row r="383" spans="1:7" ht="15" customHeight="1" x14ac:dyDescent="0.3">
      <c r="A383">
        <v>1357119</v>
      </c>
      <c r="B383" t="s">
        <v>749</v>
      </c>
      <c r="C383" t="s">
        <v>1041</v>
      </c>
      <c r="D383" t="s">
        <v>1042</v>
      </c>
      <c r="E383" t="s">
        <v>461</v>
      </c>
      <c r="F383" t="s">
        <v>462</v>
      </c>
      <c r="G383" s="2">
        <v>44229.460046296299</v>
      </c>
    </row>
    <row r="384" spans="1:7" ht="15" customHeight="1" x14ac:dyDescent="0.3">
      <c r="A384">
        <v>1357118</v>
      </c>
      <c r="B384" t="s">
        <v>53</v>
      </c>
      <c r="C384" t="s">
        <v>158</v>
      </c>
      <c r="D384" t="s">
        <v>1043</v>
      </c>
      <c r="E384" t="s">
        <v>461</v>
      </c>
      <c r="F384" t="s">
        <v>462</v>
      </c>
      <c r="G384" s="2">
        <v>44229.460046296299</v>
      </c>
    </row>
    <row r="385" spans="1:7" ht="15" customHeight="1" x14ac:dyDescent="0.3">
      <c r="A385">
        <v>1357117</v>
      </c>
      <c r="B385" t="s">
        <v>53</v>
      </c>
      <c r="C385" t="s">
        <v>158</v>
      </c>
      <c r="D385" t="s">
        <v>1044</v>
      </c>
      <c r="E385" t="s">
        <v>461</v>
      </c>
      <c r="F385" t="s">
        <v>462</v>
      </c>
      <c r="G385" s="2">
        <v>44229.460023148145</v>
      </c>
    </row>
    <row r="386" spans="1:7" ht="15" customHeight="1" x14ac:dyDescent="0.3">
      <c r="A386">
        <v>1357116</v>
      </c>
      <c r="B386" t="s">
        <v>1045</v>
      </c>
      <c r="C386" t="s">
        <v>1046</v>
      </c>
      <c r="D386" t="s">
        <v>1024</v>
      </c>
      <c r="E386" t="s">
        <v>461</v>
      </c>
      <c r="F386" t="s">
        <v>462</v>
      </c>
      <c r="G386" s="2">
        <v>44229.46</v>
      </c>
    </row>
    <row r="387" spans="1:7" ht="15" customHeight="1" x14ac:dyDescent="0.3">
      <c r="A387">
        <v>1357115</v>
      </c>
      <c r="B387" t="s">
        <v>1047</v>
      </c>
      <c r="C387" t="s">
        <v>1048</v>
      </c>
      <c r="D387" t="s">
        <v>1031</v>
      </c>
      <c r="E387" t="s">
        <v>461</v>
      </c>
      <c r="F387" t="s">
        <v>462</v>
      </c>
      <c r="G387" s="2">
        <v>44229.46</v>
      </c>
    </row>
    <row r="388" spans="1:7" ht="15" customHeight="1" x14ac:dyDescent="0.3">
      <c r="A388">
        <v>1357114</v>
      </c>
      <c r="B388" t="s">
        <v>1049</v>
      </c>
      <c r="C388" t="s">
        <v>1050</v>
      </c>
      <c r="D388" t="s">
        <v>1019</v>
      </c>
      <c r="E388" t="s">
        <v>461</v>
      </c>
      <c r="F388" t="s">
        <v>462</v>
      </c>
      <c r="G388" s="2">
        <v>44229.459988425922</v>
      </c>
    </row>
    <row r="389" spans="1:7" ht="15" customHeight="1" x14ac:dyDescent="0.3">
      <c r="A389">
        <v>1357113</v>
      </c>
      <c r="B389" t="s">
        <v>277</v>
      </c>
      <c r="C389" t="s">
        <v>816</v>
      </c>
      <c r="D389" t="s">
        <v>1051</v>
      </c>
      <c r="E389" t="s">
        <v>461</v>
      </c>
      <c r="F389" t="s">
        <v>462</v>
      </c>
      <c r="G389" s="2">
        <v>44229.459976851853</v>
      </c>
    </row>
    <row r="390" spans="1:7" ht="15" customHeight="1" x14ac:dyDescent="0.3">
      <c r="A390">
        <v>1357112</v>
      </c>
      <c r="B390" t="s">
        <v>1052</v>
      </c>
      <c r="C390" t="s">
        <v>1053</v>
      </c>
      <c r="D390" t="s">
        <v>1054</v>
      </c>
      <c r="E390" t="s">
        <v>461</v>
      </c>
      <c r="F390" t="s">
        <v>462</v>
      </c>
      <c r="G390" s="2">
        <v>44229.459976851853</v>
      </c>
    </row>
    <row r="391" spans="1:7" ht="15" customHeight="1" x14ac:dyDescent="0.3">
      <c r="A391">
        <v>1357111</v>
      </c>
      <c r="B391" t="s">
        <v>1055</v>
      </c>
      <c r="C391" t="s">
        <v>1056</v>
      </c>
      <c r="D391" t="s">
        <v>1057</v>
      </c>
      <c r="E391" t="s">
        <v>461</v>
      </c>
      <c r="F391" t="s">
        <v>462</v>
      </c>
      <c r="G391" s="2">
        <v>44229.459953703707</v>
      </c>
    </row>
    <row r="392" spans="1:7" ht="15" customHeight="1" x14ac:dyDescent="0.3">
      <c r="A392">
        <v>1357110</v>
      </c>
      <c r="B392" t="s">
        <v>545</v>
      </c>
      <c r="C392" t="s">
        <v>1058</v>
      </c>
      <c r="D392" t="s">
        <v>1042</v>
      </c>
      <c r="E392" t="s">
        <v>461</v>
      </c>
      <c r="F392" t="s">
        <v>462</v>
      </c>
      <c r="G392" s="2">
        <v>44229.459953703707</v>
      </c>
    </row>
    <row r="393" spans="1:7" ht="15" customHeight="1" x14ac:dyDescent="0.3">
      <c r="A393">
        <v>1357109</v>
      </c>
      <c r="B393" t="s">
        <v>218</v>
      </c>
      <c r="C393" t="s">
        <v>1027</v>
      </c>
      <c r="D393" t="s">
        <v>1059</v>
      </c>
      <c r="E393" t="s">
        <v>461</v>
      </c>
      <c r="F393" t="s">
        <v>462</v>
      </c>
      <c r="G393" s="2">
        <v>44229.45994212963</v>
      </c>
    </row>
    <row r="394" spans="1:7" ht="15" customHeight="1" x14ac:dyDescent="0.3">
      <c r="A394">
        <v>1357108</v>
      </c>
      <c r="B394" t="s">
        <v>331</v>
      </c>
      <c r="C394" t="s">
        <v>1060</v>
      </c>
      <c r="D394" t="s">
        <v>1061</v>
      </c>
      <c r="E394" t="s">
        <v>461</v>
      </c>
      <c r="F394" t="s">
        <v>462</v>
      </c>
      <c r="G394" s="2">
        <v>44229.459918981483</v>
      </c>
    </row>
    <row r="395" spans="1:7" ht="15" customHeight="1" x14ac:dyDescent="0.3">
      <c r="A395">
        <v>1357107</v>
      </c>
      <c r="B395" t="s">
        <v>20</v>
      </c>
      <c r="C395" t="s">
        <v>158</v>
      </c>
      <c r="D395" t="s">
        <v>1062</v>
      </c>
      <c r="E395" t="s">
        <v>461</v>
      </c>
      <c r="F395" t="s">
        <v>462</v>
      </c>
      <c r="G395" s="2">
        <v>44229.459907407407</v>
      </c>
    </row>
    <row r="396" spans="1:7" ht="15" customHeight="1" x14ac:dyDescent="0.3">
      <c r="A396">
        <v>1357106</v>
      </c>
      <c r="B396" t="s">
        <v>95</v>
      </c>
      <c r="C396" t="s">
        <v>668</v>
      </c>
      <c r="D396" t="s">
        <v>1063</v>
      </c>
      <c r="E396" t="s">
        <v>461</v>
      </c>
      <c r="F396" t="s">
        <v>462</v>
      </c>
      <c r="G396" s="2">
        <v>44229.459907407407</v>
      </c>
    </row>
    <row r="397" spans="1:7" ht="15" customHeight="1" x14ac:dyDescent="0.3">
      <c r="A397">
        <v>1357105</v>
      </c>
      <c r="B397" t="s">
        <v>95</v>
      </c>
      <c r="C397" t="s">
        <v>668</v>
      </c>
      <c r="D397" t="s">
        <v>1063</v>
      </c>
      <c r="E397" t="s">
        <v>461</v>
      </c>
      <c r="F397" t="s">
        <v>462</v>
      </c>
      <c r="G397" s="2">
        <v>44229.45989583333</v>
      </c>
    </row>
    <row r="398" spans="1:7" ht="15" customHeight="1" x14ac:dyDescent="0.3">
      <c r="A398">
        <v>1357104</v>
      </c>
      <c r="B398" t="s">
        <v>95</v>
      </c>
      <c r="C398" t="s">
        <v>668</v>
      </c>
      <c r="D398" t="s">
        <v>1063</v>
      </c>
      <c r="E398" t="s">
        <v>461</v>
      </c>
      <c r="F398" t="s">
        <v>462</v>
      </c>
      <c r="G398" s="2">
        <v>44229.459872685184</v>
      </c>
    </row>
    <row r="399" spans="1:7" ht="15" customHeight="1" x14ac:dyDescent="0.3">
      <c r="A399">
        <v>1357103</v>
      </c>
      <c r="B399" t="s">
        <v>95</v>
      </c>
      <c r="C399" t="s">
        <v>668</v>
      </c>
      <c r="D399" t="s">
        <v>1064</v>
      </c>
      <c r="E399" t="s">
        <v>461</v>
      </c>
      <c r="F399" t="s">
        <v>462</v>
      </c>
      <c r="G399" s="2">
        <v>44229.459861111114</v>
      </c>
    </row>
    <row r="400" spans="1:7" ht="15" customHeight="1" x14ac:dyDescent="0.3">
      <c r="A400">
        <v>1357102</v>
      </c>
      <c r="B400" t="s">
        <v>95</v>
      </c>
      <c r="C400" t="s">
        <v>668</v>
      </c>
      <c r="D400" t="s">
        <v>1065</v>
      </c>
      <c r="E400" t="s">
        <v>461</v>
      </c>
      <c r="F400" t="s">
        <v>462</v>
      </c>
      <c r="G400" s="2">
        <v>44229.459849537037</v>
      </c>
    </row>
    <row r="401" spans="1:7" ht="15" customHeight="1" x14ac:dyDescent="0.3">
      <c r="A401">
        <v>1357101</v>
      </c>
      <c r="B401" t="s">
        <v>70</v>
      </c>
      <c r="C401" t="s">
        <v>369</v>
      </c>
      <c r="D401" t="s">
        <v>1066</v>
      </c>
      <c r="E401" t="s">
        <v>461</v>
      </c>
      <c r="F401" t="s">
        <v>462</v>
      </c>
      <c r="G401" s="2">
        <v>44229.459837962961</v>
      </c>
    </row>
    <row r="402" spans="1:7" ht="15" customHeight="1" x14ac:dyDescent="0.3">
      <c r="A402">
        <v>1357100</v>
      </c>
      <c r="B402" t="s">
        <v>95</v>
      </c>
      <c r="C402" t="s">
        <v>668</v>
      </c>
      <c r="D402" t="s">
        <v>1067</v>
      </c>
      <c r="E402" t="s">
        <v>461</v>
      </c>
      <c r="F402" t="s">
        <v>462</v>
      </c>
      <c r="G402" s="2">
        <v>44229.459826388891</v>
      </c>
    </row>
    <row r="403" spans="1:7" ht="15" customHeight="1" x14ac:dyDescent="0.3">
      <c r="A403">
        <v>1357099</v>
      </c>
      <c r="B403" t="s">
        <v>95</v>
      </c>
      <c r="C403" t="s">
        <v>668</v>
      </c>
      <c r="D403" t="s">
        <v>1068</v>
      </c>
      <c r="E403" t="s">
        <v>461</v>
      </c>
      <c r="F403" t="s">
        <v>462</v>
      </c>
      <c r="G403" s="2">
        <v>44229.459814814814</v>
      </c>
    </row>
    <row r="404" spans="1:7" ht="15" customHeight="1" x14ac:dyDescent="0.3">
      <c r="A404">
        <v>1357097</v>
      </c>
      <c r="B404" t="s">
        <v>95</v>
      </c>
      <c r="C404" t="s">
        <v>668</v>
      </c>
      <c r="D404" t="s">
        <v>1068</v>
      </c>
      <c r="E404" t="s">
        <v>461</v>
      </c>
      <c r="F404" t="s">
        <v>462</v>
      </c>
      <c r="G404" s="2">
        <v>44229.459803240738</v>
      </c>
    </row>
    <row r="405" spans="1:7" ht="15" customHeight="1" x14ac:dyDescent="0.3">
      <c r="A405">
        <v>1357096</v>
      </c>
      <c r="B405" t="s">
        <v>184</v>
      </c>
      <c r="C405" t="s">
        <v>1069</v>
      </c>
      <c r="D405" t="s">
        <v>1070</v>
      </c>
      <c r="E405" t="s">
        <v>461</v>
      </c>
      <c r="F405" t="s">
        <v>462</v>
      </c>
      <c r="G405" s="2">
        <v>44229.459791666668</v>
      </c>
    </row>
    <row r="406" spans="1:7" ht="15" customHeight="1" x14ac:dyDescent="0.3">
      <c r="A406">
        <v>1357095</v>
      </c>
      <c r="B406" t="s">
        <v>184</v>
      </c>
      <c r="C406" t="s">
        <v>1069</v>
      </c>
      <c r="D406" t="s">
        <v>1070</v>
      </c>
      <c r="E406" t="s">
        <v>461</v>
      </c>
      <c r="F406" t="s">
        <v>462</v>
      </c>
      <c r="G406" s="2">
        <v>44229.459756944445</v>
      </c>
    </row>
    <row r="407" spans="1:7" ht="15" customHeight="1" x14ac:dyDescent="0.3">
      <c r="A407">
        <v>1357094</v>
      </c>
      <c r="B407" t="s">
        <v>184</v>
      </c>
      <c r="C407" t="s">
        <v>1069</v>
      </c>
      <c r="D407" t="s">
        <v>1071</v>
      </c>
      <c r="E407" t="s">
        <v>461</v>
      </c>
      <c r="F407" t="s">
        <v>462</v>
      </c>
      <c r="G407" s="2">
        <v>44229.459722222222</v>
      </c>
    </row>
    <row r="408" spans="1:7" ht="15" customHeight="1" x14ac:dyDescent="0.3">
      <c r="A408">
        <v>1357093</v>
      </c>
      <c r="B408" t="s">
        <v>184</v>
      </c>
      <c r="C408" t="s">
        <v>1069</v>
      </c>
      <c r="D408" t="s">
        <v>1071</v>
      </c>
      <c r="E408" t="s">
        <v>461</v>
      </c>
      <c r="F408" t="s">
        <v>462</v>
      </c>
      <c r="G408" s="2">
        <v>44229.459687499999</v>
      </c>
    </row>
    <row r="409" spans="1:7" ht="15" customHeight="1" x14ac:dyDescent="0.3">
      <c r="A409">
        <v>1357092</v>
      </c>
      <c r="B409" t="s">
        <v>132</v>
      </c>
      <c r="C409" t="s">
        <v>1072</v>
      </c>
      <c r="D409" t="s">
        <v>1073</v>
      </c>
      <c r="E409" t="s">
        <v>461</v>
      </c>
      <c r="F409" t="s">
        <v>462</v>
      </c>
      <c r="G409" s="2">
        <v>44229.459652777776</v>
      </c>
    </row>
    <row r="410" spans="1:7" ht="15" customHeight="1" x14ac:dyDescent="0.3">
      <c r="A410">
        <v>1357091</v>
      </c>
      <c r="B410" t="s">
        <v>20</v>
      </c>
      <c r="C410" t="s">
        <v>158</v>
      </c>
      <c r="D410" t="s">
        <v>1074</v>
      </c>
      <c r="E410" t="s">
        <v>461</v>
      </c>
      <c r="F410" t="s">
        <v>462</v>
      </c>
      <c r="G410" s="2">
        <v>44229.459652777776</v>
      </c>
    </row>
    <row r="411" spans="1:7" ht="15" customHeight="1" x14ac:dyDescent="0.3">
      <c r="A411">
        <v>1357090</v>
      </c>
      <c r="B411" t="s">
        <v>20</v>
      </c>
      <c r="C411" t="s">
        <v>158</v>
      </c>
      <c r="D411" t="s">
        <v>1074</v>
      </c>
      <c r="E411" t="s">
        <v>461</v>
      </c>
      <c r="F411" t="s">
        <v>462</v>
      </c>
      <c r="G411" s="2">
        <v>44229.459641203706</v>
      </c>
    </row>
    <row r="412" spans="1:7" ht="15" customHeight="1" x14ac:dyDescent="0.3">
      <c r="A412">
        <v>1357089</v>
      </c>
      <c r="B412" t="s">
        <v>184</v>
      </c>
      <c r="C412" t="s">
        <v>1069</v>
      </c>
      <c r="D412" t="s">
        <v>1075</v>
      </c>
      <c r="E412" t="s">
        <v>461</v>
      </c>
      <c r="F412" t="s">
        <v>462</v>
      </c>
      <c r="G412" s="2">
        <v>44229.459629629629</v>
      </c>
    </row>
    <row r="413" spans="1:7" ht="15" customHeight="1" x14ac:dyDescent="0.3">
      <c r="A413">
        <v>1357088</v>
      </c>
      <c r="B413" t="s">
        <v>184</v>
      </c>
      <c r="C413" t="s">
        <v>1069</v>
      </c>
      <c r="D413" t="s">
        <v>1075</v>
      </c>
      <c r="E413" t="s">
        <v>461</v>
      </c>
      <c r="F413" t="s">
        <v>462</v>
      </c>
      <c r="G413" s="2">
        <v>44229.459606481483</v>
      </c>
    </row>
    <row r="414" spans="1:7" ht="15" customHeight="1" x14ac:dyDescent="0.3">
      <c r="A414">
        <v>1357087</v>
      </c>
      <c r="B414" t="s">
        <v>184</v>
      </c>
      <c r="C414" t="s">
        <v>1069</v>
      </c>
      <c r="D414" t="s">
        <v>1075</v>
      </c>
      <c r="E414" t="s">
        <v>461</v>
      </c>
      <c r="F414" t="s">
        <v>462</v>
      </c>
      <c r="G414" s="2">
        <v>44229.459560185183</v>
      </c>
    </row>
    <row r="415" spans="1:7" ht="15" customHeight="1" x14ac:dyDescent="0.3">
      <c r="A415">
        <v>1357086</v>
      </c>
      <c r="B415" t="s">
        <v>184</v>
      </c>
      <c r="C415" t="s">
        <v>1069</v>
      </c>
      <c r="D415" t="s">
        <v>1075</v>
      </c>
      <c r="E415" t="s">
        <v>461</v>
      </c>
      <c r="F415" t="s">
        <v>462</v>
      </c>
      <c r="G415" s="2">
        <v>44229.459479166668</v>
      </c>
    </row>
    <row r="416" spans="1:7" ht="15" customHeight="1" x14ac:dyDescent="0.3">
      <c r="A416">
        <v>1357085</v>
      </c>
      <c r="B416" t="s">
        <v>184</v>
      </c>
      <c r="C416" t="s">
        <v>1069</v>
      </c>
      <c r="D416" t="s">
        <v>1075</v>
      </c>
      <c r="E416" t="s">
        <v>461</v>
      </c>
      <c r="F416" t="s">
        <v>462</v>
      </c>
      <c r="G416" s="2">
        <v>44229.459456018521</v>
      </c>
    </row>
    <row r="417" spans="1:7" ht="15" customHeight="1" x14ac:dyDescent="0.3">
      <c r="A417">
        <v>1357084</v>
      </c>
      <c r="B417" t="s">
        <v>184</v>
      </c>
      <c r="C417" t="s">
        <v>1069</v>
      </c>
      <c r="D417" t="s">
        <v>1075</v>
      </c>
      <c r="E417" t="s">
        <v>461</v>
      </c>
      <c r="F417" t="s">
        <v>462</v>
      </c>
      <c r="G417" s="2">
        <v>44229.459432870368</v>
      </c>
    </row>
    <row r="418" spans="1:7" ht="15" customHeight="1" x14ac:dyDescent="0.3">
      <c r="A418">
        <v>1357083</v>
      </c>
      <c r="B418" t="s">
        <v>184</v>
      </c>
      <c r="C418" t="s">
        <v>1069</v>
      </c>
      <c r="D418" t="s">
        <v>1075</v>
      </c>
      <c r="E418" t="s">
        <v>461</v>
      </c>
      <c r="F418" t="s">
        <v>462</v>
      </c>
      <c r="G418" s="2">
        <v>44229.459421296298</v>
      </c>
    </row>
    <row r="419" spans="1:7" ht="15" customHeight="1" x14ac:dyDescent="0.3">
      <c r="A419">
        <v>1357082</v>
      </c>
      <c r="B419" t="s">
        <v>184</v>
      </c>
      <c r="C419" t="s">
        <v>1069</v>
      </c>
      <c r="D419" t="s">
        <v>1075</v>
      </c>
      <c r="E419" t="s">
        <v>461</v>
      </c>
      <c r="F419" t="s">
        <v>462</v>
      </c>
      <c r="G419" s="2">
        <v>44229.459398148145</v>
      </c>
    </row>
    <row r="420" spans="1:7" ht="15" customHeight="1" x14ac:dyDescent="0.3">
      <c r="A420">
        <v>1357081</v>
      </c>
      <c r="B420" t="s">
        <v>184</v>
      </c>
      <c r="C420" t="s">
        <v>1069</v>
      </c>
      <c r="D420" t="s">
        <v>1075</v>
      </c>
      <c r="E420" t="s">
        <v>461</v>
      </c>
      <c r="F420" t="s">
        <v>462</v>
      </c>
      <c r="G420" s="2">
        <v>44229.459374999999</v>
      </c>
    </row>
    <row r="421" spans="1:7" ht="15" customHeight="1" x14ac:dyDescent="0.3">
      <c r="A421">
        <v>1357080</v>
      </c>
      <c r="B421" t="s">
        <v>184</v>
      </c>
      <c r="C421" t="s">
        <v>1069</v>
      </c>
      <c r="D421" t="s">
        <v>1075</v>
      </c>
      <c r="E421" t="s">
        <v>461</v>
      </c>
      <c r="F421" t="s">
        <v>462</v>
      </c>
      <c r="G421" s="2">
        <v>44229.459363425929</v>
      </c>
    </row>
    <row r="422" spans="1:7" ht="15" customHeight="1" x14ac:dyDescent="0.3">
      <c r="A422">
        <v>1357079</v>
      </c>
      <c r="B422" t="s">
        <v>184</v>
      </c>
      <c r="C422" t="s">
        <v>1069</v>
      </c>
      <c r="D422" t="s">
        <v>1075</v>
      </c>
      <c r="E422" t="s">
        <v>461</v>
      </c>
      <c r="F422" t="s">
        <v>462</v>
      </c>
      <c r="G422" s="2">
        <v>44229.459340277775</v>
      </c>
    </row>
    <row r="423" spans="1:7" ht="15" customHeight="1" x14ac:dyDescent="0.3">
      <c r="A423">
        <v>1357077</v>
      </c>
      <c r="B423" t="s">
        <v>184</v>
      </c>
      <c r="C423" t="s">
        <v>1069</v>
      </c>
      <c r="D423" t="s">
        <v>1075</v>
      </c>
      <c r="E423" t="s">
        <v>461</v>
      </c>
      <c r="F423" t="s">
        <v>462</v>
      </c>
      <c r="G423" s="2">
        <v>44229.459317129629</v>
      </c>
    </row>
    <row r="424" spans="1:7" ht="15" customHeight="1" x14ac:dyDescent="0.3">
      <c r="A424">
        <v>1357076</v>
      </c>
      <c r="B424" t="s">
        <v>184</v>
      </c>
      <c r="C424" t="s">
        <v>1069</v>
      </c>
      <c r="D424" t="s">
        <v>1075</v>
      </c>
      <c r="E424" t="s">
        <v>461</v>
      </c>
      <c r="F424" t="s">
        <v>462</v>
      </c>
      <c r="G424" s="2">
        <v>44229.459305555552</v>
      </c>
    </row>
    <row r="425" spans="1:7" ht="15" customHeight="1" x14ac:dyDescent="0.3">
      <c r="A425">
        <v>1357075</v>
      </c>
      <c r="B425" t="s">
        <v>184</v>
      </c>
      <c r="C425" t="s">
        <v>1069</v>
      </c>
      <c r="D425" t="s">
        <v>1075</v>
      </c>
      <c r="E425" t="s">
        <v>461</v>
      </c>
      <c r="F425" t="s">
        <v>462</v>
      </c>
      <c r="G425" s="2">
        <v>44229.459293981483</v>
      </c>
    </row>
    <row r="426" spans="1:7" ht="15" customHeight="1" x14ac:dyDescent="0.3">
      <c r="A426">
        <v>1357074</v>
      </c>
      <c r="B426" t="s">
        <v>184</v>
      </c>
      <c r="C426" t="s">
        <v>1069</v>
      </c>
      <c r="D426" t="s">
        <v>1075</v>
      </c>
      <c r="E426" t="s">
        <v>461</v>
      </c>
      <c r="F426" t="s">
        <v>462</v>
      </c>
      <c r="G426" s="2">
        <v>44229.459270833337</v>
      </c>
    </row>
    <row r="427" spans="1:7" ht="15" customHeight="1" x14ac:dyDescent="0.3">
      <c r="A427">
        <v>1357073</v>
      </c>
      <c r="B427" t="s">
        <v>184</v>
      </c>
      <c r="C427" t="s">
        <v>1069</v>
      </c>
      <c r="D427" t="s">
        <v>1075</v>
      </c>
      <c r="E427" t="s">
        <v>461</v>
      </c>
      <c r="F427" t="s">
        <v>462</v>
      </c>
      <c r="G427" s="2">
        <v>44229.45925925926</v>
      </c>
    </row>
    <row r="428" spans="1:7" ht="15" customHeight="1" x14ac:dyDescent="0.3">
      <c r="A428">
        <v>1357072</v>
      </c>
      <c r="B428" t="s">
        <v>184</v>
      </c>
      <c r="C428" t="s">
        <v>1069</v>
      </c>
      <c r="D428" t="s">
        <v>1075</v>
      </c>
      <c r="E428" t="s">
        <v>461</v>
      </c>
      <c r="F428" t="s">
        <v>462</v>
      </c>
      <c r="G428" s="2">
        <v>44229.459236111114</v>
      </c>
    </row>
    <row r="429" spans="1:7" ht="15" customHeight="1" x14ac:dyDescent="0.3">
      <c r="A429">
        <v>1357071</v>
      </c>
      <c r="B429" t="s">
        <v>184</v>
      </c>
      <c r="C429" t="s">
        <v>1069</v>
      </c>
      <c r="D429" t="s">
        <v>1075</v>
      </c>
      <c r="E429" t="s">
        <v>461</v>
      </c>
      <c r="F429" t="s">
        <v>462</v>
      </c>
      <c r="G429" s="2">
        <v>44229.45921296296</v>
      </c>
    </row>
    <row r="430" spans="1:7" ht="15" customHeight="1" x14ac:dyDescent="0.3">
      <c r="A430">
        <v>1357070</v>
      </c>
      <c r="B430" t="s">
        <v>184</v>
      </c>
      <c r="C430" t="s">
        <v>1069</v>
      </c>
      <c r="D430" t="s">
        <v>1075</v>
      </c>
      <c r="E430" t="s">
        <v>461</v>
      </c>
      <c r="F430" t="s">
        <v>462</v>
      </c>
      <c r="G430" s="2">
        <v>44229.459201388891</v>
      </c>
    </row>
    <row r="431" spans="1:7" ht="15" customHeight="1" x14ac:dyDescent="0.3">
      <c r="A431">
        <v>1357069</v>
      </c>
      <c r="B431" t="s">
        <v>184</v>
      </c>
      <c r="C431" t="s">
        <v>1069</v>
      </c>
      <c r="D431" t="s">
        <v>1075</v>
      </c>
      <c r="E431" t="s">
        <v>461</v>
      </c>
      <c r="F431" t="s">
        <v>462</v>
      </c>
      <c r="G431" s="2">
        <v>44229.459189814814</v>
      </c>
    </row>
    <row r="432" spans="1:7" ht="15" customHeight="1" x14ac:dyDescent="0.3">
      <c r="A432">
        <v>1357068</v>
      </c>
      <c r="B432" t="s">
        <v>184</v>
      </c>
      <c r="C432" t="s">
        <v>1069</v>
      </c>
      <c r="D432" t="s">
        <v>1075</v>
      </c>
      <c r="E432" t="s">
        <v>461</v>
      </c>
      <c r="F432" t="s">
        <v>462</v>
      </c>
      <c r="G432" s="2">
        <v>44229.459166666667</v>
      </c>
    </row>
    <row r="433" spans="1:7" ht="15" customHeight="1" x14ac:dyDescent="0.3">
      <c r="A433">
        <v>1357067</v>
      </c>
      <c r="B433" t="s">
        <v>184</v>
      </c>
      <c r="C433" t="s">
        <v>1069</v>
      </c>
      <c r="D433" t="s">
        <v>1075</v>
      </c>
      <c r="E433" t="s">
        <v>461</v>
      </c>
      <c r="F433" t="s">
        <v>462</v>
      </c>
      <c r="G433" s="2">
        <v>44229.459155092591</v>
      </c>
    </row>
    <row r="434" spans="1:7" ht="15" customHeight="1" x14ac:dyDescent="0.3">
      <c r="A434">
        <v>1357066</v>
      </c>
      <c r="B434" t="s">
        <v>184</v>
      </c>
      <c r="C434" t="s">
        <v>1069</v>
      </c>
      <c r="D434" t="s">
        <v>1075</v>
      </c>
      <c r="E434" t="s">
        <v>461</v>
      </c>
      <c r="F434" t="s">
        <v>462</v>
      </c>
      <c r="G434" s="2">
        <v>44229.459131944444</v>
      </c>
    </row>
    <row r="435" spans="1:7" ht="15" customHeight="1" x14ac:dyDescent="0.3">
      <c r="A435">
        <v>1357065</v>
      </c>
      <c r="B435" t="s">
        <v>184</v>
      </c>
      <c r="C435" t="s">
        <v>1069</v>
      </c>
      <c r="D435" t="s">
        <v>1076</v>
      </c>
      <c r="E435" t="s">
        <v>461</v>
      </c>
      <c r="F435" t="s">
        <v>462</v>
      </c>
      <c r="G435" s="2">
        <v>44229.459108796298</v>
      </c>
    </row>
    <row r="436" spans="1:7" ht="15" customHeight="1" x14ac:dyDescent="0.3">
      <c r="A436">
        <v>1357064</v>
      </c>
      <c r="B436" t="s">
        <v>184</v>
      </c>
      <c r="C436" t="s">
        <v>1069</v>
      </c>
      <c r="D436" t="s">
        <v>1077</v>
      </c>
      <c r="E436" t="s">
        <v>461</v>
      </c>
      <c r="F436" t="s">
        <v>462</v>
      </c>
      <c r="G436" s="2">
        <v>44229.459097222221</v>
      </c>
    </row>
    <row r="437" spans="1:7" ht="15" customHeight="1" x14ac:dyDescent="0.3">
      <c r="A437">
        <v>1357063</v>
      </c>
      <c r="B437" t="s">
        <v>184</v>
      </c>
      <c r="C437" t="s">
        <v>1069</v>
      </c>
      <c r="D437" t="s">
        <v>1009</v>
      </c>
      <c r="E437" t="s">
        <v>461</v>
      </c>
      <c r="F437" t="s">
        <v>462</v>
      </c>
      <c r="G437" s="2">
        <v>44229.459085648145</v>
      </c>
    </row>
    <row r="438" spans="1:7" ht="15" customHeight="1" x14ac:dyDescent="0.3">
      <c r="A438">
        <v>1357062</v>
      </c>
      <c r="B438" t="s">
        <v>184</v>
      </c>
      <c r="C438" t="s">
        <v>1069</v>
      </c>
      <c r="D438" t="s">
        <v>1078</v>
      </c>
      <c r="E438" t="s">
        <v>461</v>
      </c>
      <c r="F438" t="s">
        <v>462</v>
      </c>
      <c r="G438" s="2">
        <v>44229.459074074075</v>
      </c>
    </row>
    <row r="439" spans="1:7" ht="15" customHeight="1" x14ac:dyDescent="0.3">
      <c r="A439">
        <v>1357061</v>
      </c>
      <c r="B439" t="s">
        <v>1079</v>
      </c>
      <c r="C439" t="s">
        <v>1080</v>
      </c>
      <c r="D439" t="s">
        <v>1081</v>
      </c>
      <c r="E439" t="s">
        <v>461</v>
      </c>
      <c r="F439" t="s">
        <v>462</v>
      </c>
      <c r="G439" s="2">
        <v>44229.459074074075</v>
      </c>
    </row>
    <row r="440" spans="1:7" ht="15" customHeight="1" x14ac:dyDescent="0.3">
      <c r="A440">
        <v>1357060</v>
      </c>
      <c r="B440" t="s">
        <v>184</v>
      </c>
      <c r="C440" t="s">
        <v>1069</v>
      </c>
      <c r="D440" t="s">
        <v>1070</v>
      </c>
      <c r="E440" t="s">
        <v>461</v>
      </c>
      <c r="F440" t="s">
        <v>462</v>
      </c>
      <c r="G440" s="2">
        <v>44229.459062499998</v>
      </c>
    </row>
    <row r="441" spans="1:7" ht="15" customHeight="1" x14ac:dyDescent="0.3">
      <c r="A441">
        <v>1357059</v>
      </c>
      <c r="B441" t="s">
        <v>184</v>
      </c>
      <c r="C441" t="s">
        <v>1069</v>
      </c>
      <c r="D441" t="s">
        <v>1082</v>
      </c>
      <c r="E441" t="s">
        <v>461</v>
      </c>
      <c r="F441" t="s">
        <v>462</v>
      </c>
      <c r="G441" s="2">
        <v>44229.459050925929</v>
      </c>
    </row>
    <row r="442" spans="1:7" ht="15" customHeight="1" x14ac:dyDescent="0.3">
      <c r="A442">
        <v>1357058</v>
      </c>
      <c r="B442" t="s">
        <v>184</v>
      </c>
      <c r="C442" t="s">
        <v>1069</v>
      </c>
      <c r="D442" t="s">
        <v>1083</v>
      </c>
      <c r="E442" t="s">
        <v>461</v>
      </c>
      <c r="F442" t="s">
        <v>462</v>
      </c>
      <c r="G442" s="2">
        <v>44229.459050925929</v>
      </c>
    </row>
    <row r="443" spans="1:7" ht="15" customHeight="1" x14ac:dyDescent="0.3">
      <c r="A443">
        <v>1357057</v>
      </c>
      <c r="B443" t="s">
        <v>95</v>
      </c>
      <c r="C443" t="s">
        <v>668</v>
      </c>
      <c r="D443" t="s">
        <v>1084</v>
      </c>
      <c r="E443" t="s">
        <v>461</v>
      </c>
      <c r="F443" t="s">
        <v>462</v>
      </c>
      <c r="G443" s="2">
        <v>44229.459016203706</v>
      </c>
    </row>
    <row r="444" spans="1:7" ht="15" customHeight="1" x14ac:dyDescent="0.3">
      <c r="A444">
        <v>1357056</v>
      </c>
      <c r="B444" t="s">
        <v>95</v>
      </c>
      <c r="C444" t="s">
        <v>668</v>
      </c>
      <c r="D444" t="s">
        <v>1085</v>
      </c>
      <c r="E444" t="s">
        <v>461</v>
      </c>
      <c r="F444" t="s">
        <v>462</v>
      </c>
      <c r="G444" s="2">
        <v>44229.459004629629</v>
      </c>
    </row>
    <row r="445" spans="1:7" ht="15" customHeight="1" x14ac:dyDescent="0.3">
      <c r="A445">
        <v>1357055</v>
      </c>
      <c r="B445" t="s">
        <v>95</v>
      </c>
      <c r="C445" t="s">
        <v>668</v>
      </c>
      <c r="D445" t="s">
        <v>1085</v>
      </c>
      <c r="E445" t="s">
        <v>461</v>
      </c>
      <c r="F445" t="s">
        <v>462</v>
      </c>
      <c r="G445" s="2">
        <v>44229.459004629629</v>
      </c>
    </row>
    <row r="446" spans="1:7" ht="15" customHeight="1" x14ac:dyDescent="0.3">
      <c r="A446">
        <v>1357054</v>
      </c>
      <c r="B446" t="s">
        <v>95</v>
      </c>
      <c r="C446" t="s">
        <v>668</v>
      </c>
      <c r="D446" t="s">
        <v>1085</v>
      </c>
      <c r="E446" t="s">
        <v>461</v>
      </c>
      <c r="F446" t="s">
        <v>462</v>
      </c>
      <c r="G446" s="2">
        <v>44229.458993055552</v>
      </c>
    </row>
    <row r="447" spans="1:7" ht="15" customHeight="1" x14ac:dyDescent="0.3">
      <c r="A447">
        <v>1357053</v>
      </c>
      <c r="B447" t="s">
        <v>477</v>
      </c>
      <c r="C447" t="s">
        <v>512</v>
      </c>
      <c r="D447" t="s">
        <v>1086</v>
      </c>
      <c r="E447" t="s">
        <v>461</v>
      </c>
      <c r="F447" t="s">
        <v>462</v>
      </c>
      <c r="G447" s="2">
        <v>44229.458993055552</v>
      </c>
    </row>
    <row r="448" spans="1:7" ht="15" customHeight="1" x14ac:dyDescent="0.3">
      <c r="A448">
        <v>1357052</v>
      </c>
      <c r="B448" t="s">
        <v>331</v>
      </c>
      <c r="C448" t="s">
        <v>1060</v>
      </c>
      <c r="D448" t="s">
        <v>1087</v>
      </c>
      <c r="E448" t="s">
        <v>461</v>
      </c>
      <c r="F448" t="s">
        <v>462</v>
      </c>
      <c r="G448" s="2">
        <v>44229.458981481483</v>
      </c>
    </row>
    <row r="449" spans="1:7" ht="15" customHeight="1" x14ac:dyDescent="0.3">
      <c r="A449">
        <v>1357051</v>
      </c>
      <c r="B449" t="s">
        <v>53</v>
      </c>
      <c r="C449" t="s">
        <v>158</v>
      </c>
      <c r="D449" t="s">
        <v>1088</v>
      </c>
      <c r="E449" t="s">
        <v>461</v>
      </c>
      <c r="F449" t="s">
        <v>462</v>
      </c>
      <c r="G449" s="2">
        <v>44229.458958333336</v>
      </c>
    </row>
    <row r="450" spans="1:7" ht="15" customHeight="1" x14ac:dyDescent="0.3">
      <c r="A450">
        <v>1357050</v>
      </c>
      <c r="B450" t="s">
        <v>95</v>
      </c>
      <c r="C450" t="s">
        <v>668</v>
      </c>
      <c r="D450" t="s">
        <v>1089</v>
      </c>
      <c r="E450" t="s">
        <v>461</v>
      </c>
      <c r="F450" t="s">
        <v>462</v>
      </c>
      <c r="G450" s="2">
        <v>44229.458912037036</v>
      </c>
    </row>
    <row r="451" spans="1:7" ht="15" customHeight="1" x14ac:dyDescent="0.3">
      <c r="A451">
        <v>1357049</v>
      </c>
      <c r="B451" t="s">
        <v>618</v>
      </c>
      <c r="C451" t="s">
        <v>619</v>
      </c>
      <c r="D451" t="s">
        <v>1090</v>
      </c>
      <c r="E451" t="s">
        <v>461</v>
      </c>
      <c r="F451" t="s">
        <v>462</v>
      </c>
      <c r="G451" s="2">
        <v>44229.458912037036</v>
      </c>
    </row>
    <row r="452" spans="1:7" ht="15" customHeight="1" x14ac:dyDescent="0.3">
      <c r="A452">
        <v>1357048</v>
      </c>
      <c r="B452" t="s">
        <v>95</v>
      </c>
      <c r="C452" t="s">
        <v>668</v>
      </c>
      <c r="D452" t="s">
        <v>1091</v>
      </c>
      <c r="E452" t="s">
        <v>461</v>
      </c>
      <c r="F452" t="s">
        <v>462</v>
      </c>
      <c r="G452" s="2">
        <v>44229.45890046296</v>
      </c>
    </row>
    <row r="453" spans="1:7" ht="15" customHeight="1" x14ac:dyDescent="0.3">
      <c r="A453">
        <v>1357047</v>
      </c>
      <c r="B453" t="s">
        <v>53</v>
      </c>
      <c r="C453" t="s">
        <v>158</v>
      </c>
      <c r="D453" t="s">
        <v>1092</v>
      </c>
      <c r="E453" t="s">
        <v>461</v>
      </c>
      <c r="F453" t="s">
        <v>462</v>
      </c>
      <c r="G453" s="2">
        <v>44229.458865740744</v>
      </c>
    </row>
    <row r="454" spans="1:7" ht="15" customHeight="1" x14ac:dyDescent="0.3">
      <c r="A454">
        <v>1357046</v>
      </c>
      <c r="B454" t="s">
        <v>53</v>
      </c>
      <c r="C454" t="s">
        <v>158</v>
      </c>
      <c r="D454" t="s">
        <v>1043</v>
      </c>
      <c r="E454" t="s">
        <v>461</v>
      </c>
      <c r="F454" t="s">
        <v>462</v>
      </c>
      <c r="G454" s="2">
        <v>44229.458854166667</v>
      </c>
    </row>
    <row r="455" spans="1:7" ht="15" customHeight="1" x14ac:dyDescent="0.3">
      <c r="A455">
        <v>1357045</v>
      </c>
      <c r="B455" t="s">
        <v>95</v>
      </c>
      <c r="C455" t="s">
        <v>668</v>
      </c>
      <c r="D455" t="s">
        <v>1091</v>
      </c>
      <c r="E455" t="s">
        <v>461</v>
      </c>
      <c r="F455" t="s">
        <v>462</v>
      </c>
      <c r="G455" s="2">
        <v>44229.458854166667</v>
      </c>
    </row>
    <row r="456" spans="1:7" ht="15" customHeight="1" x14ac:dyDescent="0.3">
      <c r="A456">
        <v>1357044</v>
      </c>
      <c r="B456" t="s">
        <v>36</v>
      </c>
      <c r="C456" t="s">
        <v>1093</v>
      </c>
      <c r="D456" t="s">
        <v>1094</v>
      </c>
      <c r="E456" s="1" t="s">
        <v>1095</v>
      </c>
      <c r="F456" t="s">
        <v>24</v>
      </c>
      <c r="G456" s="2">
        <v>44229.457256944443</v>
      </c>
    </row>
    <row r="457" spans="1:7" ht="15" customHeight="1" x14ac:dyDescent="0.3">
      <c r="A457">
        <v>1357043</v>
      </c>
      <c r="B457" t="s">
        <v>16</v>
      </c>
      <c r="C457" t="s">
        <v>649</v>
      </c>
      <c r="D457" t="s">
        <v>1096</v>
      </c>
      <c r="E457" s="1" t="s">
        <v>1097</v>
      </c>
      <c r="F457" t="s">
        <v>11</v>
      </c>
      <c r="G457" s="2">
        <v>44229.456863425927</v>
      </c>
    </row>
    <row r="458" spans="1:7" ht="15" customHeight="1" x14ac:dyDescent="0.3">
      <c r="A458">
        <v>1357041</v>
      </c>
      <c r="B458" t="s">
        <v>177</v>
      </c>
      <c r="C458" t="s">
        <v>178</v>
      </c>
      <c r="D458" t="s">
        <v>1098</v>
      </c>
      <c r="E458" s="1" t="s">
        <v>1099</v>
      </c>
      <c r="F458" t="s">
        <v>11</v>
      </c>
      <c r="G458" s="2">
        <v>44229.45516203704</v>
      </c>
    </row>
    <row r="459" spans="1:7" ht="15" customHeight="1" x14ac:dyDescent="0.3">
      <c r="A459">
        <v>1357040</v>
      </c>
      <c r="B459" t="s">
        <v>214</v>
      </c>
      <c r="C459" t="s">
        <v>1100</v>
      </c>
      <c r="D459" t="s">
        <v>1101</v>
      </c>
      <c r="E459" s="1" t="s">
        <v>1102</v>
      </c>
      <c r="F459" t="s">
        <v>11</v>
      </c>
      <c r="G459" s="2">
        <v>44229.454201388886</v>
      </c>
    </row>
    <row r="460" spans="1:7" ht="15" customHeight="1" x14ac:dyDescent="0.3">
      <c r="A460">
        <v>1357037</v>
      </c>
      <c r="B460" t="s">
        <v>157</v>
      </c>
      <c r="C460" t="s">
        <v>535</v>
      </c>
      <c r="D460" t="s">
        <v>1103</v>
      </c>
      <c r="E460" s="1" t="s">
        <v>1104</v>
      </c>
      <c r="F460" t="s">
        <v>11</v>
      </c>
      <c r="G460" s="2">
        <v>44229.451111111113</v>
      </c>
    </row>
    <row r="461" spans="1:7" ht="15" customHeight="1" x14ac:dyDescent="0.3">
      <c r="A461">
        <v>1357035</v>
      </c>
      <c r="B461" t="s">
        <v>1105</v>
      </c>
      <c r="C461" t="s">
        <v>1106</v>
      </c>
      <c r="D461" t="s">
        <v>1107</v>
      </c>
      <c r="E461" s="1" t="s">
        <v>1108</v>
      </c>
      <c r="F461" t="s">
        <v>11</v>
      </c>
      <c r="G461" s="2">
        <v>44229.44767361111</v>
      </c>
    </row>
    <row r="462" spans="1:7" ht="15" customHeight="1" x14ac:dyDescent="0.3">
      <c r="A462">
        <v>1357033</v>
      </c>
      <c r="B462" t="s">
        <v>1105</v>
      </c>
      <c r="C462" t="s">
        <v>1106</v>
      </c>
      <c r="D462" t="s">
        <v>1109</v>
      </c>
      <c r="E462" s="1" t="s">
        <v>1110</v>
      </c>
      <c r="F462" t="s">
        <v>24</v>
      </c>
      <c r="G462" s="2">
        <v>44229.444131944445</v>
      </c>
    </row>
    <row r="463" spans="1:7" ht="15" customHeight="1" x14ac:dyDescent="0.3">
      <c r="A463">
        <v>1357028</v>
      </c>
      <c r="B463" t="s">
        <v>95</v>
      </c>
      <c r="C463" t="s">
        <v>668</v>
      </c>
      <c r="D463" t="s">
        <v>1111</v>
      </c>
      <c r="E463" s="1" t="s">
        <v>1112</v>
      </c>
      <c r="F463" t="s">
        <v>24</v>
      </c>
      <c r="G463" s="2">
        <v>44229.429525462961</v>
      </c>
    </row>
    <row r="464" spans="1:7" ht="15" customHeight="1" x14ac:dyDescent="0.3">
      <c r="A464">
        <v>1357027</v>
      </c>
      <c r="B464" t="s">
        <v>331</v>
      </c>
      <c r="C464" t="s">
        <v>332</v>
      </c>
      <c r="D464" t="s">
        <v>1113</v>
      </c>
      <c r="E464" s="1" t="s">
        <v>1114</v>
      </c>
      <c r="F464" t="s">
        <v>11</v>
      </c>
      <c r="G464" s="2">
        <v>44229.427581018521</v>
      </c>
    </row>
    <row r="465" spans="1:7" ht="15" customHeight="1" x14ac:dyDescent="0.3">
      <c r="A465">
        <v>1356994</v>
      </c>
      <c r="B465" t="s">
        <v>36</v>
      </c>
      <c r="C465" t="s">
        <v>765</v>
      </c>
      <c r="D465" t="s">
        <v>1115</v>
      </c>
      <c r="E465" s="1" t="s">
        <v>1116</v>
      </c>
      <c r="F465" t="s">
        <v>24</v>
      </c>
      <c r="G465" s="2">
        <v>44229.414814814816</v>
      </c>
    </row>
    <row r="466" spans="1:7" ht="15" customHeight="1" x14ac:dyDescent="0.3">
      <c r="A466">
        <v>1356992</v>
      </c>
      <c r="B466" t="s">
        <v>36</v>
      </c>
      <c r="C466" t="s">
        <v>765</v>
      </c>
      <c r="D466" t="s">
        <v>1117</v>
      </c>
      <c r="E466" s="1" t="s">
        <v>1118</v>
      </c>
      <c r="F466" t="s">
        <v>24</v>
      </c>
      <c r="G466" s="2">
        <v>44229.413159722222</v>
      </c>
    </row>
    <row r="467" spans="1:7" ht="15" customHeight="1" x14ac:dyDescent="0.3">
      <c r="A467">
        <v>1356988</v>
      </c>
      <c r="B467" t="s">
        <v>350</v>
      </c>
      <c r="C467" t="s">
        <v>1119</v>
      </c>
      <c r="D467" t="s">
        <v>1120</v>
      </c>
      <c r="E467" s="1" t="s">
        <v>1121</v>
      </c>
      <c r="F467" t="s">
        <v>24</v>
      </c>
      <c r="G467" s="2">
        <v>44229.402743055558</v>
      </c>
    </row>
    <row r="468" spans="1:7" ht="15" customHeight="1" x14ac:dyDescent="0.3">
      <c r="A468">
        <v>1356980</v>
      </c>
      <c r="B468" t="s">
        <v>20</v>
      </c>
      <c r="C468" t="s">
        <v>158</v>
      </c>
      <c r="D468" t="s">
        <v>1122</v>
      </c>
      <c r="E468" s="1" t="s">
        <v>1123</v>
      </c>
      <c r="F468" t="s">
        <v>11</v>
      </c>
      <c r="G468" s="2">
        <v>44229.395300925928</v>
      </c>
    </row>
    <row r="469" spans="1:7" ht="15" customHeight="1" x14ac:dyDescent="0.3">
      <c r="A469">
        <v>1356969</v>
      </c>
      <c r="B469" t="s">
        <v>16</v>
      </c>
      <c r="C469" t="s">
        <v>1124</v>
      </c>
      <c r="D469" t="s">
        <v>1125</v>
      </c>
      <c r="E469" s="1" t="s">
        <v>1126</v>
      </c>
      <c r="F469" t="s">
        <v>11</v>
      </c>
      <c r="G469" s="2">
        <v>44229.378611111111</v>
      </c>
    </row>
    <row r="470" spans="1:7" ht="15" customHeight="1" x14ac:dyDescent="0.3">
      <c r="A470">
        <v>1356968</v>
      </c>
      <c r="B470" t="s">
        <v>49</v>
      </c>
      <c r="C470" t="s">
        <v>315</v>
      </c>
      <c r="D470" t="s">
        <v>1127</v>
      </c>
      <c r="E470" s="1" t="s">
        <v>1128</v>
      </c>
      <c r="F470" t="s">
        <v>24</v>
      </c>
      <c r="G470" s="2">
        <v>44229.378020833334</v>
      </c>
    </row>
    <row r="471" spans="1:7" ht="15" customHeight="1" x14ac:dyDescent="0.3">
      <c r="A471">
        <v>1356967</v>
      </c>
      <c r="B471" t="s">
        <v>318</v>
      </c>
      <c r="C471" t="s">
        <v>319</v>
      </c>
      <c r="D471" t="s">
        <v>1129</v>
      </c>
      <c r="E471" s="1" t="s">
        <v>1130</v>
      </c>
      <c r="F471" t="s">
        <v>11</v>
      </c>
      <c r="G471" s="2">
        <v>44229.375648148147</v>
      </c>
    </row>
    <row r="472" spans="1:7" ht="15" customHeight="1" x14ac:dyDescent="0.3">
      <c r="A472">
        <v>1356965</v>
      </c>
      <c r="B472" t="s">
        <v>36</v>
      </c>
      <c r="C472" t="s">
        <v>989</v>
      </c>
      <c r="D472" t="s">
        <v>1003</v>
      </c>
      <c r="E472" s="1" t="s">
        <v>1131</v>
      </c>
      <c r="F472" t="s">
        <v>11</v>
      </c>
      <c r="G472" s="2">
        <v>44229.366481481484</v>
      </c>
    </row>
    <row r="473" spans="1:7" ht="15" customHeight="1" x14ac:dyDescent="0.3">
      <c r="A473">
        <v>1356964</v>
      </c>
      <c r="B473" t="s">
        <v>36</v>
      </c>
      <c r="C473" t="s">
        <v>164</v>
      </c>
      <c r="D473" t="s">
        <v>1132</v>
      </c>
      <c r="E473" s="1" t="s">
        <v>1133</v>
      </c>
      <c r="F473" t="s">
        <v>24</v>
      </c>
      <c r="G473" s="2">
        <v>44229.365798611114</v>
      </c>
    </row>
    <row r="474" spans="1:7" ht="15" customHeight="1" x14ac:dyDescent="0.3">
      <c r="A474">
        <v>1356962</v>
      </c>
      <c r="B474" t="s">
        <v>503</v>
      </c>
      <c r="D474" t="s">
        <v>1003</v>
      </c>
      <c r="E474" s="1" t="s">
        <v>1134</v>
      </c>
      <c r="F474" t="s">
        <v>11</v>
      </c>
      <c r="G474" s="2">
        <v>44229.363020833334</v>
      </c>
    </row>
    <row r="475" spans="1:7" ht="15" customHeight="1" x14ac:dyDescent="0.3">
      <c r="A475">
        <v>1356960</v>
      </c>
      <c r="B475" t="s">
        <v>281</v>
      </c>
      <c r="C475" t="s">
        <v>282</v>
      </c>
      <c r="D475" t="s">
        <v>1135</v>
      </c>
      <c r="E475" s="1" t="s">
        <v>1136</v>
      </c>
      <c r="F475" t="s">
        <v>11</v>
      </c>
      <c r="G475" s="2">
        <v>44229.359247685185</v>
      </c>
    </row>
    <row r="476" spans="1:7" ht="15" customHeight="1" x14ac:dyDescent="0.3">
      <c r="A476">
        <v>1356924</v>
      </c>
      <c r="B476" t="s">
        <v>1137</v>
      </c>
      <c r="C476" t="s">
        <v>1138</v>
      </c>
      <c r="D476" t="s">
        <v>1139</v>
      </c>
      <c r="E476" t="s">
        <v>461</v>
      </c>
      <c r="F476" t="s">
        <v>462</v>
      </c>
      <c r="G476" s="2">
        <v>44229.329375000001</v>
      </c>
    </row>
    <row r="477" spans="1:7" ht="15" customHeight="1" x14ac:dyDescent="0.3">
      <c r="A477">
        <v>1356923</v>
      </c>
      <c r="B477" t="s">
        <v>53</v>
      </c>
      <c r="C477" t="s">
        <v>158</v>
      </c>
      <c r="D477" t="s">
        <v>1140</v>
      </c>
      <c r="E477" t="s">
        <v>461</v>
      </c>
      <c r="F477" t="s">
        <v>462</v>
      </c>
      <c r="G477" s="2">
        <v>44229.329375000001</v>
      </c>
    </row>
    <row r="478" spans="1:7" ht="15" customHeight="1" x14ac:dyDescent="0.3">
      <c r="A478">
        <v>1356922</v>
      </c>
      <c r="B478" t="s">
        <v>53</v>
      </c>
      <c r="C478" t="s">
        <v>158</v>
      </c>
      <c r="D478" t="s">
        <v>1141</v>
      </c>
      <c r="E478" t="s">
        <v>461</v>
      </c>
      <c r="F478" t="s">
        <v>462</v>
      </c>
      <c r="G478" s="2">
        <v>44229.329363425924</v>
      </c>
    </row>
    <row r="479" spans="1:7" ht="15" customHeight="1" x14ac:dyDescent="0.3">
      <c r="A479">
        <v>1356919</v>
      </c>
      <c r="B479" t="s">
        <v>25</v>
      </c>
      <c r="C479" t="s">
        <v>26</v>
      </c>
      <c r="D479" t="s">
        <v>1142</v>
      </c>
      <c r="E479" s="1" t="s">
        <v>1143</v>
      </c>
      <c r="F479" t="s">
        <v>11</v>
      </c>
      <c r="G479" s="2">
        <v>44229.318657407406</v>
      </c>
    </row>
    <row r="480" spans="1:7" ht="15" customHeight="1" x14ac:dyDescent="0.3">
      <c r="A480">
        <v>1356915</v>
      </c>
      <c r="B480" t="s">
        <v>53</v>
      </c>
      <c r="C480" t="s">
        <v>1144</v>
      </c>
      <c r="D480" t="s">
        <v>1145</v>
      </c>
      <c r="E480" s="1" t="s">
        <v>1146</v>
      </c>
      <c r="F480" t="s">
        <v>24</v>
      </c>
      <c r="G480" s="2">
        <v>44229.299201388887</v>
      </c>
    </row>
    <row r="481" spans="1:7" ht="15" customHeight="1" x14ac:dyDescent="0.3">
      <c r="A481">
        <v>1356914</v>
      </c>
      <c r="B481" t="s">
        <v>32</v>
      </c>
      <c r="C481" t="s">
        <v>1147</v>
      </c>
      <c r="D481" t="s">
        <v>1148</v>
      </c>
      <c r="E481" s="1" t="s">
        <v>1149</v>
      </c>
      <c r="F481" t="s">
        <v>11</v>
      </c>
      <c r="G481" s="2">
        <v>44229.296782407408</v>
      </c>
    </row>
    <row r="482" spans="1:7" ht="15" customHeight="1" x14ac:dyDescent="0.3">
      <c r="A482">
        <v>1356911</v>
      </c>
      <c r="B482" t="s">
        <v>36</v>
      </c>
      <c r="C482" t="s">
        <v>1150</v>
      </c>
      <c r="D482" t="s">
        <v>1151</v>
      </c>
      <c r="E482" s="1" t="s">
        <v>1152</v>
      </c>
      <c r="F482" t="s">
        <v>24</v>
      </c>
      <c r="G482" s="2">
        <v>44229.28496527778</v>
      </c>
    </row>
    <row r="483" spans="1:7" ht="15" customHeight="1" x14ac:dyDescent="0.3">
      <c r="A483">
        <v>1356819</v>
      </c>
      <c r="B483" t="s">
        <v>87</v>
      </c>
      <c r="C483" t="s">
        <v>1153</v>
      </c>
      <c r="D483" t="s">
        <v>1154</v>
      </c>
      <c r="E483" s="1" t="s">
        <v>1155</v>
      </c>
      <c r="F483" t="s">
        <v>11</v>
      </c>
      <c r="G483" s="2">
        <v>44229.005115740743</v>
      </c>
    </row>
    <row r="484" spans="1:7" ht="15" customHeight="1" x14ac:dyDescent="0.3">
      <c r="A484">
        <v>1356792</v>
      </c>
      <c r="B484" t="s">
        <v>1035</v>
      </c>
      <c r="C484" t="s">
        <v>1036</v>
      </c>
      <c r="D484" t="s">
        <v>1156</v>
      </c>
      <c r="E484" s="1" t="s">
        <v>1157</v>
      </c>
      <c r="F484" t="s">
        <v>1158</v>
      </c>
      <c r="G484" s="2">
        <v>44229.000034722223</v>
      </c>
    </row>
    <row r="485" spans="1:7" ht="15" customHeight="1" x14ac:dyDescent="0.3">
      <c r="A485">
        <v>1356791</v>
      </c>
      <c r="B485" t="s">
        <v>545</v>
      </c>
      <c r="C485" t="s">
        <v>1058</v>
      </c>
      <c r="D485" t="s">
        <v>1159</v>
      </c>
      <c r="E485" s="1" t="s">
        <v>1160</v>
      </c>
      <c r="F485" t="s">
        <v>1158</v>
      </c>
      <c r="G485" s="2">
        <v>44229.000023148146</v>
      </c>
    </row>
    <row r="486" spans="1:7" ht="15" customHeight="1" x14ac:dyDescent="0.3">
      <c r="A486">
        <v>1356651</v>
      </c>
      <c r="B486" t="s">
        <v>53</v>
      </c>
      <c r="C486" t="s">
        <v>1161</v>
      </c>
      <c r="D486" t="s">
        <v>1162</v>
      </c>
      <c r="E486" s="1" t="s">
        <v>1163</v>
      </c>
      <c r="F486" t="s">
        <v>11</v>
      </c>
      <c r="G486" s="2">
        <v>44228.838078703702</v>
      </c>
    </row>
    <row r="487" spans="1:7" ht="15" customHeight="1" x14ac:dyDescent="0.3">
      <c r="A487">
        <v>1356639</v>
      </c>
      <c r="B487" t="s">
        <v>53</v>
      </c>
      <c r="C487" t="s">
        <v>158</v>
      </c>
      <c r="D487" t="s">
        <v>1164</v>
      </c>
      <c r="E487" s="1" t="s">
        <v>1165</v>
      </c>
      <c r="F487" t="s">
        <v>11</v>
      </c>
      <c r="G487" s="2">
        <v>44228.810914351852</v>
      </c>
    </row>
    <row r="488" spans="1:7" ht="15" customHeight="1" x14ac:dyDescent="0.3">
      <c r="A488">
        <v>1356564</v>
      </c>
      <c r="B488" t="s">
        <v>553</v>
      </c>
      <c r="C488" t="s">
        <v>1166</v>
      </c>
      <c r="D488" t="s">
        <v>1167</v>
      </c>
      <c r="E488" s="1" t="s">
        <v>1168</v>
      </c>
      <c r="F488" t="s">
        <v>11</v>
      </c>
      <c r="G488" s="2">
        <v>44228.716307870367</v>
      </c>
    </row>
    <row r="489" spans="1:7" ht="15" customHeight="1" x14ac:dyDescent="0.3">
      <c r="A489">
        <v>1356548</v>
      </c>
      <c r="B489" t="s">
        <v>1169</v>
      </c>
      <c r="C489" t="s">
        <v>1170</v>
      </c>
      <c r="D489" t="s">
        <v>1171</v>
      </c>
      <c r="E489" s="1" t="s">
        <v>1172</v>
      </c>
      <c r="F489" t="s">
        <v>11</v>
      </c>
      <c r="G489" s="2">
        <v>44228.690949074073</v>
      </c>
    </row>
    <row r="490" spans="1:7" ht="15" customHeight="1" x14ac:dyDescent="0.3">
      <c r="A490">
        <v>1356540</v>
      </c>
      <c r="B490" t="s">
        <v>350</v>
      </c>
      <c r="C490" t="s">
        <v>351</v>
      </c>
      <c r="D490" t="s">
        <v>1173</v>
      </c>
      <c r="E490" s="1" t="s">
        <v>1174</v>
      </c>
      <c r="F490" t="s">
        <v>24</v>
      </c>
      <c r="G490" s="2">
        <v>44228.684942129628</v>
      </c>
    </row>
    <row r="491" spans="1:7" ht="15" customHeight="1" x14ac:dyDescent="0.3">
      <c r="A491">
        <v>1356536</v>
      </c>
      <c r="B491" t="s">
        <v>36</v>
      </c>
      <c r="C491" t="s">
        <v>1175</v>
      </c>
      <c r="D491" t="s">
        <v>1176</v>
      </c>
      <c r="E491" s="1" t="s">
        <v>1177</v>
      </c>
      <c r="F491" t="s">
        <v>24</v>
      </c>
      <c r="G491" s="2">
        <v>44228.680277777778</v>
      </c>
    </row>
    <row r="492" spans="1:7" ht="15" customHeight="1" x14ac:dyDescent="0.3">
      <c r="A492">
        <v>1356531</v>
      </c>
      <c r="B492" t="s">
        <v>157</v>
      </c>
      <c r="C492" t="s">
        <v>1178</v>
      </c>
      <c r="D492" t="s">
        <v>1179</v>
      </c>
      <c r="E492" s="1" t="s">
        <v>1180</v>
      </c>
      <c r="F492" t="s">
        <v>11</v>
      </c>
      <c r="G492" s="2">
        <v>44228.670324074075</v>
      </c>
    </row>
    <row r="493" spans="1:7" ht="15" customHeight="1" x14ac:dyDescent="0.3">
      <c r="A493">
        <v>1356529</v>
      </c>
      <c r="B493" t="s">
        <v>16</v>
      </c>
      <c r="C493" t="s">
        <v>649</v>
      </c>
      <c r="D493" t="s">
        <v>1181</v>
      </c>
      <c r="E493" s="1" t="s">
        <v>1182</v>
      </c>
      <c r="F493" t="s">
        <v>11</v>
      </c>
      <c r="G493" s="2">
        <v>44228.670185185183</v>
      </c>
    </row>
    <row r="494" spans="1:7" ht="15" customHeight="1" x14ac:dyDescent="0.3">
      <c r="A494">
        <v>1356526</v>
      </c>
      <c r="B494" t="s">
        <v>230</v>
      </c>
      <c r="C494" t="s">
        <v>1183</v>
      </c>
      <c r="D494" t="s">
        <v>1184</v>
      </c>
      <c r="E494" s="1" t="s">
        <v>1185</v>
      </c>
      <c r="F494" t="s">
        <v>24</v>
      </c>
      <c r="G494" s="2">
        <v>44228.663645833331</v>
      </c>
    </row>
    <row r="495" spans="1:7" ht="15" customHeight="1" x14ac:dyDescent="0.3">
      <c r="A495">
        <v>1356524</v>
      </c>
      <c r="B495" t="s">
        <v>20</v>
      </c>
      <c r="C495" t="s">
        <v>136</v>
      </c>
      <c r="D495" t="s">
        <v>1186</v>
      </c>
      <c r="E495" s="1" t="s">
        <v>1187</v>
      </c>
      <c r="F495" t="s">
        <v>11</v>
      </c>
      <c r="G495" s="2">
        <v>44228.658032407409</v>
      </c>
    </row>
    <row r="496" spans="1:7" ht="15" customHeight="1" x14ac:dyDescent="0.3">
      <c r="A496">
        <v>1356522</v>
      </c>
      <c r="B496" t="s">
        <v>157</v>
      </c>
      <c r="C496" t="s">
        <v>1188</v>
      </c>
      <c r="D496" t="s">
        <v>1189</v>
      </c>
      <c r="E496" s="1" t="s">
        <v>1190</v>
      </c>
      <c r="F496" t="s">
        <v>11</v>
      </c>
      <c r="G496" s="2">
        <v>44228.654583333337</v>
      </c>
    </row>
    <row r="497" spans="1:7" ht="15" customHeight="1" x14ac:dyDescent="0.3">
      <c r="A497">
        <v>1356516</v>
      </c>
      <c r="B497" t="s">
        <v>177</v>
      </c>
      <c r="C497" t="s">
        <v>1191</v>
      </c>
      <c r="D497" t="s">
        <v>1192</v>
      </c>
      <c r="E497" s="1" t="s">
        <v>1193</v>
      </c>
      <c r="F497" t="s">
        <v>11</v>
      </c>
      <c r="G497" s="2">
        <v>44228.6487037037</v>
      </c>
    </row>
    <row r="498" spans="1:7" ht="15" customHeight="1" x14ac:dyDescent="0.3">
      <c r="A498">
        <v>1356512</v>
      </c>
      <c r="B498" t="s">
        <v>53</v>
      </c>
      <c r="C498" t="s">
        <v>1194</v>
      </c>
      <c r="D498" t="s">
        <v>1195</v>
      </c>
      <c r="E498" s="1" t="s">
        <v>1196</v>
      </c>
      <c r="F498" t="s">
        <v>11</v>
      </c>
      <c r="G498" s="2">
        <v>44228.643229166664</v>
      </c>
    </row>
    <row r="499" spans="1:7" ht="15" customHeight="1" x14ac:dyDescent="0.3">
      <c r="A499">
        <v>1356505</v>
      </c>
      <c r="B499" t="s">
        <v>1197</v>
      </c>
      <c r="C499" t="s">
        <v>1198</v>
      </c>
      <c r="D499" t="s">
        <v>1199</v>
      </c>
      <c r="E499" s="1" t="s">
        <v>1200</v>
      </c>
      <c r="F499" t="s">
        <v>11</v>
      </c>
      <c r="G499" s="2">
        <v>44228.633703703701</v>
      </c>
    </row>
    <row r="500" spans="1:7" ht="15" customHeight="1" x14ac:dyDescent="0.3">
      <c r="A500">
        <v>1356494</v>
      </c>
      <c r="B500" t="s">
        <v>515</v>
      </c>
      <c r="C500" t="s">
        <v>516</v>
      </c>
      <c r="D500" t="s">
        <v>1201</v>
      </c>
      <c r="E500" s="1" t="s">
        <v>1202</v>
      </c>
      <c r="F500" t="s">
        <v>11</v>
      </c>
      <c r="G500" s="2">
        <v>44228.619328703702</v>
      </c>
    </row>
    <row r="501" spans="1:7" ht="15" customHeight="1" x14ac:dyDescent="0.3">
      <c r="A501">
        <v>1356483</v>
      </c>
      <c r="B501" t="s">
        <v>746</v>
      </c>
      <c r="C501" t="s">
        <v>1203</v>
      </c>
      <c r="D501" t="s">
        <v>1204</v>
      </c>
      <c r="E501" s="1" t="s">
        <v>1205</v>
      </c>
      <c r="F501" t="s">
        <v>24</v>
      </c>
      <c r="G501" s="2">
        <v>44228.607465277775</v>
      </c>
    </row>
    <row r="502" spans="1:7" ht="15" customHeight="1" x14ac:dyDescent="0.3">
      <c r="A502">
        <v>1356467</v>
      </c>
      <c r="B502" t="s">
        <v>813</v>
      </c>
      <c r="C502" t="s">
        <v>1206</v>
      </c>
      <c r="D502" t="s">
        <v>1207</v>
      </c>
      <c r="E502" s="1" t="s">
        <v>1208</v>
      </c>
      <c r="F502" t="s">
        <v>11</v>
      </c>
      <c r="G502" s="2">
        <v>44228.577928240738</v>
      </c>
    </row>
    <row r="503" spans="1:7" ht="15" customHeight="1" x14ac:dyDescent="0.3">
      <c r="A503">
        <v>1356460</v>
      </c>
      <c r="B503" t="s">
        <v>95</v>
      </c>
      <c r="C503" t="s">
        <v>668</v>
      </c>
      <c r="D503" t="s">
        <v>1209</v>
      </c>
      <c r="E503" s="1" t="s">
        <v>1210</v>
      </c>
      <c r="F503" t="s">
        <v>11</v>
      </c>
      <c r="G503" s="2">
        <v>44228.569537037038</v>
      </c>
    </row>
    <row r="504" spans="1:7" ht="15" customHeight="1" x14ac:dyDescent="0.3">
      <c r="A504">
        <v>1356457</v>
      </c>
      <c r="B504" t="s">
        <v>16</v>
      </c>
      <c r="C504" t="s">
        <v>649</v>
      </c>
      <c r="D504" t="s">
        <v>1211</v>
      </c>
      <c r="E504" s="1" t="s">
        <v>1212</v>
      </c>
      <c r="F504" t="s">
        <v>11</v>
      </c>
      <c r="G504" s="2">
        <v>44228.564317129632</v>
      </c>
    </row>
    <row r="505" spans="1:7" ht="15" customHeight="1" x14ac:dyDescent="0.3">
      <c r="A505">
        <v>1356456</v>
      </c>
      <c r="B505" t="s">
        <v>350</v>
      </c>
      <c r="C505" t="s">
        <v>1213</v>
      </c>
      <c r="D505" t="s">
        <v>1214</v>
      </c>
      <c r="E505" s="1" t="s">
        <v>1215</v>
      </c>
      <c r="F505" t="s">
        <v>24</v>
      </c>
      <c r="G505" s="2">
        <v>44228.562800925924</v>
      </c>
    </row>
    <row r="506" spans="1:7" ht="15" customHeight="1" x14ac:dyDescent="0.3">
      <c r="A506">
        <v>1356449</v>
      </c>
      <c r="B506" t="s">
        <v>7</v>
      </c>
      <c r="C506" t="s">
        <v>923</v>
      </c>
      <c r="D506" t="s">
        <v>1216</v>
      </c>
      <c r="E506" s="1" t="s">
        <v>925</v>
      </c>
      <c r="F506" t="s">
        <v>24</v>
      </c>
      <c r="G506" s="2">
        <v>44228.546932870369</v>
      </c>
    </row>
    <row r="507" spans="1:7" ht="15" customHeight="1" x14ac:dyDescent="0.3">
      <c r="A507">
        <v>1356448</v>
      </c>
      <c r="B507" t="s">
        <v>16</v>
      </c>
      <c r="C507" t="s">
        <v>1217</v>
      </c>
      <c r="D507" t="s">
        <v>1218</v>
      </c>
      <c r="E507" s="1" t="s">
        <v>1219</v>
      </c>
      <c r="F507" t="s">
        <v>11</v>
      </c>
      <c r="G507" s="2">
        <v>44228.545983796299</v>
      </c>
    </row>
    <row r="508" spans="1:7" ht="15" customHeight="1" x14ac:dyDescent="0.3">
      <c r="A508">
        <v>1356442</v>
      </c>
      <c r="B508" t="s">
        <v>118</v>
      </c>
      <c r="C508" t="s">
        <v>200</v>
      </c>
      <c r="D508" t="s">
        <v>1220</v>
      </c>
      <c r="E508" s="1" t="s">
        <v>1221</v>
      </c>
      <c r="F508" t="s">
        <v>11</v>
      </c>
      <c r="G508" s="2">
        <v>44228.536446759259</v>
      </c>
    </row>
    <row r="509" spans="1:7" ht="15" customHeight="1" x14ac:dyDescent="0.3">
      <c r="A509">
        <v>1356431</v>
      </c>
      <c r="B509" t="s">
        <v>281</v>
      </c>
      <c r="C509" t="s">
        <v>1222</v>
      </c>
      <c r="D509" t="s">
        <v>1223</v>
      </c>
      <c r="E509" s="1" t="s">
        <v>1224</v>
      </c>
      <c r="F509" t="s">
        <v>11</v>
      </c>
      <c r="G509" s="2">
        <v>44228.516099537039</v>
      </c>
    </row>
    <row r="510" spans="1:7" ht="15" customHeight="1" x14ac:dyDescent="0.3">
      <c r="A510">
        <v>1356430</v>
      </c>
      <c r="B510" t="s">
        <v>70</v>
      </c>
      <c r="C510" t="s">
        <v>1225</v>
      </c>
      <c r="D510" t="s">
        <v>1226</v>
      </c>
      <c r="E510" s="1" t="s">
        <v>1227</v>
      </c>
      <c r="F510" t="s">
        <v>11</v>
      </c>
      <c r="G510" s="2">
        <v>44228.513865740744</v>
      </c>
    </row>
    <row r="511" spans="1:7" ht="15" customHeight="1" x14ac:dyDescent="0.3">
      <c r="A511">
        <v>1356423</v>
      </c>
      <c r="B511" t="s">
        <v>746</v>
      </c>
      <c r="C511" t="s">
        <v>1228</v>
      </c>
      <c r="D511" t="s">
        <v>1229</v>
      </c>
      <c r="E511" s="1" t="s">
        <v>1230</v>
      </c>
      <c r="F511" t="s">
        <v>11</v>
      </c>
      <c r="G511" s="2">
        <v>44228.494988425926</v>
      </c>
    </row>
    <row r="512" spans="1:7" ht="15" customHeight="1" x14ac:dyDescent="0.3">
      <c r="A512">
        <v>1356421</v>
      </c>
      <c r="B512" t="s">
        <v>157</v>
      </c>
      <c r="C512" t="s">
        <v>1178</v>
      </c>
      <c r="D512" t="s">
        <v>1231</v>
      </c>
      <c r="E512" s="1" t="s">
        <v>1232</v>
      </c>
      <c r="F512" t="s">
        <v>11</v>
      </c>
      <c r="G512" s="2">
        <v>44228.484780092593</v>
      </c>
    </row>
    <row r="513" spans="1:7" ht="15" customHeight="1" x14ac:dyDescent="0.3">
      <c r="A513">
        <v>1356419</v>
      </c>
      <c r="B513" t="s">
        <v>1197</v>
      </c>
      <c r="C513" t="s">
        <v>1233</v>
      </c>
      <c r="D513" t="s">
        <v>1234</v>
      </c>
      <c r="E513" s="1" t="s">
        <v>1235</v>
      </c>
      <c r="F513" t="s">
        <v>11</v>
      </c>
      <c r="G513" s="2">
        <v>44228.480636574073</v>
      </c>
    </row>
    <row r="514" spans="1:7" ht="15" customHeight="1" x14ac:dyDescent="0.3">
      <c r="A514">
        <v>1356416</v>
      </c>
      <c r="B514" t="s">
        <v>1236</v>
      </c>
      <c r="C514" t="s">
        <v>1237</v>
      </c>
      <c r="D514" t="s">
        <v>1238</v>
      </c>
      <c r="E514" s="1" t="s">
        <v>1239</v>
      </c>
      <c r="F514" t="s">
        <v>11</v>
      </c>
      <c r="G514" s="2">
        <v>44228.474976851852</v>
      </c>
    </row>
    <row r="515" spans="1:7" ht="15" customHeight="1" x14ac:dyDescent="0.3">
      <c r="A515">
        <v>1356414</v>
      </c>
      <c r="B515" t="s">
        <v>53</v>
      </c>
      <c r="C515" t="s">
        <v>1240</v>
      </c>
      <c r="D515" t="s">
        <v>1241</v>
      </c>
      <c r="E515" s="1" t="s">
        <v>1242</v>
      </c>
      <c r="F515" t="s">
        <v>11</v>
      </c>
      <c r="G515" s="2">
        <v>44228.472141203703</v>
      </c>
    </row>
    <row r="516" spans="1:7" ht="15" customHeight="1" x14ac:dyDescent="0.3">
      <c r="A516">
        <v>1356413</v>
      </c>
      <c r="B516" t="s">
        <v>1052</v>
      </c>
      <c r="C516" t="s">
        <v>1243</v>
      </c>
      <c r="D516" t="s">
        <v>1244</v>
      </c>
      <c r="E516" s="1" t="s">
        <v>1245</v>
      </c>
      <c r="F516" t="s">
        <v>11</v>
      </c>
      <c r="G516" s="2">
        <v>44228.470729166664</v>
      </c>
    </row>
    <row r="517" spans="1:7" ht="15" customHeight="1" x14ac:dyDescent="0.3">
      <c r="A517">
        <v>1356411</v>
      </c>
      <c r="B517" t="s">
        <v>36</v>
      </c>
      <c r="C517" t="s">
        <v>1246</v>
      </c>
      <c r="D517" t="s">
        <v>1247</v>
      </c>
      <c r="E517" s="1" t="s">
        <v>1248</v>
      </c>
      <c r="F517" t="s">
        <v>24</v>
      </c>
      <c r="G517" s="2">
        <v>44228.460613425923</v>
      </c>
    </row>
    <row r="518" spans="1:7" ht="15" customHeight="1" x14ac:dyDescent="0.3">
      <c r="A518">
        <v>1356410</v>
      </c>
      <c r="B518" t="s">
        <v>16</v>
      </c>
      <c r="C518" t="s">
        <v>272</v>
      </c>
      <c r="D518" t="s">
        <v>1249</v>
      </c>
      <c r="E518" s="1" t="s">
        <v>1250</v>
      </c>
      <c r="F518" t="s">
        <v>11</v>
      </c>
      <c r="G518" s="2">
        <v>44228.460474537038</v>
      </c>
    </row>
    <row r="519" spans="1:7" ht="15" customHeight="1" x14ac:dyDescent="0.3">
      <c r="A519">
        <v>1356409</v>
      </c>
      <c r="B519" t="s">
        <v>53</v>
      </c>
      <c r="C519" t="s">
        <v>54</v>
      </c>
      <c r="D519" t="s">
        <v>1251</v>
      </c>
      <c r="E519" s="1" t="s">
        <v>1252</v>
      </c>
      <c r="F519" t="s">
        <v>11</v>
      </c>
      <c r="G519" s="2">
        <v>44228.459270833337</v>
      </c>
    </row>
    <row r="520" spans="1:7" ht="15" customHeight="1" x14ac:dyDescent="0.3">
      <c r="A520">
        <v>1356406</v>
      </c>
      <c r="B520" t="s">
        <v>20</v>
      </c>
      <c r="C520" t="s">
        <v>57</v>
      </c>
      <c r="D520" t="s">
        <v>1253</v>
      </c>
      <c r="E520" s="1" t="s">
        <v>1254</v>
      </c>
      <c r="F520" t="s">
        <v>24</v>
      </c>
      <c r="G520" s="2">
        <v>44228.451111111113</v>
      </c>
    </row>
    <row r="521" spans="1:7" ht="15" customHeight="1" x14ac:dyDescent="0.3">
      <c r="A521">
        <v>1356405</v>
      </c>
      <c r="B521" t="s">
        <v>7</v>
      </c>
      <c r="C521" t="s">
        <v>107</v>
      </c>
      <c r="D521" t="s">
        <v>1255</v>
      </c>
      <c r="E521" s="1" t="s">
        <v>1256</v>
      </c>
      <c r="F521" t="s">
        <v>11</v>
      </c>
      <c r="G521" s="2">
        <v>44228.450891203705</v>
      </c>
    </row>
    <row r="522" spans="1:7" ht="15" customHeight="1" x14ac:dyDescent="0.3">
      <c r="A522">
        <v>1356401</v>
      </c>
      <c r="B522" t="s">
        <v>32</v>
      </c>
      <c r="C522" t="s">
        <v>1257</v>
      </c>
      <c r="D522" t="s">
        <v>1258</v>
      </c>
      <c r="E522" s="1" t="s">
        <v>1259</v>
      </c>
      <c r="F522" t="s">
        <v>11</v>
      </c>
      <c r="G522" s="2">
        <v>44228.443020833336</v>
      </c>
    </row>
    <row r="523" spans="1:7" ht="15" customHeight="1" x14ac:dyDescent="0.3">
      <c r="A523">
        <v>1356396</v>
      </c>
      <c r="B523" t="s">
        <v>53</v>
      </c>
      <c r="C523" t="s">
        <v>54</v>
      </c>
      <c r="D523" t="s">
        <v>1260</v>
      </c>
      <c r="E523" s="1" t="s">
        <v>1261</v>
      </c>
      <c r="F523" t="s">
        <v>11</v>
      </c>
      <c r="G523" s="2">
        <v>44228.421446759261</v>
      </c>
    </row>
    <row r="524" spans="1:7" ht="15" customHeight="1" x14ac:dyDescent="0.3">
      <c r="A524">
        <v>1356366</v>
      </c>
      <c r="B524" t="s">
        <v>12</v>
      </c>
      <c r="C524" t="s">
        <v>161</v>
      </c>
      <c r="D524" t="s">
        <v>1262</v>
      </c>
      <c r="E524" s="1" t="s">
        <v>1263</v>
      </c>
      <c r="F524" t="s">
        <v>11</v>
      </c>
      <c r="G524" s="2">
        <v>44228.41715277778</v>
      </c>
    </row>
    <row r="525" spans="1:7" ht="15" customHeight="1" x14ac:dyDescent="0.3">
      <c r="A525">
        <v>1356361</v>
      </c>
      <c r="B525" t="s">
        <v>1264</v>
      </c>
      <c r="C525" t="s">
        <v>1265</v>
      </c>
      <c r="D525" t="s">
        <v>1266</v>
      </c>
      <c r="E525" s="1" t="s">
        <v>1267</v>
      </c>
      <c r="F525" t="s">
        <v>11</v>
      </c>
      <c r="G525" s="2">
        <v>44228.410277777781</v>
      </c>
    </row>
    <row r="526" spans="1:7" ht="15" customHeight="1" x14ac:dyDescent="0.3">
      <c r="A526">
        <v>1356360</v>
      </c>
      <c r="B526" t="s">
        <v>1268</v>
      </c>
      <c r="C526" t="s">
        <v>1269</v>
      </c>
      <c r="D526" t="s">
        <v>1270</v>
      </c>
      <c r="E526" s="1" t="s">
        <v>1271</v>
      </c>
      <c r="F526" t="s">
        <v>11</v>
      </c>
      <c r="G526" s="2">
        <v>44228.409675925926</v>
      </c>
    </row>
    <row r="527" spans="1:7" ht="15" customHeight="1" x14ac:dyDescent="0.3">
      <c r="A527">
        <v>1356345</v>
      </c>
      <c r="B527" t="s">
        <v>70</v>
      </c>
      <c r="C527" t="s">
        <v>1272</v>
      </c>
      <c r="D527" t="s">
        <v>1273</v>
      </c>
      <c r="E527" s="1" t="s">
        <v>1274</v>
      </c>
      <c r="F527" t="s">
        <v>11</v>
      </c>
      <c r="G527" s="2">
        <v>44228.387719907405</v>
      </c>
    </row>
    <row r="528" spans="1:7" ht="15" customHeight="1" x14ac:dyDescent="0.3">
      <c r="A528">
        <v>1356343</v>
      </c>
      <c r="B528" t="s">
        <v>1275</v>
      </c>
      <c r="C528" t="s">
        <v>1276</v>
      </c>
      <c r="D528" t="s">
        <v>1277</v>
      </c>
      <c r="E528" s="1" t="s">
        <v>1278</v>
      </c>
      <c r="F528" t="s">
        <v>11</v>
      </c>
      <c r="G528" s="2">
        <v>44228.385914351849</v>
      </c>
    </row>
    <row r="529" spans="1:7" ht="15" customHeight="1" x14ac:dyDescent="0.3">
      <c r="A529">
        <v>1356342</v>
      </c>
      <c r="B529" t="s">
        <v>53</v>
      </c>
      <c r="C529" t="s">
        <v>609</v>
      </c>
      <c r="D529" t="s">
        <v>1279</v>
      </c>
      <c r="E529" s="1" t="s">
        <v>1280</v>
      </c>
      <c r="F529" t="s">
        <v>11</v>
      </c>
      <c r="G529" s="2">
        <v>44228.385671296295</v>
      </c>
    </row>
    <row r="530" spans="1:7" ht="15" customHeight="1" x14ac:dyDescent="0.3">
      <c r="A530">
        <v>1356341</v>
      </c>
      <c r="B530" t="s">
        <v>1281</v>
      </c>
      <c r="C530" t="s">
        <v>298</v>
      </c>
      <c r="D530" t="s">
        <v>1282</v>
      </c>
      <c r="E530" s="1" t="s">
        <v>1283</v>
      </c>
      <c r="F530" t="s">
        <v>11</v>
      </c>
      <c r="G530" s="2">
        <v>44228.384502314817</v>
      </c>
    </row>
    <row r="531" spans="1:7" ht="15" customHeight="1" x14ac:dyDescent="0.3">
      <c r="A531">
        <v>1356335</v>
      </c>
      <c r="B531" t="s">
        <v>16</v>
      </c>
      <c r="C531" t="s">
        <v>1000</v>
      </c>
      <c r="D531" t="s">
        <v>1284</v>
      </c>
      <c r="E531" s="1" t="s">
        <v>1285</v>
      </c>
      <c r="F531" t="s">
        <v>11</v>
      </c>
      <c r="G531" s="2">
        <v>44228.378009259257</v>
      </c>
    </row>
    <row r="532" spans="1:7" ht="15" customHeight="1" x14ac:dyDescent="0.3">
      <c r="A532">
        <v>1356334</v>
      </c>
      <c r="B532" t="s">
        <v>1286</v>
      </c>
      <c r="C532" t="s">
        <v>1287</v>
      </c>
      <c r="D532" t="s">
        <v>1288</v>
      </c>
      <c r="E532" s="1" t="s">
        <v>1289</v>
      </c>
      <c r="F532" t="s">
        <v>24</v>
      </c>
      <c r="G532" s="2">
        <v>44228.374745370369</v>
      </c>
    </row>
    <row r="533" spans="1:7" ht="15" customHeight="1" x14ac:dyDescent="0.3">
      <c r="A533">
        <v>1356332</v>
      </c>
      <c r="B533" t="s">
        <v>503</v>
      </c>
      <c r="D533" t="s">
        <v>1290</v>
      </c>
      <c r="E533" s="1" t="s">
        <v>1291</v>
      </c>
      <c r="F533" t="s">
        <v>11</v>
      </c>
      <c r="G533" s="2">
        <v>44228.370208333334</v>
      </c>
    </row>
    <row r="534" spans="1:7" ht="15" customHeight="1" x14ac:dyDescent="0.3">
      <c r="A534">
        <v>1356330</v>
      </c>
      <c r="B534" t="s">
        <v>74</v>
      </c>
      <c r="C534" t="s">
        <v>450</v>
      </c>
      <c r="D534" t="s">
        <v>1292</v>
      </c>
      <c r="E534" s="1" t="s">
        <v>1293</v>
      </c>
      <c r="F534" t="s">
        <v>11</v>
      </c>
      <c r="G534" s="2">
        <v>44228.36650462963</v>
      </c>
    </row>
    <row r="535" spans="1:7" ht="15" customHeight="1" x14ac:dyDescent="0.3">
      <c r="A535">
        <v>1356329</v>
      </c>
      <c r="B535" t="s">
        <v>157</v>
      </c>
      <c r="C535" t="s">
        <v>708</v>
      </c>
      <c r="D535" t="s">
        <v>709</v>
      </c>
      <c r="E535" s="1" t="s">
        <v>1294</v>
      </c>
      <c r="F535" t="s">
        <v>24</v>
      </c>
      <c r="G535" s="2">
        <v>44228.361550925925</v>
      </c>
    </row>
    <row r="536" spans="1:7" ht="15" customHeight="1" x14ac:dyDescent="0.3">
      <c r="A536">
        <v>1356328</v>
      </c>
      <c r="B536" t="s">
        <v>431</v>
      </c>
      <c r="C536" t="s">
        <v>708</v>
      </c>
      <c r="D536" t="s">
        <v>1295</v>
      </c>
      <c r="E536" s="1" t="s">
        <v>1296</v>
      </c>
      <c r="F536" t="s">
        <v>11</v>
      </c>
      <c r="G536" s="2">
        <v>44228.361076388886</v>
      </c>
    </row>
    <row r="537" spans="1:7" ht="15" customHeight="1" x14ac:dyDescent="0.3">
      <c r="A537">
        <v>1356327</v>
      </c>
      <c r="B537" t="s">
        <v>184</v>
      </c>
      <c r="C537" t="s">
        <v>185</v>
      </c>
      <c r="D537" t="s">
        <v>1290</v>
      </c>
      <c r="E537" s="1" t="s">
        <v>1291</v>
      </c>
      <c r="F537" t="s">
        <v>11</v>
      </c>
      <c r="G537" s="2">
        <v>44228.360717592594</v>
      </c>
    </row>
    <row r="538" spans="1:7" ht="15" customHeight="1" x14ac:dyDescent="0.3">
      <c r="A538">
        <v>1356326</v>
      </c>
      <c r="B538" t="s">
        <v>36</v>
      </c>
      <c r="C538" t="s">
        <v>164</v>
      </c>
      <c r="D538" t="s">
        <v>1297</v>
      </c>
      <c r="E538" s="1" t="s">
        <v>1298</v>
      </c>
      <c r="F538" t="s">
        <v>24</v>
      </c>
      <c r="G538" s="2">
        <v>44228.35833333333</v>
      </c>
    </row>
    <row r="539" spans="1:7" ht="15" customHeight="1" x14ac:dyDescent="0.3">
      <c r="A539">
        <v>1356322</v>
      </c>
      <c r="B539" t="s">
        <v>397</v>
      </c>
      <c r="D539" t="s">
        <v>1299</v>
      </c>
      <c r="E539" s="1" t="s">
        <v>1300</v>
      </c>
      <c r="F539" t="s">
        <v>11</v>
      </c>
      <c r="G539" s="2">
        <v>44228.345543981479</v>
      </c>
    </row>
    <row r="540" spans="1:7" ht="15" customHeight="1" x14ac:dyDescent="0.3">
      <c r="A540">
        <v>1356320</v>
      </c>
      <c r="B540" t="s">
        <v>32</v>
      </c>
      <c r="C540" t="s">
        <v>1257</v>
      </c>
      <c r="D540" t="s">
        <v>1301</v>
      </c>
      <c r="E540" s="1" t="s">
        <v>1302</v>
      </c>
      <c r="F540" t="s">
        <v>11</v>
      </c>
      <c r="G540" s="2">
        <v>44228.34138888889</v>
      </c>
    </row>
    <row r="541" spans="1:7" ht="15" customHeight="1" x14ac:dyDescent="0.3">
      <c r="A541">
        <v>1356317</v>
      </c>
      <c r="B541" t="s">
        <v>32</v>
      </c>
      <c r="C541" t="s">
        <v>1257</v>
      </c>
      <c r="D541" t="s">
        <v>1303</v>
      </c>
      <c r="E541" s="1" t="s">
        <v>1304</v>
      </c>
      <c r="F541" t="s">
        <v>11</v>
      </c>
      <c r="G541" s="2">
        <v>44228.339479166665</v>
      </c>
    </row>
    <row r="542" spans="1:7" ht="15" customHeight="1" x14ac:dyDescent="0.3">
      <c r="A542">
        <v>1356269</v>
      </c>
      <c r="B542" t="s">
        <v>746</v>
      </c>
      <c r="C542" t="s">
        <v>1305</v>
      </c>
      <c r="D542" t="s">
        <v>1306</v>
      </c>
      <c r="E542" s="1" t="s">
        <v>1307</v>
      </c>
      <c r="F542" t="s">
        <v>11</v>
      </c>
      <c r="G542" s="2">
        <v>44228.214317129627</v>
      </c>
    </row>
    <row r="543" spans="1:7" ht="15" customHeight="1" x14ac:dyDescent="0.3">
      <c r="A543">
        <v>1356235</v>
      </c>
      <c r="B543" t="s">
        <v>118</v>
      </c>
      <c r="C543" t="s">
        <v>1308</v>
      </c>
      <c r="D543" t="s">
        <v>1309</v>
      </c>
      <c r="E543" s="1" t="s">
        <v>1310</v>
      </c>
      <c r="F543" t="s">
        <v>11</v>
      </c>
      <c r="G543" s="2">
        <v>44228.106678240743</v>
      </c>
    </row>
    <row r="544" spans="1:7" ht="15" customHeight="1" x14ac:dyDescent="0.3">
      <c r="A544">
        <v>1356200</v>
      </c>
      <c r="B544" t="s">
        <v>95</v>
      </c>
      <c r="C544" t="s">
        <v>601</v>
      </c>
      <c r="D544" t="s">
        <v>602</v>
      </c>
      <c r="E544" t="s">
        <v>603</v>
      </c>
      <c r="F544" t="s">
        <v>188</v>
      </c>
      <c r="G544" s="2">
        <v>44228.042060185187</v>
      </c>
    </row>
    <row r="545" spans="1:7" ht="15" customHeight="1" x14ac:dyDescent="0.3">
      <c r="A545">
        <v>1356175</v>
      </c>
      <c r="B545" t="s">
        <v>1052</v>
      </c>
      <c r="C545" t="s">
        <v>1053</v>
      </c>
      <c r="D545" t="s">
        <v>1156</v>
      </c>
      <c r="E545" s="1" t="s">
        <v>1157</v>
      </c>
      <c r="F545" t="s">
        <v>1158</v>
      </c>
      <c r="G545" s="2">
        <v>44228.000023148146</v>
      </c>
    </row>
    <row r="546" spans="1:7" ht="15" customHeight="1" x14ac:dyDescent="0.3">
      <c r="A546">
        <v>1356166</v>
      </c>
      <c r="B546" t="s">
        <v>1105</v>
      </c>
      <c r="C546" t="s">
        <v>1106</v>
      </c>
      <c r="D546" t="s">
        <v>1311</v>
      </c>
      <c r="E546" s="1" t="s">
        <v>1312</v>
      </c>
      <c r="F546" t="s">
        <v>24</v>
      </c>
      <c r="G546" s="2">
        <v>44227.964432870373</v>
      </c>
    </row>
    <row r="547" spans="1:7" ht="15" customHeight="1" x14ac:dyDescent="0.3">
      <c r="A547">
        <v>1355972</v>
      </c>
      <c r="B547" t="s">
        <v>70</v>
      </c>
      <c r="C547" t="s">
        <v>369</v>
      </c>
      <c r="D547" t="s">
        <v>1313</v>
      </c>
      <c r="E547" s="1" t="s">
        <v>1314</v>
      </c>
      <c r="F547" t="s">
        <v>11</v>
      </c>
      <c r="G547" s="2">
        <v>44227.551087962966</v>
      </c>
    </row>
    <row r="548" spans="1:7" ht="15" customHeight="1" x14ac:dyDescent="0.3">
      <c r="A548">
        <v>1355964</v>
      </c>
      <c r="B548" t="s">
        <v>20</v>
      </c>
      <c r="C548" t="s">
        <v>78</v>
      </c>
      <c r="D548" t="s">
        <v>1315</v>
      </c>
      <c r="E548" s="1" t="s">
        <v>1316</v>
      </c>
      <c r="F548" t="s">
        <v>11</v>
      </c>
      <c r="G548" s="2">
        <v>44227.520995370367</v>
      </c>
    </row>
    <row r="549" spans="1:7" ht="15" customHeight="1" x14ac:dyDescent="0.3">
      <c r="A549">
        <v>1355963</v>
      </c>
      <c r="B549" t="s">
        <v>20</v>
      </c>
      <c r="C549" t="s">
        <v>78</v>
      </c>
      <c r="D549" t="s">
        <v>1317</v>
      </c>
      <c r="E549" s="1" t="s">
        <v>1318</v>
      </c>
      <c r="F549" t="s">
        <v>11</v>
      </c>
      <c r="G549" s="2">
        <v>44227.518750000003</v>
      </c>
    </row>
    <row r="550" spans="1:7" ht="15" customHeight="1" x14ac:dyDescent="0.3">
      <c r="A550">
        <v>1355959</v>
      </c>
      <c r="B550" t="s">
        <v>53</v>
      </c>
      <c r="C550" t="s">
        <v>54</v>
      </c>
      <c r="D550" t="s">
        <v>1319</v>
      </c>
      <c r="E550" s="1" t="s">
        <v>1320</v>
      </c>
      <c r="F550" t="s">
        <v>11</v>
      </c>
      <c r="G550" s="2">
        <v>44227.465104166666</v>
      </c>
    </row>
    <row r="551" spans="1:7" ht="15" customHeight="1" x14ac:dyDescent="0.3">
      <c r="A551">
        <v>1355924</v>
      </c>
      <c r="B551" t="s">
        <v>74</v>
      </c>
      <c r="C551" t="s">
        <v>450</v>
      </c>
      <c r="D551" t="s">
        <v>1321</v>
      </c>
      <c r="E551" s="1" t="s">
        <v>1322</v>
      </c>
      <c r="F551" t="s">
        <v>11</v>
      </c>
      <c r="G551" s="2">
        <v>44227.400289351855</v>
      </c>
    </row>
    <row r="552" spans="1:7" ht="15" customHeight="1" x14ac:dyDescent="0.3">
      <c r="A552">
        <v>1355807</v>
      </c>
      <c r="B552" t="s">
        <v>95</v>
      </c>
      <c r="C552" t="s">
        <v>668</v>
      </c>
      <c r="D552" t="s">
        <v>1323</v>
      </c>
      <c r="E552" t="s">
        <v>1324</v>
      </c>
      <c r="F552" t="s">
        <v>1158</v>
      </c>
      <c r="G552" s="2">
        <v>44227.000057870369</v>
      </c>
    </row>
    <row r="553" spans="1:7" ht="15" customHeight="1" x14ac:dyDescent="0.3">
      <c r="A553">
        <v>1355806</v>
      </c>
      <c r="B553" t="s">
        <v>95</v>
      </c>
      <c r="C553" t="s">
        <v>668</v>
      </c>
      <c r="D553" t="s">
        <v>1323</v>
      </c>
      <c r="E553" t="s">
        <v>1324</v>
      </c>
      <c r="F553" t="s">
        <v>1158</v>
      </c>
      <c r="G553" s="2">
        <v>44227.000057870369</v>
      </c>
    </row>
    <row r="554" spans="1:7" ht="15" customHeight="1" x14ac:dyDescent="0.3">
      <c r="A554">
        <v>1355805</v>
      </c>
      <c r="B554" t="s">
        <v>95</v>
      </c>
      <c r="C554" t="s">
        <v>668</v>
      </c>
      <c r="D554" t="s">
        <v>1325</v>
      </c>
      <c r="E554" s="1" t="s">
        <v>1326</v>
      </c>
      <c r="F554" t="s">
        <v>1158</v>
      </c>
      <c r="G554" s="2">
        <v>44227.0000462963</v>
      </c>
    </row>
    <row r="555" spans="1:7" ht="15" customHeight="1" x14ac:dyDescent="0.3">
      <c r="A555">
        <v>1355804</v>
      </c>
      <c r="B555" t="s">
        <v>95</v>
      </c>
      <c r="C555" t="s">
        <v>668</v>
      </c>
      <c r="D555" t="s">
        <v>1325</v>
      </c>
      <c r="E555" s="1" t="s">
        <v>1326</v>
      </c>
      <c r="F555" t="s">
        <v>1158</v>
      </c>
      <c r="G555" s="2">
        <v>44227.000034722223</v>
      </c>
    </row>
    <row r="556" spans="1:7" ht="15" customHeight="1" x14ac:dyDescent="0.3">
      <c r="A556">
        <v>1355803</v>
      </c>
      <c r="B556" t="s">
        <v>860</v>
      </c>
      <c r="C556" t="s">
        <v>861</v>
      </c>
      <c r="D556" t="s">
        <v>1156</v>
      </c>
      <c r="E556" s="1" t="s">
        <v>1157</v>
      </c>
      <c r="F556" t="s">
        <v>1158</v>
      </c>
      <c r="G556" s="2">
        <v>44227.000034722223</v>
      </c>
    </row>
    <row r="557" spans="1:7" ht="15" customHeight="1" x14ac:dyDescent="0.3">
      <c r="A557">
        <v>1355802</v>
      </c>
      <c r="B557" t="s">
        <v>16</v>
      </c>
      <c r="C557" t="s">
        <v>394</v>
      </c>
      <c r="D557" t="s">
        <v>1327</v>
      </c>
      <c r="E557" s="1" t="s">
        <v>1160</v>
      </c>
      <c r="F557" t="s">
        <v>1158</v>
      </c>
      <c r="G557" s="2">
        <v>44227.000023148146</v>
      </c>
    </row>
    <row r="558" spans="1:7" ht="15" customHeight="1" x14ac:dyDescent="0.3">
      <c r="A558">
        <v>1355634</v>
      </c>
      <c r="B558" t="s">
        <v>32</v>
      </c>
      <c r="C558" t="s">
        <v>1257</v>
      </c>
      <c r="D558" t="s">
        <v>1328</v>
      </c>
      <c r="E558" s="1" t="s">
        <v>1329</v>
      </c>
      <c r="F558" t="s">
        <v>11</v>
      </c>
      <c r="G558" s="2">
        <v>44226.785532407404</v>
      </c>
    </row>
    <row r="559" spans="1:7" ht="15" customHeight="1" x14ac:dyDescent="0.3">
      <c r="A559">
        <v>1355632</v>
      </c>
      <c r="B559" t="s">
        <v>32</v>
      </c>
      <c r="C559" t="s">
        <v>1257</v>
      </c>
      <c r="D559" t="s">
        <v>1330</v>
      </c>
      <c r="E559" s="1" t="s">
        <v>1331</v>
      </c>
      <c r="F559" t="s">
        <v>11</v>
      </c>
      <c r="G559" s="2">
        <v>44226.784687500003</v>
      </c>
    </row>
    <row r="560" spans="1:7" ht="15" customHeight="1" x14ac:dyDescent="0.3">
      <c r="A560">
        <v>1355570</v>
      </c>
      <c r="B560" t="s">
        <v>746</v>
      </c>
      <c r="C560" t="s">
        <v>1203</v>
      </c>
      <c r="D560" t="s">
        <v>1332</v>
      </c>
      <c r="E560" s="1" t="s">
        <v>1333</v>
      </c>
      <c r="F560" t="s">
        <v>11</v>
      </c>
      <c r="G560" s="2">
        <v>44226.565115740741</v>
      </c>
    </row>
    <row r="561" spans="1:7" ht="15" customHeight="1" x14ac:dyDescent="0.3">
      <c r="A561">
        <v>1355569</v>
      </c>
      <c r="B561" t="s">
        <v>318</v>
      </c>
      <c r="C561" t="s">
        <v>319</v>
      </c>
      <c r="D561" t="s">
        <v>1334</v>
      </c>
      <c r="E561" s="1" t="s">
        <v>1335</v>
      </c>
      <c r="F561" t="s">
        <v>11</v>
      </c>
      <c r="G561" s="2">
        <v>44226.5625</v>
      </c>
    </row>
    <row r="562" spans="1:7" ht="15" customHeight="1" x14ac:dyDescent="0.3">
      <c r="A562">
        <v>1355536</v>
      </c>
      <c r="B562" t="s">
        <v>157</v>
      </c>
      <c r="C562" t="s">
        <v>713</v>
      </c>
      <c r="D562" t="s">
        <v>1336</v>
      </c>
      <c r="E562" s="1" t="s">
        <v>1337</v>
      </c>
      <c r="F562" t="s">
        <v>24</v>
      </c>
      <c r="G562" s="2">
        <v>44226.460173611114</v>
      </c>
    </row>
    <row r="563" spans="1:7" ht="15" customHeight="1" x14ac:dyDescent="0.3">
      <c r="A563">
        <v>1355495</v>
      </c>
      <c r="B563" t="s">
        <v>118</v>
      </c>
      <c r="C563" t="s">
        <v>119</v>
      </c>
      <c r="D563" t="s">
        <v>1338</v>
      </c>
      <c r="E563" s="1" t="s">
        <v>1339</v>
      </c>
      <c r="F563" t="s">
        <v>11</v>
      </c>
      <c r="G563" s="2">
        <v>44226.393171296295</v>
      </c>
    </row>
    <row r="564" spans="1:7" ht="15" customHeight="1" x14ac:dyDescent="0.3">
      <c r="A564">
        <v>1355492</v>
      </c>
      <c r="B564" t="s">
        <v>74</v>
      </c>
      <c r="C564" t="s">
        <v>450</v>
      </c>
      <c r="D564" t="s">
        <v>1340</v>
      </c>
      <c r="E564" s="1" t="s">
        <v>1341</v>
      </c>
      <c r="F564" t="s">
        <v>11</v>
      </c>
      <c r="G564" s="2">
        <v>44226.362743055557</v>
      </c>
    </row>
    <row r="565" spans="1:7" ht="15" customHeight="1" x14ac:dyDescent="0.3">
      <c r="A565">
        <v>1355364</v>
      </c>
      <c r="B565" t="s">
        <v>36</v>
      </c>
      <c r="C565" t="s">
        <v>1342</v>
      </c>
      <c r="D565" t="s">
        <v>1343</v>
      </c>
      <c r="E565" s="1" t="s">
        <v>1344</v>
      </c>
      <c r="F565" t="s">
        <v>1158</v>
      </c>
      <c r="G565" s="2">
        <v>44226.000034722223</v>
      </c>
    </row>
    <row r="566" spans="1:7" ht="15" customHeight="1" x14ac:dyDescent="0.3">
      <c r="A566">
        <v>1355363</v>
      </c>
      <c r="B566" t="s">
        <v>177</v>
      </c>
      <c r="C566" t="s">
        <v>643</v>
      </c>
      <c r="D566" t="s">
        <v>1156</v>
      </c>
      <c r="E566" s="1" t="s">
        <v>1157</v>
      </c>
      <c r="F566" t="s">
        <v>1158</v>
      </c>
      <c r="G566" s="2">
        <v>44226.000023148146</v>
      </c>
    </row>
    <row r="567" spans="1:7" ht="15" customHeight="1" x14ac:dyDescent="0.3">
      <c r="A567">
        <v>1355362</v>
      </c>
      <c r="B567" t="s">
        <v>746</v>
      </c>
      <c r="C567" t="s">
        <v>1203</v>
      </c>
      <c r="D567" t="s">
        <v>1345</v>
      </c>
      <c r="E567" s="1" t="s">
        <v>1160</v>
      </c>
      <c r="F567" t="s">
        <v>1158</v>
      </c>
      <c r="G567" s="2">
        <v>44226.000023148146</v>
      </c>
    </row>
    <row r="568" spans="1:7" ht="15" customHeight="1" x14ac:dyDescent="0.3">
      <c r="A568">
        <v>1355173</v>
      </c>
      <c r="B568" t="s">
        <v>32</v>
      </c>
      <c r="C568" t="s">
        <v>463</v>
      </c>
      <c r="D568" t="s">
        <v>1346</v>
      </c>
      <c r="E568" s="1" t="s">
        <v>1347</v>
      </c>
      <c r="F568" t="s">
        <v>24</v>
      </c>
      <c r="G568" s="2">
        <v>44225.750590277778</v>
      </c>
    </row>
    <row r="569" spans="1:7" ht="15" customHeight="1" x14ac:dyDescent="0.3">
      <c r="A569">
        <v>1355148</v>
      </c>
      <c r="B569" t="s">
        <v>36</v>
      </c>
      <c r="C569" t="s">
        <v>263</v>
      </c>
      <c r="D569" t="s">
        <v>1348</v>
      </c>
      <c r="E569" s="1" t="s">
        <v>1349</v>
      </c>
      <c r="F569" t="s">
        <v>24</v>
      </c>
      <c r="G569" s="2">
        <v>44225.692615740743</v>
      </c>
    </row>
    <row r="570" spans="1:7" ht="15" customHeight="1" x14ac:dyDescent="0.3">
      <c r="A570">
        <v>1355140</v>
      </c>
      <c r="B570" t="s">
        <v>53</v>
      </c>
      <c r="C570" t="s">
        <v>158</v>
      </c>
      <c r="D570" t="s">
        <v>1350</v>
      </c>
      <c r="E570" s="1" t="s">
        <v>1351</v>
      </c>
      <c r="F570" t="s">
        <v>11</v>
      </c>
      <c r="G570" s="2">
        <v>44225.660763888889</v>
      </c>
    </row>
    <row r="571" spans="1:7" ht="15" customHeight="1" x14ac:dyDescent="0.3">
      <c r="A571">
        <v>1355136</v>
      </c>
      <c r="B571" t="s">
        <v>53</v>
      </c>
      <c r="C571" t="s">
        <v>1352</v>
      </c>
      <c r="D571" t="s">
        <v>1353</v>
      </c>
      <c r="E571" s="1" t="s">
        <v>1354</v>
      </c>
      <c r="F571" t="s">
        <v>11</v>
      </c>
      <c r="G571" s="2">
        <v>44225.648252314815</v>
      </c>
    </row>
    <row r="572" spans="1:7" ht="15" customHeight="1" x14ac:dyDescent="0.3">
      <c r="A572">
        <v>1355124</v>
      </c>
      <c r="B572" t="s">
        <v>489</v>
      </c>
      <c r="C572" t="s">
        <v>490</v>
      </c>
      <c r="D572" t="s">
        <v>1355</v>
      </c>
      <c r="E572" s="1" t="s">
        <v>1356</v>
      </c>
      <c r="F572" t="s">
        <v>11</v>
      </c>
      <c r="G572" s="2">
        <v>44225.629421296297</v>
      </c>
    </row>
    <row r="573" spans="1:7" ht="15" customHeight="1" x14ac:dyDescent="0.3">
      <c r="A573">
        <v>1355118</v>
      </c>
      <c r="B573" t="s">
        <v>350</v>
      </c>
      <c r="C573" t="s">
        <v>351</v>
      </c>
      <c r="D573" t="s">
        <v>1357</v>
      </c>
      <c r="E573" s="1" t="s">
        <v>1358</v>
      </c>
      <c r="F573" t="s">
        <v>24</v>
      </c>
      <c r="G573" s="2">
        <v>44225.624745370369</v>
      </c>
    </row>
    <row r="574" spans="1:7" ht="15" customHeight="1" x14ac:dyDescent="0.3">
      <c r="A574">
        <v>1355116</v>
      </c>
      <c r="B574" t="s">
        <v>36</v>
      </c>
      <c r="C574" t="s">
        <v>1175</v>
      </c>
      <c r="D574" t="s">
        <v>1359</v>
      </c>
      <c r="E574" s="1" t="s">
        <v>1360</v>
      </c>
      <c r="F574" t="s">
        <v>24</v>
      </c>
      <c r="G574" s="2">
        <v>44225.623229166667</v>
      </c>
    </row>
    <row r="575" spans="1:7" ht="15" customHeight="1" x14ac:dyDescent="0.3">
      <c r="A575">
        <v>1355110</v>
      </c>
      <c r="B575" t="s">
        <v>1361</v>
      </c>
      <c r="C575" t="s">
        <v>1362</v>
      </c>
      <c r="D575" t="s">
        <v>1363</v>
      </c>
      <c r="E575" s="1" t="s">
        <v>1364</v>
      </c>
      <c r="F575" t="s">
        <v>24</v>
      </c>
      <c r="G575" s="2">
        <v>44225.617418981485</v>
      </c>
    </row>
    <row r="576" spans="1:7" ht="15" customHeight="1" x14ac:dyDescent="0.3">
      <c r="A576">
        <v>1355108</v>
      </c>
      <c r="B576" t="s">
        <v>746</v>
      </c>
      <c r="C576" t="s">
        <v>1203</v>
      </c>
      <c r="D576" t="s">
        <v>1365</v>
      </c>
      <c r="E576" s="1" t="s">
        <v>1366</v>
      </c>
      <c r="F576" t="s">
        <v>11</v>
      </c>
      <c r="G576" s="2">
        <v>44225.601886574077</v>
      </c>
    </row>
    <row r="577" spans="1:7" ht="15" customHeight="1" x14ac:dyDescent="0.3">
      <c r="A577">
        <v>1355107</v>
      </c>
      <c r="B577" t="s">
        <v>157</v>
      </c>
      <c r="C577" t="s">
        <v>414</v>
      </c>
      <c r="D577" t="s">
        <v>1367</v>
      </c>
      <c r="E577" s="1" t="s">
        <v>1368</v>
      </c>
      <c r="F577" t="s">
        <v>11</v>
      </c>
      <c r="G577" s="2">
        <v>44225.600347222222</v>
      </c>
    </row>
    <row r="578" spans="1:7" ht="15" customHeight="1" x14ac:dyDescent="0.3">
      <c r="A578">
        <v>1355104</v>
      </c>
      <c r="B578" t="s">
        <v>36</v>
      </c>
      <c r="C578" t="s">
        <v>989</v>
      </c>
      <c r="D578" t="s">
        <v>1369</v>
      </c>
      <c r="E578" s="1" t="s">
        <v>1370</v>
      </c>
      <c r="F578" t="s">
        <v>24</v>
      </c>
      <c r="G578" s="2">
        <v>44225.594317129631</v>
      </c>
    </row>
    <row r="579" spans="1:7" ht="15" customHeight="1" x14ac:dyDescent="0.3">
      <c r="A579">
        <v>1355092</v>
      </c>
      <c r="B579" t="s">
        <v>7</v>
      </c>
      <c r="C579" t="s">
        <v>1371</v>
      </c>
      <c r="D579" t="s">
        <v>1372</v>
      </c>
      <c r="E579" s="1" t="s">
        <v>1373</v>
      </c>
      <c r="F579" t="s">
        <v>24</v>
      </c>
      <c r="G579" s="2">
        <v>44225.578773148147</v>
      </c>
    </row>
    <row r="580" spans="1:7" ht="15" customHeight="1" x14ac:dyDescent="0.3">
      <c r="A580">
        <v>1355086</v>
      </c>
      <c r="B580" t="s">
        <v>74</v>
      </c>
      <c r="C580" t="s">
        <v>1374</v>
      </c>
      <c r="D580">
        <v>1353256</v>
      </c>
      <c r="E580" s="1" t="s">
        <v>1375</v>
      </c>
      <c r="F580" t="s">
        <v>11</v>
      </c>
      <c r="G580" s="2">
        <v>44225.572164351855</v>
      </c>
    </row>
    <row r="581" spans="1:7" ht="15" customHeight="1" x14ac:dyDescent="0.3">
      <c r="A581">
        <v>1355050</v>
      </c>
      <c r="B581" t="s">
        <v>214</v>
      </c>
      <c r="C581" t="s">
        <v>1100</v>
      </c>
      <c r="D581" t="s">
        <v>1376</v>
      </c>
      <c r="E581" s="1" t="s">
        <v>1377</v>
      </c>
      <c r="F581" t="s">
        <v>11</v>
      </c>
      <c r="G581" s="2">
        <v>44225.519502314812</v>
      </c>
    </row>
    <row r="582" spans="1:7" ht="15" customHeight="1" x14ac:dyDescent="0.3">
      <c r="A582">
        <v>1355021</v>
      </c>
      <c r="B582" t="s">
        <v>746</v>
      </c>
      <c r="C582" t="s">
        <v>1228</v>
      </c>
      <c r="D582" t="s">
        <v>1378</v>
      </c>
      <c r="E582" s="1" t="s">
        <v>1230</v>
      </c>
      <c r="F582" t="s">
        <v>11</v>
      </c>
      <c r="G582" s="2">
        <v>44225.478796296295</v>
      </c>
    </row>
    <row r="583" spans="1:7" ht="15" customHeight="1" x14ac:dyDescent="0.3">
      <c r="A583">
        <v>1355012</v>
      </c>
      <c r="B583" t="s">
        <v>230</v>
      </c>
      <c r="C583" t="s">
        <v>480</v>
      </c>
      <c r="D583" t="s">
        <v>1379</v>
      </c>
      <c r="E583" s="1" t="s">
        <v>1380</v>
      </c>
      <c r="F583" t="s">
        <v>24</v>
      </c>
      <c r="G583" s="2">
        <v>44225.470532407409</v>
      </c>
    </row>
    <row r="584" spans="1:7" ht="15" customHeight="1" x14ac:dyDescent="0.3">
      <c r="A584">
        <v>1355003</v>
      </c>
      <c r="B584" t="s">
        <v>473</v>
      </c>
      <c r="C584" t="s">
        <v>1381</v>
      </c>
      <c r="D584" t="s">
        <v>958</v>
      </c>
      <c r="E584" s="1" t="s">
        <v>1382</v>
      </c>
      <c r="F584" t="s">
        <v>11</v>
      </c>
      <c r="G584" s="2">
        <v>44225.462557870371</v>
      </c>
    </row>
    <row r="585" spans="1:7" ht="15" customHeight="1" x14ac:dyDescent="0.3">
      <c r="A585">
        <v>1354995</v>
      </c>
      <c r="B585" t="s">
        <v>7</v>
      </c>
      <c r="C585" t="s">
        <v>1383</v>
      </c>
      <c r="D585" t="s">
        <v>1384</v>
      </c>
      <c r="E585" s="1" t="s">
        <v>1385</v>
      </c>
      <c r="F585" t="s">
        <v>24</v>
      </c>
      <c r="G585" s="2">
        <v>44225.452268518522</v>
      </c>
    </row>
    <row r="586" spans="1:7" ht="15" customHeight="1" x14ac:dyDescent="0.3">
      <c r="A586">
        <v>1354989</v>
      </c>
      <c r="B586" t="s">
        <v>1105</v>
      </c>
      <c r="C586" t="s">
        <v>158</v>
      </c>
      <c r="D586" t="s">
        <v>1386</v>
      </c>
      <c r="E586" s="1" t="s">
        <v>1387</v>
      </c>
      <c r="F586" t="s">
        <v>11</v>
      </c>
      <c r="G586" s="2">
        <v>44225.447685185187</v>
      </c>
    </row>
    <row r="587" spans="1:7" ht="15" customHeight="1" x14ac:dyDescent="0.3">
      <c r="A587">
        <v>1354987</v>
      </c>
      <c r="B587" t="s">
        <v>36</v>
      </c>
      <c r="C587" t="s">
        <v>1388</v>
      </c>
      <c r="D587" t="s">
        <v>1389</v>
      </c>
      <c r="E587" s="1" t="s">
        <v>1390</v>
      </c>
      <c r="F587" t="s">
        <v>24</v>
      </c>
      <c r="G587" s="2">
        <v>44225.4450462963</v>
      </c>
    </row>
    <row r="588" spans="1:7" ht="15" customHeight="1" x14ac:dyDescent="0.3">
      <c r="A588">
        <v>1354986</v>
      </c>
      <c r="B588" t="s">
        <v>1052</v>
      </c>
      <c r="C588" t="s">
        <v>1391</v>
      </c>
      <c r="D588" t="s">
        <v>1392</v>
      </c>
      <c r="E588" s="1" t="s">
        <v>1393</v>
      </c>
      <c r="F588" t="s">
        <v>11</v>
      </c>
      <c r="G588" s="2">
        <v>44225.443460648145</v>
      </c>
    </row>
    <row r="589" spans="1:7" ht="15" customHeight="1" x14ac:dyDescent="0.3">
      <c r="A589">
        <v>1354982</v>
      </c>
      <c r="B589" t="s">
        <v>36</v>
      </c>
      <c r="C589" t="s">
        <v>405</v>
      </c>
      <c r="D589" t="s">
        <v>1394</v>
      </c>
      <c r="E589" s="1" t="s">
        <v>1395</v>
      </c>
      <c r="F589" t="s">
        <v>24</v>
      </c>
      <c r="G589" s="2">
        <v>44225.441469907404</v>
      </c>
    </row>
    <row r="590" spans="1:7" ht="15" customHeight="1" x14ac:dyDescent="0.3">
      <c r="A590">
        <v>1354973</v>
      </c>
      <c r="B590" t="s">
        <v>1396</v>
      </c>
      <c r="C590" t="s">
        <v>1397</v>
      </c>
      <c r="D590" t="s">
        <v>1398</v>
      </c>
      <c r="E590" s="1" t="s">
        <v>1399</v>
      </c>
      <c r="F590" t="s">
        <v>11</v>
      </c>
      <c r="G590" s="2">
        <v>44225.433657407404</v>
      </c>
    </row>
    <row r="591" spans="1:7" ht="15" customHeight="1" x14ac:dyDescent="0.3">
      <c r="A591">
        <v>1354917</v>
      </c>
      <c r="B591" t="s">
        <v>12</v>
      </c>
      <c r="C591" t="s">
        <v>338</v>
      </c>
      <c r="D591" t="s">
        <v>1400</v>
      </c>
      <c r="E591" s="1" t="s">
        <v>1401</v>
      </c>
      <c r="F591" t="s">
        <v>11</v>
      </c>
      <c r="G591" s="2">
        <v>44225.410717592589</v>
      </c>
    </row>
    <row r="592" spans="1:7" ht="15" customHeight="1" x14ac:dyDescent="0.3">
      <c r="A592">
        <v>1354910</v>
      </c>
      <c r="B592" t="s">
        <v>401</v>
      </c>
      <c r="C592" t="s">
        <v>1402</v>
      </c>
      <c r="D592" t="s">
        <v>1403</v>
      </c>
      <c r="E592" s="1" t="s">
        <v>1404</v>
      </c>
      <c r="F592" t="s">
        <v>11</v>
      </c>
      <c r="G592" s="2">
        <v>44225.399710648147</v>
      </c>
    </row>
    <row r="593" spans="1:7" ht="15" customHeight="1" x14ac:dyDescent="0.3">
      <c r="A593">
        <v>1354885</v>
      </c>
      <c r="B593" t="s">
        <v>53</v>
      </c>
      <c r="C593" t="s">
        <v>54</v>
      </c>
      <c r="D593" t="s">
        <v>1405</v>
      </c>
      <c r="E593" s="1" t="s">
        <v>1406</v>
      </c>
      <c r="F593" t="s">
        <v>11</v>
      </c>
      <c r="G593" s="2">
        <v>44225.37394675926</v>
      </c>
    </row>
    <row r="594" spans="1:7" ht="15" customHeight="1" x14ac:dyDescent="0.3">
      <c r="A594">
        <v>1354884</v>
      </c>
      <c r="B594" t="s">
        <v>7</v>
      </c>
      <c r="C594" t="s">
        <v>1407</v>
      </c>
      <c r="D594" t="s">
        <v>1408</v>
      </c>
      <c r="E594" s="1" t="s">
        <v>1409</v>
      </c>
      <c r="F594" t="s">
        <v>11</v>
      </c>
      <c r="G594" s="2">
        <v>44225.372314814813</v>
      </c>
    </row>
    <row r="595" spans="1:7" ht="15" customHeight="1" x14ac:dyDescent="0.3">
      <c r="A595">
        <v>1354881</v>
      </c>
      <c r="B595" t="s">
        <v>1013</v>
      </c>
      <c r="C595" t="s">
        <v>1410</v>
      </c>
      <c r="D595" t="s">
        <v>1411</v>
      </c>
      <c r="E595" s="1" t="s">
        <v>1412</v>
      </c>
      <c r="F595" t="s">
        <v>11</v>
      </c>
      <c r="G595" s="2">
        <v>44225.367349537039</v>
      </c>
    </row>
    <row r="596" spans="1:7" ht="15" customHeight="1" x14ac:dyDescent="0.3">
      <c r="A596">
        <v>1354878</v>
      </c>
      <c r="B596" t="s">
        <v>1413</v>
      </c>
      <c r="C596" t="s">
        <v>1414</v>
      </c>
      <c r="D596" t="s">
        <v>1415</v>
      </c>
      <c r="E596" s="1" t="s">
        <v>1416</v>
      </c>
      <c r="F596" t="s">
        <v>11</v>
      </c>
      <c r="G596" s="2">
        <v>44225.362604166665</v>
      </c>
    </row>
    <row r="597" spans="1:7" ht="15" customHeight="1" x14ac:dyDescent="0.3">
      <c r="A597">
        <v>1354873</v>
      </c>
      <c r="B597" t="s">
        <v>1169</v>
      </c>
      <c r="C597" t="s">
        <v>1170</v>
      </c>
      <c r="D597" t="s">
        <v>1417</v>
      </c>
      <c r="E597" s="1" t="s">
        <v>1418</v>
      </c>
      <c r="F597" t="s">
        <v>11</v>
      </c>
      <c r="G597" s="2">
        <v>44225.355034722219</v>
      </c>
    </row>
    <row r="598" spans="1:7" ht="15" customHeight="1" x14ac:dyDescent="0.3">
      <c r="A598">
        <v>1354869</v>
      </c>
      <c r="B598" t="s">
        <v>331</v>
      </c>
      <c r="C598" t="s">
        <v>1060</v>
      </c>
      <c r="D598" t="s">
        <v>1419</v>
      </c>
      <c r="E598" s="1" t="s">
        <v>1420</v>
      </c>
      <c r="F598" t="s">
        <v>11</v>
      </c>
      <c r="G598" s="2">
        <v>44225.345254629632</v>
      </c>
    </row>
    <row r="599" spans="1:7" ht="15" customHeight="1" x14ac:dyDescent="0.3">
      <c r="A599">
        <v>1354864</v>
      </c>
      <c r="B599" t="s">
        <v>16</v>
      </c>
      <c r="C599" t="s">
        <v>181</v>
      </c>
      <c r="D599" t="s">
        <v>1421</v>
      </c>
      <c r="E599" s="1" t="s">
        <v>1422</v>
      </c>
      <c r="F599" t="s">
        <v>11</v>
      </c>
      <c r="G599" s="2">
        <v>44225.341921296298</v>
      </c>
    </row>
    <row r="600" spans="1:7" ht="15" customHeight="1" x14ac:dyDescent="0.3">
      <c r="A600">
        <v>1354843</v>
      </c>
      <c r="B600" t="s">
        <v>32</v>
      </c>
      <c r="C600" t="s">
        <v>205</v>
      </c>
      <c r="D600" t="s">
        <v>1423</v>
      </c>
      <c r="E600" s="1" t="s">
        <v>1424</v>
      </c>
      <c r="F600" t="s">
        <v>11</v>
      </c>
      <c r="G600" s="2">
        <v>44225.331377314818</v>
      </c>
    </row>
    <row r="601" spans="1:7" ht="15" customHeight="1" x14ac:dyDescent="0.3">
      <c r="A601">
        <v>1354833</v>
      </c>
      <c r="B601" t="s">
        <v>16</v>
      </c>
      <c r="C601" t="s">
        <v>649</v>
      </c>
      <c r="D601" t="s">
        <v>907</v>
      </c>
      <c r="E601" s="1" t="s">
        <v>1425</v>
      </c>
      <c r="F601" t="s">
        <v>11</v>
      </c>
      <c r="G601" s="2">
        <v>44225.309467592589</v>
      </c>
    </row>
    <row r="602" spans="1:7" ht="15" customHeight="1" x14ac:dyDescent="0.3">
      <c r="A602">
        <v>1354829</v>
      </c>
      <c r="B602" t="s">
        <v>16</v>
      </c>
      <c r="C602" t="s">
        <v>649</v>
      </c>
      <c r="D602" t="s">
        <v>650</v>
      </c>
      <c r="E602" s="1" t="s">
        <v>1426</v>
      </c>
      <c r="F602" t="s">
        <v>11</v>
      </c>
      <c r="G602" s="2">
        <v>44225.297233796293</v>
      </c>
    </row>
    <row r="603" spans="1:7" ht="15" customHeight="1" x14ac:dyDescent="0.3">
      <c r="A603">
        <v>1354729</v>
      </c>
      <c r="B603" t="s">
        <v>32</v>
      </c>
      <c r="C603" t="s">
        <v>463</v>
      </c>
      <c r="D603" t="s">
        <v>1427</v>
      </c>
      <c r="E603" t="s">
        <v>1324</v>
      </c>
      <c r="F603" t="s">
        <v>1158</v>
      </c>
      <c r="G603" s="2">
        <v>44225.000034722223</v>
      </c>
    </row>
    <row r="604" spans="1:7" ht="15" customHeight="1" x14ac:dyDescent="0.3">
      <c r="A604">
        <v>1354728</v>
      </c>
      <c r="B604" t="s">
        <v>184</v>
      </c>
      <c r="C604" t="s">
        <v>1428</v>
      </c>
      <c r="D604" t="s">
        <v>1429</v>
      </c>
      <c r="E604" s="1" t="s">
        <v>1160</v>
      </c>
      <c r="F604" t="s">
        <v>1158</v>
      </c>
      <c r="G604" s="2">
        <v>44225.000023148146</v>
      </c>
    </row>
    <row r="605" spans="1:7" ht="15" customHeight="1" x14ac:dyDescent="0.3">
      <c r="A605">
        <v>1354625</v>
      </c>
      <c r="B605" t="s">
        <v>774</v>
      </c>
      <c r="C605" t="s">
        <v>775</v>
      </c>
      <c r="D605" t="s">
        <v>1430</v>
      </c>
      <c r="E605" s="1" t="s">
        <v>1431</v>
      </c>
      <c r="F605" t="s">
        <v>11</v>
      </c>
      <c r="G605" s="2">
        <v>44224.855358796296</v>
      </c>
    </row>
    <row r="606" spans="1:7" ht="15" customHeight="1" x14ac:dyDescent="0.3">
      <c r="A606">
        <v>1354516</v>
      </c>
      <c r="B606" t="s">
        <v>157</v>
      </c>
      <c r="C606" t="s">
        <v>414</v>
      </c>
      <c r="D606" t="s">
        <v>1432</v>
      </c>
      <c r="E606" s="1" t="s">
        <v>1433</v>
      </c>
      <c r="F606" t="s">
        <v>11</v>
      </c>
      <c r="G606" s="2">
        <v>44224.707013888888</v>
      </c>
    </row>
    <row r="607" spans="1:7" ht="15" customHeight="1" x14ac:dyDescent="0.3">
      <c r="A607">
        <v>1354515</v>
      </c>
      <c r="B607" t="s">
        <v>1434</v>
      </c>
      <c r="C607" t="s">
        <v>1435</v>
      </c>
      <c r="D607" t="s">
        <v>1436</v>
      </c>
      <c r="E607" s="1" t="s">
        <v>1437</v>
      </c>
      <c r="F607" t="s">
        <v>188</v>
      </c>
      <c r="G607" s="2">
        <v>44224.7031712963</v>
      </c>
    </row>
    <row r="608" spans="1:7" ht="15" customHeight="1" x14ac:dyDescent="0.3">
      <c r="A608">
        <v>1354514</v>
      </c>
      <c r="B608" t="s">
        <v>1105</v>
      </c>
      <c r="C608" t="s">
        <v>1438</v>
      </c>
      <c r="D608" t="s">
        <v>1439</v>
      </c>
      <c r="E608" s="1" t="s">
        <v>1440</v>
      </c>
      <c r="F608" t="s">
        <v>11</v>
      </c>
      <c r="G608" s="2">
        <v>44224.697928240741</v>
      </c>
    </row>
    <row r="609" spans="1:7" ht="15" customHeight="1" x14ac:dyDescent="0.3">
      <c r="A609">
        <v>1354511</v>
      </c>
      <c r="B609" t="s">
        <v>74</v>
      </c>
      <c r="C609" t="s">
        <v>1374</v>
      </c>
      <c r="D609" t="s">
        <v>1441</v>
      </c>
      <c r="E609" s="1" t="s">
        <v>1442</v>
      </c>
      <c r="F609" t="s">
        <v>11</v>
      </c>
      <c r="G609" s="2">
        <v>44224.69427083333</v>
      </c>
    </row>
    <row r="610" spans="1:7" ht="15" customHeight="1" x14ac:dyDescent="0.3">
      <c r="A610">
        <v>1354508</v>
      </c>
      <c r="B610" t="s">
        <v>1236</v>
      </c>
      <c r="C610" t="s">
        <v>158</v>
      </c>
      <c r="D610" t="s">
        <v>1443</v>
      </c>
      <c r="E610" s="1" t="s">
        <v>1444</v>
      </c>
      <c r="F610" t="s">
        <v>24</v>
      </c>
      <c r="G610" s="2">
        <v>44224.690393518518</v>
      </c>
    </row>
    <row r="611" spans="1:7" ht="15" customHeight="1" x14ac:dyDescent="0.3">
      <c r="A611">
        <v>1354495</v>
      </c>
      <c r="B611" t="s">
        <v>157</v>
      </c>
      <c r="C611" t="s">
        <v>414</v>
      </c>
      <c r="D611" t="s">
        <v>1445</v>
      </c>
      <c r="E611" s="1" t="s">
        <v>1446</v>
      </c>
      <c r="F611" t="s">
        <v>11</v>
      </c>
      <c r="G611" s="2">
        <v>44224.653784722221</v>
      </c>
    </row>
    <row r="612" spans="1:7" ht="15" customHeight="1" x14ac:dyDescent="0.3">
      <c r="A612">
        <v>1354492</v>
      </c>
      <c r="B612" t="s">
        <v>350</v>
      </c>
      <c r="C612" t="s">
        <v>351</v>
      </c>
      <c r="D612" t="s">
        <v>1447</v>
      </c>
      <c r="E612" s="1" t="s">
        <v>1448</v>
      </c>
      <c r="F612" t="s">
        <v>24</v>
      </c>
      <c r="G612" s="2">
        <v>44224.644131944442</v>
      </c>
    </row>
    <row r="613" spans="1:7" ht="15" customHeight="1" x14ac:dyDescent="0.3">
      <c r="A613">
        <v>1354491</v>
      </c>
      <c r="B613" t="s">
        <v>804</v>
      </c>
      <c r="C613" t="s">
        <v>1449</v>
      </c>
      <c r="D613" t="s">
        <v>1450</v>
      </c>
      <c r="E613" s="1" t="s">
        <v>1451</v>
      </c>
      <c r="F613" t="s">
        <v>24</v>
      </c>
      <c r="G613" s="2">
        <v>44224.638831018521</v>
      </c>
    </row>
    <row r="614" spans="1:7" ht="15" customHeight="1" x14ac:dyDescent="0.3">
      <c r="A614">
        <v>1354490</v>
      </c>
      <c r="B614" t="s">
        <v>350</v>
      </c>
      <c r="C614" t="s">
        <v>351</v>
      </c>
      <c r="D614" t="s">
        <v>1452</v>
      </c>
      <c r="E614" s="1" t="s">
        <v>1453</v>
      </c>
      <c r="F614" t="s">
        <v>24</v>
      </c>
      <c r="G614" s="2">
        <v>44224.63212962963</v>
      </c>
    </row>
    <row r="615" spans="1:7" ht="15" customHeight="1" x14ac:dyDescent="0.3">
      <c r="A615">
        <v>1354485</v>
      </c>
      <c r="B615" t="s">
        <v>1454</v>
      </c>
      <c r="C615" t="s">
        <v>1455</v>
      </c>
      <c r="D615" t="s">
        <v>1456</v>
      </c>
      <c r="E615" s="1" t="s">
        <v>1457</v>
      </c>
      <c r="F615" t="s">
        <v>11</v>
      </c>
      <c r="G615" s="2">
        <v>44224.625104166669</v>
      </c>
    </row>
    <row r="616" spans="1:7" ht="15" customHeight="1" x14ac:dyDescent="0.3">
      <c r="A616">
        <v>1354482</v>
      </c>
      <c r="B616" t="s">
        <v>1105</v>
      </c>
      <c r="C616" t="s">
        <v>1458</v>
      </c>
      <c r="D616" t="s">
        <v>1459</v>
      </c>
      <c r="E616" s="1" t="s">
        <v>1460</v>
      </c>
      <c r="F616" t="s">
        <v>11</v>
      </c>
      <c r="G616" s="2">
        <v>44224.62190972222</v>
      </c>
    </row>
    <row r="617" spans="1:7" ht="15" customHeight="1" x14ac:dyDescent="0.3">
      <c r="A617">
        <v>1354481</v>
      </c>
      <c r="B617" t="s">
        <v>36</v>
      </c>
      <c r="C617" t="s">
        <v>1461</v>
      </c>
      <c r="D617" t="s">
        <v>1462</v>
      </c>
      <c r="E617" s="1" t="s">
        <v>1463</v>
      </c>
      <c r="F617" t="s">
        <v>24</v>
      </c>
      <c r="G617" s="2">
        <v>44224.615034722221</v>
      </c>
    </row>
    <row r="618" spans="1:7" ht="15" customHeight="1" x14ac:dyDescent="0.3">
      <c r="A618">
        <v>1354479</v>
      </c>
      <c r="B618" t="s">
        <v>290</v>
      </c>
      <c r="C618" t="s">
        <v>1464</v>
      </c>
      <c r="D618" t="s">
        <v>1465</v>
      </c>
      <c r="E618" s="1" t="s">
        <v>1466</v>
      </c>
      <c r="F618" t="s">
        <v>11</v>
      </c>
      <c r="G618" s="2">
        <v>44224.604467592595</v>
      </c>
    </row>
    <row r="619" spans="1:7" ht="15" customHeight="1" x14ac:dyDescent="0.3">
      <c r="A619">
        <v>1354477</v>
      </c>
      <c r="B619" t="s">
        <v>157</v>
      </c>
      <c r="C619" t="s">
        <v>414</v>
      </c>
      <c r="D619" t="s">
        <v>1467</v>
      </c>
      <c r="E619" s="1" t="s">
        <v>1468</v>
      </c>
      <c r="F619" t="s">
        <v>11</v>
      </c>
      <c r="G619" s="2">
        <v>44224.601493055554</v>
      </c>
    </row>
    <row r="620" spans="1:7" ht="15" customHeight="1" x14ac:dyDescent="0.3">
      <c r="A620">
        <v>1354452</v>
      </c>
      <c r="B620" t="s">
        <v>49</v>
      </c>
      <c r="C620" t="s">
        <v>1469</v>
      </c>
      <c r="D620" t="s">
        <v>1470</v>
      </c>
      <c r="E620" s="1" t="s">
        <v>1471</v>
      </c>
      <c r="F620" t="s">
        <v>24</v>
      </c>
      <c r="G620" s="2">
        <v>44224.53564814815</v>
      </c>
    </row>
    <row r="621" spans="1:7" ht="15" customHeight="1" x14ac:dyDescent="0.3">
      <c r="A621">
        <v>1354451</v>
      </c>
      <c r="B621" t="s">
        <v>45</v>
      </c>
      <c r="C621" t="s">
        <v>1472</v>
      </c>
      <c r="D621" t="s">
        <v>1473</v>
      </c>
      <c r="E621" s="1" t="s">
        <v>1474</v>
      </c>
      <c r="F621" t="s">
        <v>11</v>
      </c>
      <c r="G621" s="2">
        <v>44224.534444444442</v>
      </c>
    </row>
    <row r="622" spans="1:7" ht="15" customHeight="1" x14ac:dyDescent="0.3">
      <c r="A622">
        <v>1354445</v>
      </c>
      <c r="B622" t="s">
        <v>435</v>
      </c>
      <c r="C622" t="s">
        <v>436</v>
      </c>
      <c r="D622">
        <v>1353844</v>
      </c>
      <c r="E622" s="1" t="s">
        <v>1475</v>
      </c>
      <c r="F622" t="s">
        <v>11</v>
      </c>
      <c r="G622" s="2">
        <v>44224.524050925924</v>
      </c>
    </row>
    <row r="623" spans="1:7" ht="15" customHeight="1" x14ac:dyDescent="0.3">
      <c r="A623">
        <v>1354443</v>
      </c>
      <c r="B623" t="s">
        <v>1476</v>
      </c>
      <c r="C623" t="s">
        <v>1477</v>
      </c>
      <c r="D623" t="s">
        <v>1478</v>
      </c>
      <c r="E623" s="1" t="s">
        <v>1479</v>
      </c>
      <c r="F623" t="s">
        <v>11</v>
      </c>
      <c r="G623" s="2">
        <v>44224.523784722223</v>
      </c>
    </row>
    <row r="624" spans="1:7" ht="15" customHeight="1" x14ac:dyDescent="0.3">
      <c r="A624">
        <v>1354439</v>
      </c>
      <c r="B624" t="s">
        <v>458</v>
      </c>
      <c r="C624" t="s">
        <v>1480</v>
      </c>
      <c r="D624" t="s">
        <v>1481</v>
      </c>
      <c r="E624" s="1" t="s">
        <v>1482</v>
      </c>
      <c r="F624" t="s">
        <v>11</v>
      </c>
      <c r="G624" s="2">
        <v>44224.511365740742</v>
      </c>
    </row>
    <row r="625" spans="1:7" ht="15" customHeight="1" x14ac:dyDescent="0.3">
      <c r="A625">
        <v>1354436</v>
      </c>
      <c r="B625" t="s">
        <v>70</v>
      </c>
      <c r="C625" t="s">
        <v>369</v>
      </c>
      <c r="D625" t="s">
        <v>1483</v>
      </c>
      <c r="E625" s="1" t="s">
        <v>1484</v>
      </c>
      <c r="F625" t="s">
        <v>11</v>
      </c>
      <c r="G625" s="2">
        <v>44224.510277777779</v>
      </c>
    </row>
    <row r="626" spans="1:7" ht="15" customHeight="1" x14ac:dyDescent="0.3">
      <c r="A626">
        <v>1354435</v>
      </c>
      <c r="B626" t="s">
        <v>746</v>
      </c>
      <c r="C626" t="s">
        <v>1485</v>
      </c>
      <c r="D626" t="s">
        <v>1486</v>
      </c>
      <c r="E626" s="1" t="s">
        <v>1487</v>
      </c>
      <c r="F626" t="s">
        <v>11</v>
      </c>
      <c r="G626" s="2">
        <v>44224.509432870371</v>
      </c>
    </row>
    <row r="627" spans="1:7" ht="15" customHeight="1" x14ac:dyDescent="0.3">
      <c r="A627">
        <v>1354430</v>
      </c>
      <c r="B627" t="s">
        <v>157</v>
      </c>
      <c r="C627" t="s">
        <v>1488</v>
      </c>
      <c r="D627" t="s">
        <v>1489</v>
      </c>
      <c r="E627" s="1" t="s">
        <v>1490</v>
      </c>
      <c r="F627" t="s">
        <v>11</v>
      </c>
      <c r="G627" s="2">
        <v>44224.494722222225</v>
      </c>
    </row>
    <row r="628" spans="1:7" ht="15" customHeight="1" x14ac:dyDescent="0.3">
      <c r="A628">
        <v>1354428</v>
      </c>
      <c r="B628" t="s">
        <v>16</v>
      </c>
      <c r="C628" t="s">
        <v>1491</v>
      </c>
      <c r="D628" t="s">
        <v>1492</v>
      </c>
      <c r="E628" s="1" t="s">
        <v>1493</v>
      </c>
      <c r="F628" t="s">
        <v>11</v>
      </c>
      <c r="G628" s="2">
        <v>44224.485312500001</v>
      </c>
    </row>
    <row r="629" spans="1:7" ht="15" customHeight="1" x14ac:dyDescent="0.3">
      <c r="A629">
        <v>1354426</v>
      </c>
      <c r="B629" t="s">
        <v>350</v>
      </c>
      <c r="C629" t="s">
        <v>351</v>
      </c>
      <c r="D629" t="s">
        <v>1494</v>
      </c>
      <c r="E629" s="1" t="s">
        <v>1495</v>
      </c>
      <c r="F629" t="s">
        <v>24</v>
      </c>
      <c r="G629" s="2">
        <v>44224.485034722224</v>
      </c>
    </row>
    <row r="630" spans="1:7" ht="15" customHeight="1" x14ac:dyDescent="0.3">
      <c r="A630">
        <v>1354424</v>
      </c>
      <c r="B630" t="s">
        <v>70</v>
      </c>
      <c r="C630" t="s">
        <v>1496</v>
      </c>
      <c r="D630" t="s">
        <v>1497</v>
      </c>
      <c r="E630" s="1" t="s">
        <v>1498</v>
      </c>
      <c r="F630" t="s">
        <v>11</v>
      </c>
      <c r="G630" s="2">
        <v>44224.483483796299</v>
      </c>
    </row>
    <row r="631" spans="1:7" ht="15" customHeight="1" x14ac:dyDescent="0.3">
      <c r="A631">
        <v>1354421</v>
      </c>
      <c r="B631" t="s">
        <v>70</v>
      </c>
      <c r="C631" t="s">
        <v>660</v>
      </c>
      <c r="D631" t="s">
        <v>1499</v>
      </c>
      <c r="E631" s="1" t="s">
        <v>1500</v>
      </c>
      <c r="F631" t="s">
        <v>11</v>
      </c>
      <c r="G631" s="2">
        <v>44224.480034722219</v>
      </c>
    </row>
    <row r="632" spans="1:7" ht="15" customHeight="1" x14ac:dyDescent="0.3">
      <c r="A632">
        <v>1354420</v>
      </c>
      <c r="B632" t="s">
        <v>350</v>
      </c>
      <c r="C632" t="s">
        <v>351</v>
      </c>
      <c r="D632" t="s">
        <v>1501</v>
      </c>
      <c r="E632" s="1" t="s">
        <v>1502</v>
      </c>
      <c r="F632" t="s">
        <v>24</v>
      </c>
      <c r="G632" s="2">
        <v>44224.479756944442</v>
      </c>
    </row>
    <row r="633" spans="1:7" ht="15" customHeight="1" x14ac:dyDescent="0.3">
      <c r="A633">
        <v>1354415</v>
      </c>
      <c r="B633" t="s">
        <v>16</v>
      </c>
      <c r="C633" t="s">
        <v>1503</v>
      </c>
      <c r="D633" t="s">
        <v>1504</v>
      </c>
      <c r="E633" s="1" t="s">
        <v>1505</v>
      </c>
      <c r="F633" t="s">
        <v>11</v>
      </c>
      <c r="G633" s="2">
        <v>44224.471412037034</v>
      </c>
    </row>
    <row r="634" spans="1:7" ht="15" customHeight="1" x14ac:dyDescent="0.3">
      <c r="A634">
        <v>1354410</v>
      </c>
      <c r="B634" t="s">
        <v>118</v>
      </c>
      <c r="C634" t="s">
        <v>200</v>
      </c>
      <c r="D634" t="s">
        <v>1506</v>
      </c>
      <c r="E634" s="1" t="s">
        <v>1507</v>
      </c>
      <c r="F634" t="s">
        <v>11</v>
      </c>
      <c r="G634" s="2">
        <v>44224.46738425926</v>
      </c>
    </row>
    <row r="635" spans="1:7" ht="15" customHeight="1" x14ac:dyDescent="0.3">
      <c r="A635">
        <v>1354402</v>
      </c>
      <c r="B635" t="s">
        <v>16</v>
      </c>
      <c r="C635" t="s">
        <v>158</v>
      </c>
      <c r="D635" t="s">
        <v>1508</v>
      </c>
      <c r="E635" s="1" t="s">
        <v>1509</v>
      </c>
      <c r="F635" t="s">
        <v>11</v>
      </c>
      <c r="G635" s="2">
        <v>44224.459409722222</v>
      </c>
    </row>
    <row r="636" spans="1:7" ht="15" customHeight="1" x14ac:dyDescent="0.3">
      <c r="A636">
        <v>1354397</v>
      </c>
      <c r="B636" t="s">
        <v>53</v>
      </c>
      <c r="C636" t="s">
        <v>1510</v>
      </c>
      <c r="D636" t="s">
        <v>1511</v>
      </c>
      <c r="E636" s="1" t="s">
        <v>1512</v>
      </c>
      <c r="F636" t="s">
        <v>24</v>
      </c>
      <c r="G636" s="2">
        <v>44224.45853009259</v>
      </c>
    </row>
    <row r="637" spans="1:7" ht="15" customHeight="1" x14ac:dyDescent="0.3">
      <c r="A637">
        <v>1354368</v>
      </c>
      <c r="B637" t="s">
        <v>70</v>
      </c>
      <c r="C637" t="s">
        <v>1513</v>
      </c>
      <c r="D637" t="s">
        <v>1514</v>
      </c>
      <c r="E637" s="1" t="s">
        <v>1515</v>
      </c>
      <c r="F637" t="s">
        <v>11</v>
      </c>
      <c r="G637" s="2">
        <v>44224.430335648147</v>
      </c>
    </row>
    <row r="638" spans="1:7" ht="15" customHeight="1" x14ac:dyDescent="0.3">
      <c r="A638">
        <v>1354366</v>
      </c>
      <c r="B638" t="s">
        <v>70</v>
      </c>
      <c r="C638" t="s">
        <v>1225</v>
      </c>
      <c r="D638" t="s">
        <v>1516</v>
      </c>
      <c r="E638" s="1" t="s">
        <v>1517</v>
      </c>
      <c r="F638" t="s">
        <v>11</v>
      </c>
      <c r="G638" s="2">
        <v>44224.428877314815</v>
      </c>
    </row>
    <row r="639" spans="1:7" ht="15" customHeight="1" x14ac:dyDescent="0.3">
      <c r="A639">
        <v>1354364</v>
      </c>
      <c r="B639" t="s">
        <v>16</v>
      </c>
      <c r="C639" t="s">
        <v>1518</v>
      </c>
      <c r="D639" t="s">
        <v>1519</v>
      </c>
      <c r="E639" s="1" t="s">
        <v>1520</v>
      </c>
      <c r="F639" t="s">
        <v>11</v>
      </c>
      <c r="G639" s="2">
        <v>44224.425983796296</v>
      </c>
    </row>
    <row r="640" spans="1:7" ht="15" customHeight="1" x14ac:dyDescent="0.3">
      <c r="A640">
        <v>1354333</v>
      </c>
      <c r="B640" t="s">
        <v>7</v>
      </c>
      <c r="C640" t="s">
        <v>158</v>
      </c>
      <c r="D640" t="s">
        <v>737</v>
      </c>
      <c r="E640" s="1" t="s">
        <v>1521</v>
      </c>
      <c r="F640" t="s">
        <v>11</v>
      </c>
      <c r="G640" s="2">
        <v>44224.411909722221</v>
      </c>
    </row>
    <row r="641" spans="1:7" ht="15" customHeight="1" x14ac:dyDescent="0.3">
      <c r="A641">
        <v>1354329</v>
      </c>
      <c r="B641" t="s">
        <v>118</v>
      </c>
      <c r="C641" t="s">
        <v>200</v>
      </c>
      <c r="D641" t="s">
        <v>1522</v>
      </c>
      <c r="E641" s="1" t="s">
        <v>1523</v>
      </c>
      <c r="F641" t="s">
        <v>11</v>
      </c>
      <c r="G641" s="2">
        <v>44224.402881944443</v>
      </c>
    </row>
    <row r="642" spans="1:7" ht="15" customHeight="1" x14ac:dyDescent="0.3">
      <c r="A642">
        <v>1354328</v>
      </c>
      <c r="B642" t="s">
        <v>63</v>
      </c>
      <c r="C642" t="s">
        <v>1524</v>
      </c>
      <c r="D642" t="s">
        <v>1525</v>
      </c>
      <c r="E642" s="1" t="s">
        <v>1526</v>
      </c>
      <c r="F642" t="s">
        <v>11</v>
      </c>
      <c r="G642" s="2">
        <v>44224.402870370373</v>
      </c>
    </row>
    <row r="643" spans="1:7" ht="15" customHeight="1" x14ac:dyDescent="0.3">
      <c r="A643">
        <v>1354324</v>
      </c>
      <c r="B643" t="s">
        <v>431</v>
      </c>
      <c r="C643" t="s">
        <v>158</v>
      </c>
      <c r="D643" t="s">
        <v>1527</v>
      </c>
      <c r="E643" s="1" t="s">
        <v>1528</v>
      </c>
      <c r="F643" t="s">
        <v>24</v>
      </c>
      <c r="G643" s="2">
        <v>44224.398888888885</v>
      </c>
    </row>
    <row r="644" spans="1:7" ht="15" customHeight="1" x14ac:dyDescent="0.3">
      <c r="A644">
        <v>1354316</v>
      </c>
      <c r="B644" t="s">
        <v>157</v>
      </c>
      <c r="C644" t="s">
        <v>627</v>
      </c>
      <c r="D644" t="s">
        <v>1529</v>
      </c>
      <c r="E644" s="1" t="s">
        <v>1530</v>
      </c>
      <c r="F644" t="s">
        <v>11</v>
      </c>
      <c r="G644" s="2">
        <v>44224.387638888889</v>
      </c>
    </row>
    <row r="645" spans="1:7" ht="15" customHeight="1" x14ac:dyDescent="0.3">
      <c r="A645">
        <v>1354308</v>
      </c>
      <c r="B645" t="s">
        <v>7</v>
      </c>
      <c r="C645" t="s">
        <v>789</v>
      </c>
      <c r="D645" t="s">
        <v>1531</v>
      </c>
      <c r="E645" s="1" t="s">
        <v>1532</v>
      </c>
      <c r="F645" t="s">
        <v>24</v>
      </c>
      <c r="G645" s="2">
        <v>44224.376944444448</v>
      </c>
    </row>
    <row r="646" spans="1:7" ht="15" customHeight="1" x14ac:dyDescent="0.3">
      <c r="A646">
        <v>1354301</v>
      </c>
      <c r="B646" t="s">
        <v>7</v>
      </c>
      <c r="C646" t="s">
        <v>1533</v>
      </c>
      <c r="D646" t="s">
        <v>1534</v>
      </c>
      <c r="E646" s="1" t="s">
        <v>1535</v>
      </c>
      <c r="F646" t="s">
        <v>11</v>
      </c>
      <c r="G646" s="2">
        <v>44224.367881944447</v>
      </c>
    </row>
    <row r="647" spans="1:7" ht="15" customHeight="1" x14ac:dyDescent="0.3">
      <c r="A647">
        <v>1354300</v>
      </c>
      <c r="B647" t="s">
        <v>7</v>
      </c>
      <c r="C647" t="s">
        <v>1536</v>
      </c>
      <c r="D647" t="s">
        <v>1537</v>
      </c>
      <c r="E647" s="1" t="s">
        <v>1538</v>
      </c>
      <c r="F647" t="s">
        <v>24</v>
      </c>
      <c r="G647" s="2">
        <v>44224.366666666669</v>
      </c>
    </row>
    <row r="648" spans="1:7" ht="15" customHeight="1" x14ac:dyDescent="0.3">
      <c r="A648">
        <v>1354296</v>
      </c>
      <c r="B648" t="s">
        <v>7</v>
      </c>
      <c r="C648" t="s">
        <v>1539</v>
      </c>
      <c r="D648" t="s">
        <v>1540</v>
      </c>
      <c r="E648" s="1" t="s">
        <v>1541</v>
      </c>
      <c r="F648" t="s">
        <v>11</v>
      </c>
      <c r="G648" s="2">
        <v>44224.351747685185</v>
      </c>
    </row>
    <row r="649" spans="1:7" ht="15" customHeight="1" x14ac:dyDescent="0.3">
      <c r="A649">
        <v>1354286</v>
      </c>
      <c r="B649" t="s">
        <v>7</v>
      </c>
      <c r="C649" t="s">
        <v>1542</v>
      </c>
      <c r="D649" t="s">
        <v>1543</v>
      </c>
      <c r="E649" s="1" t="s">
        <v>1544</v>
      </c>
      <c r="F649" t="s">
        <v>24</v>
      </c>
      <c r="G649" s="2">
        <v>44224.336342592593</v>
      </c>
    </row>
    <row r="650" spans="1:7" ht="15" customHeight="1" x14ac:dyDescent="0.3">
      <c r="A650">
        <v>1354272</v>
      </c>
      <c r="B650" t="s">
        <v>12</v>
      </c>
      <c r="C650" t="s">
        <v>1545</v>
      </c>
      <c r="D650" t="s">
        <v>1546</v>
      </c>
      <c r="E650" s="1" t="s">
        <v>1547</v>
      </c>
      <c r="F650" t="s">
        <v>11</v>
      </c>
      <c r="G650" s="2">
        <v>44224.315810185188</v>
      </c>
    </row>
    <row r="651" spans="1:7" ht="15" customHeight="1" x14ac:dyDescent="0.3">
      <c r="A651">
        <v>1354170</v>
      </c>
      <c r="B651" t="s">
        <v>226</v>
      </c>
      <c r="C651" t="s">
        <v>1008</v>
      </c>
      <c r="D651" t="s">
        <v>1156</v>
      </c>
      <c r="E651" s="1" t="s">
        <v>1157</v>
      </c>
      <c r="F651" t="s">
        <v>1158</v>
      </c>
      <c r="G651" s="2">
        <v>44224.000081018516</v>
      </c>
    </row>
    <row r="652" spans="1:7" ht="15" customHeight="1" x14ac:dyDescent="0.3">
      <c r="A652">
        <v>1354168</v>
      </c>
      <c r="B652" t="s">
        <v>184</v>
      </c>
      <c r="C652" t="s">
        <v>1428</v>
      </c>
      <c r="D652" t="s">
        <v>1156</v>
      </c>
      <c r="E652" s="1" t="s">
        <v>1157</v>
      </c>
      <c r="F652" t="s">
        <v>1158</v>
      </c>
      <c r="G652" s="2">
        <v>44224.000069444446</v>
      </c>
    </row>
    <row r="653" spans="1:7" ht="15" customHeight="1" x14ac:dyDescent="0.3">
      <c r="A653">
        <v>1354167</v>
      </c>
      <c r="B653" t="s">
        <v>917</v>
      </c>
      <c r="C653" t="s">
        <v>1548</v>
      </c>
      <c r="D653" t="s">
        <v>1429</v>
      </c>
      <c r="E653" s="1" t="s">
        <v>1160</v>
      </c>
      <c r="F653" t="s">
        <v>1158</v>
      </c>
      <c r="G653" s="2">
        <v>44224.000069444446</v>
      </c>
    </row>
    <row r="654" spans="1:7" ht="15" customHeight="1" x14ac:dyDescent="0.3">
      <c r="A654">
        <v>1354166</v>
      </c>
      <c r="B654" t="s">
        <v>184</v>
      </c>
      <c r="C654" t="s">
        <v>1069</v>
      </c>
      <c r="D654" t="s">
        <v>1429</v>
      </c>
      <c r="E654" s="1" t="s">
        <v>1160</v>
      </c>
      <c r="F654" t="s">
        <v>1158</v>
      </c>
      <c r="G654" s="2">
        <v>44224.000057870369</v>
      </c>
    </row>
    <row r="655" spans="1:7" ht="15" customHeight="1" x14ac:dyDescent="0.3">
      <c r="A655">
        <v>1353939</v>
      </c>
      <c r="B655" t="s">
        <v>157</v>
      </c>
      <c r="C655" t="s">
        <v>627</v>
      </c>
      <c r="D655" t="s">
        <v>1549</v>
      </c>
      <c r="E655" s="1" t="s">
        <v>1550</v>
      </c>
      <c r="F655" t="s">
        <v>11</v>
      </c>
      <c r="G655" s="2">
        <v>44223.708958333336</v>
      </c>
    </row>
    <row r="656" spans="1:7" ht="15" customHeight="1" x14ac:dyDescent="0.3">
      <c r="A656">
        <v>1353931</v>
      </c>
      <c r="B656" t="s">
        <v>157</v>
      </c>
      <c r="C656" t="s">
        <v>1551</v>
      </c>
      <c r="D656" t="s">
        <v>1552</v>
      </c>
      <c r="E656" s="1" t="s">
        <v>1553</v>
      </c>
      <c r="F656" t="s">
        <v>11</v>
      </c>
      <c r="G656" s="2">
        <v>44223.693148148152</v>
      </c>
    </row>
    <row r="657" spans="1:7" ht="15" customHeight="1" x14ac:dyDescent="0.3">
      <c r="A657">
        <v>1353925</v>
      </c>
      <c r="B657" t="s">
        <v>157</v>
      </c>
      <c r="C657" t="s">
        <v>627</v>
      </c>
      <c r="D657" t="s">
        <v>1554</v>
      </c>
      <c r="E657" s="1" t="s">
        <v>1555</v>
      </c>
      <c r="F657" t="s">
        <v>24</v>
      </c>
      <c r="G657" s="2">
        <v>44223.683437500003</v>
      </c>
    </row>
    <row r="658" spans="1:7" ht="15" customHeight="1" x14ac:dyDescent="0.3">
      <c r="A658">
        <v>1353921</v>
      </c>
      <c r="B658" t="s">
        <v>118</v>
      </c>
      <c r="C658" t="s">
        <v>200</v>
      </c>
      <c r="D658" t="s">
        <v>1556</v>
      </c>
      <c r="E658" s="1" t="s">
        <v>1557</v>
      </c>
      <c r="F658" t="s">
        <v>11</v>
      </c>
      <c r="G658" s="2">
        <v>44223.678425925929</v>
      </c>
    </row>
    <row r="659" spans="1:7" ht="15" customHeight="1" x14ac:dyDescent="0.3">
      <c r="A659">
        <v>1353912</v>
      </c>
      <c r="B659" t="s">
        <v>74</v>
      </c>
      <c r="C659" t="s">
        <v>450</v>
      </c>
      <c r="D659" t="s">
        <v>1558</v>
      </c>
      <c r="E659" s="1" t="s">
        <v>1559</v>
      </c>
      <c r="F659" t="s">
        <v>24</v>
      </c>
      <c r="G659" s="2">
        <v>44223.662418981483</v>
      </c>
    </row>
    <row r="660" spans="1:7" ht="15" customHeight="1" x14ac:dyDescent="0.3">
      <c r="A660">
        <v>1353907</v>
      </c>
      <c r="B660" t="s">
        <v>157</v>
      </c>
      <c r="C660" t="s">
        <v>414</v>
      </c>
      <c r="D660" t="s">
        <v>1560</v>
      </c>
      <c r="E660" s="1" t="s">
        <v>1561</v>
      </c>
      <c r="F660" t="s">
        <v>11</v>
      </c>
      <c r="G660" s="2">
        <v>44223.656851851854</v>
      </c>
    </row>
    <row r="661" spans="1:7" ht="15" customHeight="1" x14ac:dyDescent="0.3">
      <c r="A661">
        <v>1353905</v>
      </c>
      <c r="B661" t="s">
        <v>297</v>
      </c>
      <c r="C661" t="s">
        <v>298</v>
      </c>
      <c r="D661" t="s">
        <v>1562</v>
      </c>
      <c r="E661" s="1" t="s">
        <v>1563</v>
      </c>
      <c r="F661" t="s">
        <v>11</v>
      </c>
      <c r="G661" s="2">
        <v>44223.652245370373</v>
      </c>
    </row>
    <row r="662" spans="1:7" ht="15" customHeight="1" x14ac:dyDescent="0.3">
      <c r="A662">
        <v>1353904</v>
      </c>
      <c r="B662" t="s">
        <v>87</v>
      </c>
      <c r="C662" t="s">
        <v>1564</v>
      </c>
      <c r="D662" t="s">
        <v>1565</v>
      </c>
      <c r="E662" s="1" t="s">
        <v>1566</v>
      </c>
      <c r="F662" t="s">
        <v>11</v>
      </c>
      <c r="G662" s="2">
        <v>44223.651180555556</v>
      </c>
    </row>
    <row r="663" spans="1:7" ht="15" customHeight="1" x14ac:dyDescent="0.3">
      <c r="A663">
        <v>1353902</v>
      </c>
      <c r="B663" t="s">
        <v>982</v>
      </c>
      <c r="C663" t="s">
        <v>1567</v>
      </c>
      <c r="D663" t="s">
        <v>1568</v>
      </c>
      <c r="E663" s="1" t="s">
        <v>1569</v>
      </c>
      <c r="F663" t="s">
        <v>24</v>
      </c>
      <c r="G663" s="2">
        <v>44223.643368055556</v>
      </c>
    </row>
    <row r="664" spans="1:7" ht="15" customHeight="1" x14ac:dyDescent="0.3">
      <c r="A664">
        <v>1353896</v>
      </c>
      <c r="B664" t="s">
        <v>95</v>
      </c>
      <c r="C664" t="s">
        <v>129</v>
      </c>
      <c r="D664" t="s">
        <v>1570</v>
      </c>
      <c r="E664" s="1" t="s">
        <v>1571</v>
      </c>
      <c r="F664" t="s">
        <v>11</v>
      </c>
      <c r="G664" s="2">
        <v>44223.632199074076</v>
      </c>
    </row>
    <row r="665" spans="1:7" ht="15" customHeight="1" x14ac:dyDescent="0.3">
      <c r="A665">
        <v>1353887</v>
      </c>
      <c r="B665" t="s">
        <v>45</v>
      </c>
      <c r="C665" t="s">
        <v>1472</v>
      </c>
      <c r="D665" t="s">
        <v>1572</v>
      </c>
      <c r="E665" s="1" t="s">
        <v>1573</v>
      </c>
      <c r="F665" t="s">
        <v>11</v>
      </c>
      <c r="G665" s="2">
        <v>44223.62431712963</v>
      </c>
    </row>
    <row r="666" spans="1:7" ht="15" customHeight="1" x14ac:dyDescent="0.3">
      <c r="A666">
        <v>1353882</v>
      </c>
      <c r="B666" t="s">
        <v>1574</v>
      </c>
      <c r="C666" t="s">
        <v>1575</v>
      </c>
      <c r="D666" t="s">
        <v>1576</v>
      </c>
      <c r="E666" s="1" t="s">
        <v>1577</v>
      </c>
      <c r="F666" t="s">
        <v>11</v>
      </c>
      <c r="G666" s="2">
        <v>44223.61791666667</v>
      </c>
    </row>
    <row r="667" spans="1:7" ht="15" customHeight="1" x14ac:dyDescent="0.3">
      <c r="A667">
        <v>1353877</v>
      </c>
      <c r="B667" t="s">
        <v>489</v>
      </c>
      <c r="C667" t="s">
        <v>490</v>
      </c>
      <c r="D667" t="s">
        <v>1578</v>
      </c>
      <c r="E667" s="1" t="s">
        <v>1579</v>
      </c>
      <c r="F667" t="s">
        <v>11</v>
      </c>
      <c r="G667" s="2">
        <v>44223.599351851852</v>
      </c>
    </row>
    <row r="668" spans="1:7" ht="15" customHeight="1" x14ac:dyDescent="0.3">
      <c r="A668">
        <v>1353875</v>
      </c>
      <c r="B668" t="s">
        <v>350</v>
      </c>
      <c r="C668" t="s">
        <v>351</v>
      </c>
      <c r="D668" t="s">
        <v>1580</v>
      </c>
      <c r="E668" s="1" t="s">
        <v>1581</v>
      </c>
      <c r="F668" t="s">
        <v>11</v>
      </c>
      <c r="G668" s="2">
        <v>44223.596736111111</v>
      </c>
    </row>
    <row r="669" spans="1:7" ht="15" customHeight="1" x14ac:dyDescent="0.3">
      <c r="A669">
        <v>1353865</v>
      </c>
      <c r="B669" t="s">
        <v>20</v>
      </c>
      <c r="C669" t="s">
        <v>57</v>
      </c>
      <c r="D669" t="s">
        <v>1582</v>
      </c>
      <c r="E669" s="1" t="s">
        <v>1583</v>
      </c>
      <c r="F669" t="s">
        <v>24</v>
      </c>
      <c r="G669" s="2">
        <v>44223.580543981479</v>
      </c>
    </row>
    <row r="670" spans="1:7" ht="15" customHeight="1" x14ac:dyDescent="0.3">
      <c r="A670">
        <v>1353861</v>
      </c>
      <c r="B670" t="s">
        <v>157</v>
      </c>
      <c r="C670" t="s">
        <v>480</v>
      </c>
      <c r="D670" t="s">
        <v>1584</v>
      </c>
      <c r="E670" s="1" t="s">
        <v>1585</v>
      </c>
      <c r="F670" t="s">
        <v>11</v>
      </c>
      <c r="G670" s="2">
        <v>44223.575312499997</v>
      </c>
    </row>
    <row r="671" spans="1:7" ht="15" customHeight="1" x14ac:dyDescent="0.3">
      <c r="A671">
        <v>1353854</v>
      </c>
      <c r="B671" t="s">
        <v>45</v>
      </c>
      <c r="C671" t="s">
        <v>1586</v>
      </c>
      <c r="D671" t="s">
        <v>1587</v>
      </c>
      <c r="E671" t="s">
        <v>1588</v>
      </c>
      <c r="F671" t="s">
        <v>11</v>
      </c>
      <c r="G671" s="2">
        <v>44223.562152777777</v>
      </c>
    </row>
    <row r="672" spans="1:7" ht="15" customHeight="1" x14ac:dyDescent="0.3">
      <c r="A672">
        <v>1353845</v>
      </c>
      <c r="B672" t="s">
        <v>45</v>
      </c>
      <c r="C672" t="s">
        <v>1589</v>
      </c>
      <c r="D672" t="s">
        <v>1590</v>
      </c>
      <c r="E672" s="1" t="s">
        <v>1591</v>
      </c>
      <c r="F672" t="s">
        <v>11</v>
      </c>
      <c r="G672" s="2">
        <v>44223.553368055553</v>
      </c>
    </row>
    <row r="673" spans="1:7" ht="15" customHeight="1" x14ac:dyDescent="0.3">
      <c r="A673">
        <v>1353837</v>
      </c>
      <c r="B673" t="s">
        <v>63</v>
      </c>
      <c r="C673" t="s">
        <v>1524</v>
      </c>
      <c r="D673" t="s">
        <v>1592</v>
      </c>
      <c r="E673" s="1" t="s">
        <v>1593</v>
      </c>
      <c r="F673" t="s">
        <v>11</v>
      </c>
      <c r="G673" s="2">
        <v>44223.547361111108</v>
      </c>
    </row>
    <row r="674" spans="1:7" ht="15" customHeight="1" x14ac:dyDescent="0.3">
      <c r="A674">
        <v>1353834</v>
      </c>
      <c r="B674" t="s">
        <v>431</v>
      </c>
      <c r="C674" t="s">
        <v>432</v>
      </c>
      <c r="D674" t="s">
        <v>1594</v>
      </c>
      <c r="E674" s="1" t="s">
        <v>1595</v>
      </c>
      <c r="F674" t="s">
        <v>11</v>
      </c>
      <c r="G674" s="2">
        <v>44223.533877314818</v>
      </c>
    </row>
    <row r="675" spans="1:7" ht="15" customHeight="1" x14ac:dyDescent="0.3">
      <c r="A675">
        <v>1353827</v>
      </c>
      <c r="B675" t="s">
        <v>20</v>
      </c>
      <c r="C675" t="s">
        <v>1596</v>
      </c>
      <c r="D675" t="s">
        <v>1597</v>
      </c>
      <c r="E675" s="1" t="s">
        <v>1598</v>
      </c>
      <c r="F675" t="s">
        <v>11</v>
      </c>
      <c r="G675" s="2">
        <v>44223.508055555554</v>
      </c>
    </row>
    <row r="676" spans="1:7" ht="15" customHeight="1" x14ac:dyDescent="0.3">
      <c r="A676">
        <v>1353826</v>
      </c>
      <c r="B676" t="s">
        <v>746</v>
      </c>
      <c r="C676" t="s">
        <v>888</v>
      </c>
      <c r="D676" t="s">
        <v>1599</v>
      </c>
      <c r="E676" s="1" t="s">
        <v>1600</v>
      </c>
      <c r="F676" t="s">
        <v>11</v>
      </c>
      <c r="G676" s="2">
        <v>44223.505787037036</v>
      </c>
    </row>
    <row r="677" spans="1:7" ht="15" customHeight="1" x14ac:dyDescent="0.3">
      <c r="A677">
        <v>1353824</v>
      </c>
      <c r="B677" t="s">
        <v>177</v>
      </c>
      <c r="C677" t="s">
        <v>1601</v>
      </c>
      <c r="D677" t="s">
        <v>1602</v>
      </c>
      <c r="E677" t="s">
        <v>1603</v>
      </c>
      <c r="F677" t="s">
        <v>24</v>
      </c>
      <c r="G677" s="2">
        <v>44223.50403935185</v>
      </c>
    </row>
    <row r="678" spans="1:7" ht="15" customHeight="1" x14ac:dyDescent="0.3">
      <c r="A678">
        <v>1353821</v>
      </c>
      <c r="B678" t="s">
        <v>1038</v>
      </c>
      <c r="C678" t="s">
        <v>1604</v>
      </c>
      <c r="D678" t="s">
        <v>1605</v>
      </c>
      <c r="E678" s="1" t="s">
        <v>1606</v>
      </c>
      <c r="F678" t="s">
        <v>11</v>
      </c>
      <c r="G678" s="2">
        <v>44223.498726851853</v>
      </c>
    </row>
    <row r="679" spans="1:7" ht="15" customHeight="1" x14ac:dyDescent="0.3">
      <c r="A679">
        <v>1353817</v>
      </c>
      <c r="B679" t="s">
        <v>431</v>
      </c>
      <c r="C679" t="s">
        <v>432</v>
      </c>
      <c r="D679" t="s">
        <v>1607</v>
      </c>
      <c r="E679" s="1" t="s">
        <v>1608</v>
      </c>
      <c r="F679" t="s">
        <v>11</v>
      </c>
      <c r="G679" s="2">
        <v>44223.482766203706</v>
      </c>
    </row>
    <row r="680" spans="1:7" ht="15" customHeight="1" x14ac:dyDescent="0.3">
      <c r="A680">
        <v>1353808</v>
      </c>
      <c r="B680" t="s">
        <v>1609</v>
      </c>
      <c r="C680" t="s">
        <v>1610</v>
      </c>
      <c r="D680" t="s">
        <v>1611</v>
      </c>
      <c r="E680" s="1" t="s">
        <v>1612</v>
      </c>
      <c r="F680" t="s">
        <v>11</v>
      </c>
      <c r="G680" s="2">
        <v>44223.456122685187</v>
      </c>
    </row>
    <row r="681" spans="1:7" ht="15" customHeight="1" x14ac:dyDescent="0.3">
      <c r="A681">
        <v>1353804</v>
      </c>
      <c r="B681" t="s">
        <v>318</v>
      </c>
      <c r="C681" t="s">
        <v>319</v>
      </c>
      <c r="D681" t="s">
        <v>1613</v>
      </c>
      <c r="E681" s="1" t="s">
        <v>1614</v>
      </c>
      <c r="F681" t="s">
        <v>11</v>
      </c>
      <c r="G681" s="2">
        <v>44223.444131944445</v>
      </c>
    </row>
    <row r="682" spans="1:7" ht="15" customHeight="1" x14ac:dyDescent="0.3">
      <c r="A682">
        <v>1353802</v>
      </c>
      <c r="B682" t="s">
        <v>20</v>
      </c>
      <c r="C682" t="s">
        <v>136</v>
      </c>
      <c r="D682" t="s">
        <v>1615</v>
      </c>
      <c r="E682" s="1" t="s">
        <v>1616</v>
      </c>
      <c r="F682" t="s">
        <v>24</v>
      </c>
      <c r="G682" s="2">
        <v>44223.442407407405</v>
      </c>
    </row>
    <row r="683" spans="1:7" ht="15" customHeight="1" x14ac:dyDescent="0.3">
      <c r="A683">
        <v>1353763</v>
      </c>
      <c r="B683" t="s">
        <v>177</v>
      </c>
      <c r="C683" t="s">
        <v>247</v>
      </c>
      <c r="D683" t="s">
        <v>1617</v>
      </c>
      <c r="E683" s="1" t="s">
        <v>1618</v>
      </c>
      <c r="F683" t="s">
        <v>24</v>
      </c>
      <c r="G683" s="2">
        <v>44223.407175925924</v>
      </c>
    </row>
    <row r="684" spans="1:7" ht="15" customHeight="1" x14ac:dyDescent="0.3">
      <c r="A684">
        <v>1353754</v>
      </c>
      <c r="B684" t="s">
        <v>7</v>
      </c>
      <c r="C684" t="s">
        <v>1619</v>
      </c>
      <c r="D684" t="s">
        <v>1620</v>
      </c>
      <c r="E684" s="1" t="s">
        <v>1621</v>
      </c>
      <c r="F684" t="s">
        <v>24</v>
      </c>
      <c r="G684" s="2">
        <v>44223.393067129633</v>
      </c>
    </row>
    <row r="685" spans="1:7" ht="15" customHeight="1" x14ac:dyDescent="0.3">
      <c r="A685">
        <v>1353750</v>
      </c>
      <c r="B685" t="s">
        <v>32</v>
      </c>
      <c r="C685" t="s">
        <v>1622</v>
      </c>
      <c r="D685" t="s">
        <v>1623</v>
      </c>
      <c r="E685" s="1" t="s">
        <v>1624</v>
      </c>
      <c r="F685" t="s">
        <v>11</v>
      </c>
      <c r="G685" s="2">
        <v>44223.383923611109</v>
      </c>
    </row>
    <row r="686" spans="1:7" ht="15" customHeight="1" x14ac:dyDescent="0.3">
      <c r="A686">
        <v>1353749</v>
      </c>
      <c r="B686" t="s">
        <v>350</v>
      </c>
      <c r="C686" t="s">
        <v>351</v>
      </c>
      <c r="D686" t="s">
        <v>1625</v>
      </c>
      <c r="E686" s="1" t="s">
        <v>1626</v>
      </c>
      <c r="F686" t="s">
        <v>24</v>
      </c>
      <c r="G686" s="2">
        <v>44223.382986111108</v>
      </c>
    </row>
    <row r="687" spans="1:7" ht="15" customHeight="1" x14ac:dyDescent="0.3">
      <c r="A687">
        <v>1353744</v>
      </c>
      <c r="B687" t="s">
        <v>177</v>
      </c>
      <c r="C687" t="s">
        <v>178</v>
      </c>
      <c r="D687" t="s">
        <v>1627</v>
      </c>
      <c r="E687" s="1" t="s">
        <v>1628</v>
      </c>
      <c r="F687" t="s">
        <v>24</v>
      </c>
      <c r="G687" s="2">
        <v>44223.371354166666</v>
      </c>
    </row>
    <row r="688" spans="1:7" ht="15" customHeight="1" x14ac:dyDescent="0.3">
      <c r="A688">
        <v>1353739</v>
      </c>
      <c r="B688" t="s">
        <v>553</v>
      </c>
      <c r="C688" t="s">
        <v>1629</v>
      </c>
      <c r="D688" t="s">
        <v>1630</v>
      </c>
      <c r="E688" s="1" t="s">
        <v>1631</v>
      </c>
      <c r="F688" t="s">
        <v>11</v>
      </c>
      <c r="G688" s="2">
        <v>44223.364166666666</v>
      </c>
    </row>
    <row r="689" spans="1:7" ht="15" customHeight="1" x14ac:dyDescent="0.3">
      <c r="A689">
        <v>1353731</v>
      </c>
      <c r="B689" t="s">
        <v>16</v>
      </c>
      <c r="C689" t="s">
        <v>1503</v>
      </c>
      <c r="D689" t="s">
        <v>1632</v>
      </c>
      <c r="E689" s="1" t="s">
        <v>1633</v>
      </c>
      <c r="F689" t="s">
        <v>11</v>
      </c>
      <c r="G689" s="2">
        <v>44223.347905092596</v>
      </c>
    </row>
    <row r="690" spans="1:7" ht="15" customHeight="1" x14ac:dyDescent="0.3">
      <c r="A690">
        <v>1353728</v>
      </c>
      <c r="B690" t="s">
        <v>74</v>
      </c>
      <c r="C690" t="s">
        <v>450</v>
      </c>
      <c r="D690" t="s">
        <v>1634</v>
      </c>
      <c r="E690" s="1" t="s">
        <v>1635</v>
      </c>
      <c r="F690" t="s">
        <v>11</v>
      </c>
      <c r="G690" s="2">
        <v>44223.346354166664</v>
      </c>
    </row>
    <row r="691" spans="1:7" ht="15" customHeight="1" x14ac:dyDescent="0.3">
      <c r="A691">
        <v>1353699</v>
      </c>
      <c r="B691" t="s">
        <v>157</v>
      </c>
      <c r="C691" t="s">
        <v>627</v>
      </c>
      <c r="D691" t="s">
        <v>1636</v>
      </c>
      <c r="E691" s="1" t="s">
        <v>1637</v>
      </c>
      <c r="F691" t="s">
        <v>24</v>
      </c>
      <c r="G691" s="2">
        <v>44223.330150462964</v>
      </c>
    </row>
    <row r="692" spans="1:7" ht="15" customHeight="1" x14ac:dyDescent="0.3">
      <c r="A692">
        <v>1353553</v>
      </c>
      <c r="B692" t="s">
        <v>1010</v>
      </c>
      <c r="C692" t="s">
        <v>1011</v>
      </c>
      <c r="D692" t="s">
        <v>1638</v>
      </c>
      <c r="E692" s="1" t="s">
        <v>1160</v>
      </c>
      <c r="F692" t="s">
        <v>1158</v>
      </c>
      <c r="G692" s="2">
        <v>44223.000069444446</v>
      </c>
    </row>
    <row r="693" spans="1:7" ht="15" customHeight="1" x14ac:dyDescent="0.3">
      <c r="A693">
        <v>1353552</v>
      </c>
      <c r="B693" t="s">
        <v>1639</v>
      </c>
      <c r="C693" t="s">
        <v>1640</v>
      </c>
      <c r="D693" t="s">
        <v>1638</v>
      </c>
      <c r="E693" s="1" t="s">
        <v>1160</v>
      </c>
      <c r="F693" t="s">
        <v>1158</v>
      </c>
      <c r="G693" s="2">
        <v>44223.000069444446</v>
      </c>
    </row>
    <row r="694" spans="1:7" ht="15" customHeight="1" x14ac:dyDescent="0.3">
      <c r="A694">
        <v>1353328</v>
      </c>
      <c r="B694" t="s">
        <v>503</v>
      </c>
      <c r="D694" t="s">
        <v>1641</v>
      </c>
      <c r="E694" s="1" t="s">
        <v>1642</v>
      </c>
      <c r="F694" t="s">
        <v>11</v>
      </c>
      <c r="G694" s="2">
        <v>44222.721504629626</v>
      </c>
    </row>
    <row r="695" spans="1:7" ht="15" customHeight="1" x14ac:dyDescent="0.3">
      <c r="A695">
        <v>1353320</v>
      </c>
      <c r="B695" t="s">
        <v>36</v>
      </c>
      <c r="C695" t="s">
        <v>124</v>
      </c>
      <c r="D695" t="s">
        <v>1643</v>
      </c>
      <c r="E695" s="1" t="s">
        <v>1644</v>
      </c>
      <c r="F695" t="s">
        <v>24</v>
      </c>
      <c r="G695" s="2">
        <v>44222.718321759261</v>
      </c>
    </row>
    <row r="696" spans="1:7" ht="15" customHeight="1" x14ac:dyDescent="0.3">
      <c r="A696">
        <v>1353317</v>
      </c>
      <c r="B696" t="s">
        <v>157</v>
      </c>
      <c r="C696" t="s">
        <v>1178</v>
      </c>
      <c r="D696" t="s">
        <v>1645</v>
      </c>
      <c r="E696" s="1" t="s">
        <v>1646</v>
      </c>
      <c r="F696" t="s">
        <v>11</v>
      </c>
      <c r="G696" s="2">
        <v>44222.710648148146</v>
      </c>
    </row>
    <row r="697" spans="1:7" ht="15" customHeight="1" x14ac:dyDescent="0.3">
      <c r="A697">
        <v>1353309</v>
      </c>
      <c r="B697" t="s">
        <v>214</v>
      </c>
      <c r="C697" t="s">
        <v>1647</v>
      </c>
      <c r="D697" t="s">
        <v>1648</v>
      </c>
      <c r="E697" s="1" t="s">
        <v>1649</v>
      </c>
      <c r="F697" t="s">
        <v>11</v>
      </c>
      <c r="G697" s="2">
        <v>44222.695648148147</v>
      </c>
    </row>
    <row r="698" spans="1:7" ht="15" customHeight="1" x14ac:dyDescent="0.3">
      <c r="A698">
        <v>1353303</v>
      </c>
      <c r="B698" t="s">
        <v>36</v>
      </c>
      <c r="C698" t="s">
        <v>578</v>
      </c>
      <c r="D698" t="s">
        <v>1650</v>
      </c>
      <c r="E698" s="1" t="s">
        <v>1651</v>
      </c>
      <c r="F698" t="s">
        <v>24</v>
      </c>
      <c r="G698" s="2">
        <v>44222.68712962963</v>
      </c>
    </row>
    <row r="699" spans="1:7" ht="15" customHeight="1" x14ac:dyDescent="0.3">
      <c r="A699">
        <v>1353298</v>
      </c>
      <c r="B699" t="s">
        <v>32</v>
      </c>
      <c r="C699" t="s">
        <v>463</v>
      </c>
      <c r="D699" t="s">
        <v>1652</v>
      </c>
      <c r="E699" s="1" t="s">
        <v>1653</v>
      </c>
      <c r="F699" t="s">
        <v>11</v>
      </c>
      <c r="G699" s="2">
        <v>44222.673738425925</v>
      </c>
    </row>
    <row r="700" spans="1:7" ht="15" customHeight="1" x14ac:dyDescent="0.3">
      <c r="A700">
        <v>1353293</v>
      </c>
      <c r="B700" t="s">
        <v>7</v>
      </c>
      <c r="C700" t="s">
        <v>107</v>
      </c>
      <c r="D700" t="s">
        <v>1654</v>
      </c>
      <c r="E700" s="1" t="s">
        <v>1655</v>
      </c>
      <c r="F700" t="s">
        <v>11</v>
      </c>
      <c r="G700" s="2">
        <v>44222.665370370371</v>
      </c>
    </row>
    <row r="701" spans="1:7" ht="15" customHeight="1" x14ac:dyDescent="0.3">
      <c r="A701">
        <v>1353271</v>
      </c>
      <c r="B701" t="s">
        <v>74</v>
      </c>
      <c r="C701" t="s">
        <v>1656</v>
      </c>
      <c r="D701" t="s">
        <v>1657</v>
      </c>
      <c r="E701" s="1" t="s">
        <v>1658</v>
      </c>
      <c r="F701" t="s">
        <v>11</v>
      </c>
      <c r="G701" s="2">
        <v>44222.630752314813</v>
      </c>
    </row>
    <row r="702" spans="1:7" ht="15" customHeight="1" x14ac:dyDescent="0.3">
      <c r="A702">
        <v>1353269</v>
      </c>
      <c r="B702" t="s">
        <v>74</v>
      </c>
      <c r="C702" t="s">
        <v>450</v>
      </c>
      <c r="D702" t="s">
        <v>1659</v>
      </c>
      <c r="E702" s="1" t="s">
        <v>1660</v>
      </c>
      <c r="F702" t="s">
        <v>11</v>
      </c>
      <c r="G702" s="2">
        <v>44222.629675925928</v>
      </c>
    </row>
    <row r="703" spans="1:7" ht="15" customHeight="1" x14ac:dyDescent="0.3">
      <c r="A703">
        <v>1353265</v>
      </c>
      <c r="B703" t="s">
        <v>489</v>
      </c>
      <c r="C703" t="s">
        <v>1661</v>
      </c>
      <c r="D703" t="s">
        <v>1662</v>
      </c>
      <c r="E703" s="1" t="s">
        <v>1663</v>
      </c>
      <c r="F703" t="s">
        <v>11</v>
      </c>
      <c r="G703" s="2">
        <v>44222.626493055555</v>
      </c>
    </row>
    <row r="704" spans="1:7" ht="15" customHeight="1" x14ac:dyDescent="0.3">
      <c r="A704">
        <v>1353256</v>
      </c>
      <c r="B704" t="s">
        <v>74</v>
      </c>
      <c r="C704" t="s">
        <v>75</v>
      </c>
      <c r="D704" t="s">
        <v>1664</v>
      </c>
      <c r="E704" s="1" t="s">
        <v>1665</v>
      </c>
      <c r="F704" t="s">
        <v>11</v>
      </c>
      <c r="G704" s="2">
        <v>44222.614317129628</v>
      </c>
    </row>
    <row r="705" spans="1:7" ht="15" customHeight="1" x14ac:dyDescent="0.3">
      <c r="A705">
        <v>1353246</v>
      </c>
      <c r="B705" t="s">
        <v>36</v>
      </c>
      <c r="C705" t="s">
        <v>1666</v>
      </c>
      <c r="D705" t="s">
        <v>1667</v>
      </c>
      <c r="E705" s="1" t="s">
        <v>1668</v>
      </c>
      <c r="F705" t="s">
        <v>11</v>
      </c>
      <c r="G705" s="2">
        <v>44222.596828703703</v>
      </c>
    </row>
    <row r="706" spans="1:7" ht="15" customHeight="1" x14ac:dyDescent="0.3">
      <c r="A706">
        <v>1353224</v>
      </c>
      <c r="B706" t="s">
        <v>74</v>
      </c>
      <c r="C706" t="s">
        <v>1669</v>
      </c>
      <c r="D706" t="s">
        <v>1670</v>
      </c>
      <c r="E706" s="1" t="s">
        <v>1671</v>
      </c>
      <c r="F706" t="s">
        <v>11</v>
      </c>
      <c r="G706" s="2">
        <v>44222.56722222222</v>
      </c>
    </row>
    <row r="707" spans="1:7" ht="15" customHeight="1" x14ac:dyDescent="0.3">
      <c r="A707">
        <v>1353220</v>
      </c>
      <c r="B707" t="s">
        <v>36</v>
      </c>
      <c r="C707" t="s">
        <v>124</v>
      </c>
      <c r="D707" t="s">
        <v>1672</v>
      </c>
      <c r="E707" s="1" t="s">
        <v>1673</v>
      </c>
      <c r="F707" t="s">
        <v>24</v>
      </c>
      <c r="G707" s="2">
        <v>44222.563078703701</v>
      </c>
    </row>
    <row r="708" spans="1:7" ht="15" customHeight="1" x14ac:dyDescent="0.3">
      <c r="A708">
        <v>1353216</v>
      </c>
      <c r="B708" t="s">
        <v>157</v>
      </c>
      <c r="C708" t="s">
        <v>414</v>
      </c>
      <c r="D708" t="s">
        <v>1674</v>
      </c>
      <c r="E708" s="1" t="s">
        <v>1675</v>
      </c>
      <c r="F708" t="s">
        <v>11</v>
      </c>
      <c r="G708" s="2">
        <v>44222.549687500003</v>
      </c>
    </row>
    <row r="709" spans="1:7" ht="15" customHeight="1" x14ac:dyDescent="0.3">
      <c r="A709">
        <v>1353214</v>
      </c>
      <c r="B709" t="s">
        <v>1021</v>
      </c>
      <c r="C709" t="s">
        <v>1022</v>
      </c>
      <c r="D709" t="s">
        <v>1676</v>
      </c>
      <c r="E709" s="1" t="s">
        <v>1677</v>
      </c>
      <c r="F709" t="s">
        <v>11</v>
      </c>
      <c r="G709" s="2">
        <v>44222.545300925929</v>
      </c>
    </row>
    <row r="710" spans="1:7" ht="15" customHeight="1" x14ac:dyDescent="0.3">
      <c r="A710">
        <v>1353212</v>
      </c>
      <c r="B710" t="s">
        <v>12</v>
      </c>
      <c r="C710" t="s">
        <v>1678</v>
      </c>
      <c r="D710" t="s">
        <v>1679</v>
      </c>
      <c r="E710" s="1" t="s">
        <v>1680</v>
      </c>
      <c r="F710" t="s">
        <v>11</v>
      </c>
      <c r="G710" s="2">
        <v>44222.543981481482</v>
      </c>
    </row>
    <row r="711" spans="1:7" ht="15" customHeight="1" x14ac:dyDescent="0.3">
      <c r="A711">
        <v>1353201</v>
      </c>
      <c r="B711" t="s">
        <v>746</v>
      </c>
      <c r="C711" t="s">
        <v>1681</v>
      </c>
      <c r="D711" t="s">
        <v>1682</v>
      </c>
      <c r="E711" s="1" t="s">
        <v>1683</v>
      </c>
      <c r="F711" t="s">
        <v>24</v>
      </c>
      <c r="G711" s="2">
        <v>44222.530543981484</v>
      </c>
    </row>
    <row r="712" spans="1:7" ht="15" customHeight="1" x14ac:dyDescent="0.3">
      <c r="A712">
        <v>1353200</v>
      </c>
      <c r="B712" t="s">
        <v>1684</v>
      </c>
      <c r="C712" t="s">
        <v>1685</v>
      </c>
      <c r="D712" t="s">
        <v>1686</v>
      </c>
      <c r="E712" s="1" t="s">
        <v>1687</v>
      </c>
      <c r="F712" t="s">
        <v>11</v>
      </c>
      <c r="G712" s="2">
        <v>44222.528796296298</v>
      </c>
    </row>
    <row r="713" spans="1:7" ht="15" customHeight="1" x14ac:dyDescent="0.3">
      <c r="A713">
        <v>1353191</v>
      </c>
      <c r="B713" t="s">
        <v>545</v>
      </c>
      <c r="C713" t="s">
        <v>1058</v>
      </c>
      <c r="D713" t="s">
        <v>1688</v>
      </c>
      <c r="E713" s="1" t="s">
        <v>1689</v>
      </c>
      <c r="F713" t="s">
        <v>24</v>
      </c>
      <c r="G713" s="2">
        <v>44222.515625</v>
      </c>
    </row>
    <row r="714" spans="1:7" ht="15" customHeight="1" x14ac:dyDescent="0.3">
      <c r="A714">
        <v>1353189</v>
      </c>
      <c r="B714" t="s">
        <v>435</v>
      </c>
      <c r="C714" t="s">
        <v>436</v>
      </c>
      <c r="D714" t="s">
        <v>1690</v>
      </c>
      <c r="E714" s="1" t="s">
        <v>1691</v>
      </c>
      <c r="F714" t="s">
        <v>11</v>
      </c>
      <c r="G714" s="2">
        <v>44222.506331018521</v>
      </c>
    </row>
    <row r="715" spans="1:7" ht="15" customHeight="1" x14ac:dyDescent="0.3">
      <c r="A715">
        <v>1353184</v>
      </c>
      <c r="B715" t="s">
        <v>53</v>
      </c>
      <c r="C715" t="s">
        <v>54</v>
      </c>
      <c r="D715" t="s">
        <v>1692</v>
      </c>
      <c r="E715" s="1" t="s">
        <v>1693</v>
      </c>
      <c r="F715" t="s">
        <v>11</v>
      </c>
      <c r="G715" s="2">
        <v>44222.50099537037</v>
      </c>
    </row>
    <row r="716" spans="1:7" ht="15" customHeight="1" x14ac:dyDescent="0.3">
      <c r="A716">
        <v>1353183</v>
      </c>
      <c r="B716" t="s">
        <v>331</v>
      </c>
      <c r="C716" t="s">
        <v>332</v>
      </c>
      <c r="D716" t="s">
        <v>1694</v>
      </c>
      <c r="E716" s="1" t="s">
        <v>1695</v>
      </c>
      <c r="F716" t="s">
        <v>11</v>
      </c>
      <c r="G716" s="2">
        <v>44222.500034722223</v>
      </c>
    </row>
    <row r="717" spans="1:7" ht="15" customHeight="1" x14ac:dyDescent="0.3">
      <c r="A717">
        <v>1353179</v>
      </c>
      <c r="B717" t="s">
        <v>53</v>
      </c>
      <c r="C717" t="s">
        <v>54</v>
      </c>
      <c r="D717" t="s">
        <v>1696</v>
      </c>
      <c r="E717" s="1" t="s">
        <v>1697</v>
      </c>
      <c r="F717" t="s">
        <v>11</v>
      </c>
      <c r="G717" s="2">
        <v>44222.488136574073</v>
      </c>
    </row>
    <row r="718" spans="1:7" ht="15" customHeight="1" x14ac:dyDescent="0.3">
      <c r="A718">
        <v>1353178</v>
      </c>
      <c r="B718" t="s">
        <v>184</v>
      </c>
      <c r="C718" t="s">
        <v>1698</v>
      </c>
      <c r="D718" t="s">
        <v>1699</v>
      </c>
      <c r="E718" s="1" t="s">
        <v>1700</v>
      </c>
      <c r="F718" t="s">
        <v>11</v>
      </c>
      <c r="G718" s="2">
        <v>44222.483287037037</v>
      </c>
    </row>
    <row r="719" spans="1:7" ht="15" customHeight="1" x14ac:dyDescent="0.3">
      <c r="A719">
        <v>1353171</v>
      </c>
      <c r="B719" t="s">
        <v>431</v>
      </c>
      <c r="C719" t="s">
        <v>1701</v>
      </c>
      <c r="D719" t="s">
        <v>1702</v>
      </c>
      <c r="E719" s="1" t="s">
        <v>1703</v>
      </c>
      <c r="F719" t="s">
        <v>11</v>
      </c>
      <c r="G719" s="2">
        <v>44222.460740740738</v>
      </c>
    </row>
    <row r="720" spans="1:7" ht="15" customHeight="1" x14ac:dyDescent="0.3">
      <c r="A720">
        <v>1353168</v>
      </c>
      <c r="B720" t="s">
        <v>49</v>
      </c>
      <c r="C720" t="s">
        <v>801</v>
      </c>
      <c r="D720" t="s">
        <v>1704</v>
      </c>
      <c r="E720" s="1" t="s">
        <v>1705</v>
      </c>
      <c r="F720" t="s">
        <v>11</v>
      </c>
      <c r="G720" s="2">
        <v>44222.455277777779</v>
      </c>
    </row>
    <row r="721" spans="1:7" ht="15" customHeight="1" x14ac:dyDescent="0.3">
      <c r="A721">
        <v>1353165</v>
      </c>
      <c r="B721" t="s">
        <v>7</v>
      </c>
      <c r="C721" t="s">
        <v>1407</v>
      </c>
      <c r="D721" t="s">
        <v>1706</v>
      </c>
      <c r="E721" s="1" t="s">
        <v>1707</v>
      </c>
      <c r="F721" t="s">
        <v>11</v>
      </c>
      <c r="G721" s="2">
        <v>44222.452303240738</v>
      </c>
    </row>
    <row r="722" spans="1:7" ht="15" customHeight="1" x14ac:dyDescent="0.3">
      <c r="A722">
        <v>1353164</v>
      </c>
      <c r="B722" t="s">
        <v>36</v>
      </c>
      <c r="C722" t="s">
        <v>509</v>
      </c>
      <c r="D722" t="s">
        <v>1708</v>
      </c>
      <c r="E722" s="1" t="s">
        <v>1709</v>
      </c>
      <c r="F722" t="s">
        <v>24</v>
      </c>
      <c r="G722" s="2">
        <v>44222.451932870368</v>
      </c>
    </row>
    <row r="723" spans="1:7" ht="15" customHeight="1" x14ac:dyDescent="0.3">
      <c r="A723">
        <v>1353163</v>
      </c>
      <c r="B723" t="s">
        <v>49</v>
      </c>
      <c r="C723" t="s">
        <v>315</v>
      </c>
      <c r="D723" t="s">
        <v>1710</v>
      </c>
      <c r="E723" s="1" t="s">
        <v>1711</v>
      </c>
      <c r="F723" t="s">
        <v>11</v>
      </c>
      <c r="G723" s="2">
        <v>44222.45107638889</v>
      </c>
    </row>
    <row r="724" spans="1:7" ht="15" customHeight="1" x14ac:dyDescent="0.3">
      <c r="A724">
        <v>1353157</v>
      </c>
      <c r="B724" t="s">
        <v>157</v>
      </c>
      <c r="C724" t="s">
        <v>414</v>
      </c>
      <c r="D724" t="s">
        <v>1712</v>
      </c>
      <c r="E724" s="1" t="s">
        <v>1713</v>
      </c>
      <c r="F724" t="s">
        <v>11</v>
      </c>
      <c r="G724" s="2">
        <v>44222.440196759257</v>
      </c>
    </row>
    <row r="725" spans="1:7" ht="15" customHeight="1" x14ac:dyDescent="0.3">
      <c r="A725">
        <v>1353142</v>
      </c>
      <c r="B725" t="s">
        <v>1714</v>
      </c>
      <c r="C725" t="s">
        <v>1715</v>
      </c>
      <c r="D725" t="s">
        <v>1716</v>
      </c>
      <c r="E725" s="1" t="s">
        <v>1717</v>
      </c>
      <c r="F725" t="s">
        <v>24</v>
      </c>
      <c r="G725" s="2">
        <v>44222.418796296297</v>
      </c>
    </row>
    <row r="726" spans="1:7" ht="15" customHeight="1" x14ac:dyDescent="0.3">
      <c r="A726">
        <v>1353116</v>
      </c>
      <c r="B726" t="s">
        <v>214</v>
      </c>
      <c r="C726" t="s">
        <v>215</v>
      </c>
      <c r="D726" t="s">
        <v>1718</v>
      </c>
      <c r="E726" s="1" t="s">
        <v>1719</v>
      </c>
      <c r="F726" t="s">
        <v>11</v>
      </c>
      <c r="G726" s="2">
        <v>44222.415046296293</v>
      </c>
    </row>
    <row r="727" spans="1:7" ht="15" customHeight="1" x14ac:dyDescent="0.3">
      <c r="A727">
        <v>1353114</v>
      </c>
      <c r="B727" t="s">
        <v>177</v>
      </c>
      <c r="C727" t="s">
        <v>178</v>
      </c>
      <c r="D727" t="s">
        <v>1720</v>
      </c>
      <c r="E727" s="1" t="s">
        <v>1721</v>
      </c>
      <c r="F727" t="s">
        <v>11</v>
      </c>
      <c r="G727" s="2">
        <v>44222.410810185182</v>
      </c>
    </row>
    <row r="728" spans="1:7" ht="15" customHeight="1" x14ac:dyDescent="0.3">
      <c r="A728">
        <v>1353107</v>
      </c>
      <c r="B728" t="s">
        <v>132</v>
      </c>
      <c r="C728" t="s">
        <v>1722</v>
      </c>
      <c r="D728" t="s">
        <v>1723</v>
      </c>
      <c r="E728" s="1" t="s">
        <v>1724</v>
      </c>
      <c r="F728" t="s">
        <v>11</v>
      </c>
      <c r="G728" s="2">
        <v>44222.400625000002</v>
      </c>
    </row>
    <row r="729" spans="1:7" ht="15" customHeight="1" x14ac:dyDescent="0.3">
      <c r="A729">
        <v>1353103</v>
      </c>
      <c r="B729" t="s">
        <v>410</v>
      </c>
      <c r="C729" t="s">
        <v>411</v>
      </c>
      <c r="D729" t="s">
        <v>1725</v>
      </c>
      <c r="E729" s="1" t="s">
        <v>1726</v>
      </c>
      <c r="F729" t="s">
        <v>11</v>
      </c>
      <c r="G729" s="2">
        <v>44222.393148148149</v>
      </c>
    </row>
    <row r="730" spans="1:7" ht="15" customHeight="1" x14ac:dyDescent="0.3">
      <c r="A730">
        <v>1353089</v>
      </c>
      <c r="B730" t="s">
        <v>7</v>
      </c>
      <c r="C730" t="s">
        <v>1727</v>
      </c>
      <c r="D730" t="s">
        <v>1728</v>
      </c>
      <c r="E730" s="1" t="s">
        <v>1729</v>
      </c>
      <c r="F730" t="s">
        <v>11</v>
      </c>
      <c r="G730" s="2">
        <v>44222.361111111109</v>
      </c>
    </row>
    <row r="731" spans="1:7" ht="15" customHeight="1" x14ac:dyDescent="0.3">
      <c r="A731">
        <v>1353088</v>
      </c>
      <c r="B731" t="s">
        <v>53</v>
      </c>
      <c r="C731" t="s">
        <v>54</v>
      </c>
      <c r="D731" t="s">
        <v>1730</v>
      </c>
      <c r="E731" s="1" t="s">
        <v>1731</v>
      </c>
      <c r="F731" t="s">
        <v>11</v>
      </c>
      <c r="G731" s="2">
        <v>44222.360509259262</v>
      </c>
    </row>
    <row r="732" spans="1:7" ht="15" customHeight="1" x14ac:dyDescent="0.3">
      <c r="A732">
        <v>1353070</v>
      </c>
      <c r="B732" t="s">
        <v>1169</v>
      </c>
      <c r="C732" t="s">
        <v>1170</v>
      </c>
      <c r="D732" t="s">
        <v>1732</v>
      </c>
      <c r="E732" s="1" t="s">
        <v>1733</v>
      </c>
      <c r="F732" t="s">
        <v>11</v>
      </c>
      <c r="G732" s="2">
        <v>44222.339918981481</v>
      </c>
    </row>
    <row r="733" spans="1:7" ht="15" customHeight="1" x14ac:dyDescent="0.3">
      <c r="A733">
        <v>1353055</v>
      </c>
      <c r="B733" t="s">
        <v>222</v>
      </c>
      <c r="C733" t="s">
        <v>681</v>
      </c>
      <c r="D733" t="s">
        <v>1734</v>
      </c>
      <c r="E733" s="1" t="s">
        <v>1735</v>
      </c>
      <c r="F733" t="s">
        <v>11</v>
      </c>
      <c r="G733" s="2">
        <v>44222.308668981481</v>
      </c>
    </row>
    <row r="734" spans="1:7" ht="15" customHeight="1" x14ac:dyDescent="0.3">
      <c r="A734">
        <v>1352914</v>
      </c>
      <c r="B734" t="s">
        <v>1736</v>
      </c>
      <c r="C734" t="s">
        <v>1737</v>
      </c>
      <c r="D734" t="s">
        <v>1429</v>
      </c>
      <c r="E734" s="1" t="s">
        <v>1160</v>
      </c>
      <c r="F734" t="s">
        <v>1158</v>
      </c>
      <c r="G734" s="2">
        <v>44222.000069444446</v>
      </c>
    </row>
    <row r="735" spans="1:7" ht="15" customHeight="1" x14ac:dyDescent="0.3">
      <c r="A735">
        <v>1352754</v>
      </c>
      <c r="B735" t="s">
        <v>746</v>
      </c>
      <c r="C735" t="s">
        <v>1203</v>
      </c>
      <c r="D735" t="s">
        <v>1738</v>
      </c>
      <c r="E735" s="1" t="s">
        <v>1739</v>
      </c>
      <c r="F735" t="s">
        <v>11</v>
      </c>
      <c r="G735" s="2">
        <v>44221.786909722221</v>
      </c>
    </row>
    <row r="736" spans="1:7" ht="15" customHeight="1" x14ac:dyDescent="0.3">
      <c r="A736">
        <v>1352702</v>
      </c>
      <c r="B736" t="s">
        <v>157</v>
      </c>
      <c r="C736" t="s">
        <v>1740</v>
      </c>
      <c r="D736" t="s">
        <v>1741</v>
      </c>
      <c r="E736" s="1" t="s">
        <v>1742</v>
      </c>
      <c r="F736" t="s">
        <v>11</v>
      </c>
      <c r="G736" s="2">
        <v>44221.69494212963</v>
      </c>
    </row>
    <row r="737" spans="1:7" ht="15" customHeight="1" x14ac:dyDescent="0.3">
      <c r="A737">
        <v>1352690</v>
      </c>
      <c r="B737" t="s">
        <v>45</v>
      </c>
      <c r="C737" t="s">
        <v>1743</v>
      </c>
      <c r="D737" t="s">
        <v>1744</v>
      </c>
      <c r="E737" s="1" t="s">
        <v>1745</v>
      </c>
      <c r="F737" t="s">
        <v>11</v>
      </c>
      <c r="G737" s="2">
        <v>44221.652962962966</v>
      </c>
    </row>
    <row r="738" spans="1:7" ht="15" customHeight="1" x14ac:dyDescent="0.3">
      <c r="A738">
        <v>1352683</v>
      </c>
      <c r="B738" t="s">
        <v>746</v>
      </c>
      <c r="C738" t="s">
        <v>1746</v>
      </c>
      <c r="D738" t="s">
        <v>1747</v>
      </c>
      <c r="E738" s="1" t="s">
        <v>1748</v>
      </c>
      <c r="F738" t="s">
        <v>24</v>
      </c>
      <c r="G738" s="2">
        <v>44221.636319444442</v>
      </c>
    </row>
    <row r="739" spans="1:7" ht="15" customHeight="1" x14ac:dyDescent="0.3">
      <c r="A739">
        <v>1352675</v>
      </c>
      <c r="B739" t="s">
        <v>1749</v>
      </c>
      <c r="C739" t="s">
        <v>1750</v>
      </c>
      <c r="D739" t="s">
        <v>1751</v>
      </c>
      <c r="E739" s="1" t="s">
        <v>1752</v>
      </c>
      <c r="F739" t="s">
        <v>24</v>
      </c>
      <c r="G739" s="2">
        <v>44221.621087962965</v>
      </c>
    </row>
    <row r="740" spans="1:7" ht="15" customHeight="1" x14ac:dyDescent="0.3">
      <c r="A740">
        <v>1352669</v>
      </c>
      <c r="B740" t="s">
        <v>70</v>
      </c>
      <c r="C740" t="s">
        <v>369</v>
      </c>
      <c r="D740" t="s">
        <v>1753</v>
      </c>
      <c r="E740" s="1" t="s">
        <v>1754</v>
      </c>
      <c r="F740" t="s">
        <v>11</v>
      </c>
      <c r="G740" s="2">
        <v>44221.61210648148</v>
      </c>
    </row>
    <row r="741" spans="1:7" ht="15" customHeight="1" x14ac:dyDescent="0.3">
      <c r="A741">
        <v>1352657</v>
      </c>
      <c r="B741" t="s">
        <v>16</v>
      </c>
      <c r="C741" t="s">
        <v>181</v>
      </c>
      <c r="D741" t="s">
        <v>1755</v>
      </c>
      <c r="E741" s="1" t="s">
        <v>1756</v>
      </c>
      <c r="F741" t="s">
        <v>11</v>
      </c>
      <c r="G741" s="2">
        <v>44221.586041666669</v>
      </c>
    </row>
    <row r="742" spans="1:7" ht="15" customHeight="1" x14ac:dyDescent="0.3">
      <c r="A742">
        <v>1352653</v>
      </c>
      <c r="B742" t="s">
        <v>74</v>
      </c>
      <c r="C742" t="s">
        <v>1656</v>
      </c>
      <c r="D742" t="s">
        <v>1757</v>
      </c>
      <c r="E742" s="1" t="s">
        <v>1758</v>
      </c>
      <c r="F742" t="s">
        <v>11</v>
      </c>
      <c r="G742" s="2">
        <v>44221.577662037038</v>
      </c>
    </row>
    <row r="743" spans="1:7" ht="15" customHeight="1" x14ac:dyDescent="0.3">
      <c r="A743">
        <v>1352651</v>
      </c>
      <c r="B743" t="s">
        <v>74</v>
      </c>
      <c r="C743" t="s">
        <v>1656</v>
      </c>
      <c r="D743" t="s">
        <v>1759</v>
      </c>
      <c r="E743" s="1" t="s">
        <v>1760</v>
      </c>
      <c r="F743" t="s">
        <v>11</v>
      </c>
      <c r="G743" s="2">
        <v>44221.575995370367</v>
      </c>
    </row>
    <row r="744" spans="1:7" ht="15" customHeight="1" x14ac:dyDescent="0.3">
      <c r="A744">
        <v>1352645</v>
      </c>
      <c r="B744" t="s">
        <v>1761</v>
      </c>
      <c r="C744" t="s">
        <v>1762</v>
      </c>
      <c r="D744" t="s">
        <v>1763</v>
      </c>
      <c r="E744" s="1" t="s">
        <v>1764</v>
      </c>
      <c r="F744" t="s">
        <v>11</v>
      </c>
      <c r="G744" s="2">
        <v>44221.568425925929</v>
      </c>
    </row>
    <row r="745" spans="1:7" ht="15" customHeight="1" x14ac:dyDescent="0.3">
      <c r="A745">
        <v>1352632</v>
      </c>
      <c r="B745" t="s">
        <v>1765</v>
      </c>
      <c r="C745" t="s">
        <v>1766</v>
      </c>
      <c r="D745" t="s">
        <v>1767</v>
      </c>
      <c r="E745" s="1" t="s">
        <v>1768</v>
      </c>
      <c r="F745" t="s">
        <v>11</v>
      </c>
      <c r="G745" s="2">
        <v>44221.541354166664</v>
      </c>
    </row>
    <row r="746" spans="1:7" ht="15" customHeight="1" x14ac:dyDescent="0.3">
      <c r="A746">
        <v>1352630</v>
      </c>
      <c r="B746" t="s">
        <v>545</v>
      </c>
      <c r="C746" t="s">
        <v>1769</v>
      </c>
      <c r="D746" t="s">
        <v>1770</v>
      </c>
      <c r="E746" s="1" t="s">
        <v>1771</v>
      </c>
      <c r="F746" t="s">
        <v>11</v>
      </c>
      <c r="G746" s="2">
        <v>44221.537581018521</v>
      </c>
    </row>
    <row r="747" spans="1:7" ht="15" customHeight="1" x14ac:dyDescent="0.3">
      <c r="A747">
        <v>1352626</v>
      </c>
      <c r="B747" t="s">
        <v>20</v>
      </c>
      <c r="C747" t="s">
        <v>158</v>
      </c>
      <c r="D747" t="s">
        <v>1772</v>
      </c>
      <c r="E747" s="1" t="s">
        <v>1773</v>
      </c>
      <c r="F747" t="s">
        <v>11</v>
      </c>
      <c r="G747" s="2">
        <v>44221.533217592594</v>
      </c>
    </row>
    <row r="748" spans="1:7" ht="15" customHeight="1" x14ac:dyDescent="0.3">
      <c r="A748">
        <v>1352625</v>
      </c>
      <c r="B748" t="s">
        <v>12</v>
      </c>
      <c r="C748" t="s">
        <v>1774</v>
      </c>
      <c r="D748" t="s">
        <v>1775</v>
      </c>
      <c r="E748" s="1" t="s">
        <v>1776</v>
      </c>
      <c r="F748" t="s">
        <v>24</v>
      </c>
      <c r="G748" s="2">
        <v>44221.532129629632</v>
      </c>
    </row>
    <row r="749" spans="1:7" ht="15" customHeight="1" x14ac:dyDescent="0.3">
      <c r="A749">
        <v>1352620</v>
      </c>
      <c r="B749" t="s">
        <v>7</v>
      </c>
      <c r="C749" t="s">
        <v>366</v>
      </c>
      <c r="D749" t="s">
        <v>1777</v>
      </c>
      <c r="E749" s="1" t="s">
        <v>1778</v>
      </c>
      <c r="F749" t="s">
        <v>24</v>
      </c>
      <c r="G749" s="2">
        <v>44221.525462962964</v>
      </c>
    </row>
    <row r="750" spans="1:7" ht="15" customHeight="1" x14ac:dyDescent="0.3">
      <c r="A750">
        <v>1352617</v>
      </c>
      <c r="B750" t="s">
        <v>36</v>
      </c>
      <c r="C750" t="s">
        <v>37</v>
      </c>
      <c r="D750" t="s">
        <v>1779</v>
      </c>
      <c r="E750" s="1" t="s">
        <v>1780</v>
      </c>
      <c r="F750" t="s">
        <v>11</v>
      </c>
      <c r="G750" s="2">
        <v>44221.513136574074</v>
      </c>
    </row>
    <row r="751" spans="1:7" ht="15" customHeight="1" x14ac:dyDescent="0.3">
      <c r="A751">
        <v>1352612</v>
      </c>
      <c r="B751" t="s">
        <v>503</v>
      </c>
      <c r="D751" t="s">
        <v>735</v>
      </c>
      <c r="E751" s="1" t="s">
        <v>1781</v>
      </c>
      <c r="F751" t="s">
        <v>11</v>
      </c>
      <c r="G751" s="2">
        <v>44221.504374999997</v>
      </c>
    </row>
    <row r="752" spans="1:7" ht="15" customHeight="1" x14ac:dyDescent="0.3">
      <c r="A752">
        <v>1352611</v>
      </c>
      <c r="B752" t="s">
        <v>1782</v>
      </c>
      <c r="C752" t="s">
        <v>1783</v>
      </c>
      <c r="D752" t="s">
        <v>1784</v>
      </c>
      <c r="E752" s="1" t="s">
        <v>1785</v>
      </c>
      <c r="F752" t="s">
        <v>11</v>
      </c>
      <c r="G752" s="2">
        <v>44221.502430555556</v>
      </c>
    </row>
    <row r="753" spans="1:7" ht="15" customHeight="1" x14ac:dyDescent="0.3">
      <c r="A753">
        <v>1352608</v>
      </c>
      <c r="B753" t="s">
        <v>16</v>
      </c>
      <c r="C753" t="s">
        <v>394</v>
      </c>
      <c r="D753" t="s">
        <v>735</v>
      </c>
      <c r="E753" s="1" t="s">
        <v>1781</v>
      </c>
      <c r="F753" t="s">
        <v>11</v>
      </c>
      <c r="G753" s="2">
        <v>44221.501944444448</v>
      </c>
    </row>
    <row r="754" spans="1:7" ht="15" customHeight="1" x14ac:dyDescent="0.3">
      <c r="A754">
        <v>1352597</v>
      </c>
      <c r="B754" t="s">
        <v>431</v>
      </c>
      <c r="C754" t="s">
        <v>432</v>
      </c>
      <c r="D754" t="s">
        <v>1786</v>
      </c>
      <c r="E754" s="1" t="s">
        <v>1787</v>
      </c>
      <c r="F754" t="s">
        <v>11</v>
      </c>
      <c r="G754" s="2">
        <v>44221.482048611113</v>
      </c>
    </row>
    <row r="755" spans="1:7" ht="15" customHeight="1" x14ac:dyDescent="0.3">
      <c r="A755">
        <v>1352596</v>
      </c>
      <c r="B755" t="s">
        <v>63</v>
      </c>
      <c r="C755" t="s">
        <v>1524</v>
      </c>
      <c r="D755" t="s">
        <v>1788</v>
      </c>
      <c r="E755" s="1" t="s">
        <v>1789</v>
      </c>
      <c r="F755" t="s">
        <v>11</v>
      </c>
      <c r="G755" s="2">
        <v>44221.467106481483</v>
      </c>
    </row>
    <row r="756" spans="1:7" ht="15" customHeight="1" x14ac:dyDescent="0.3">
      <c r="A756">
        <v>1352595</v>
      </c>
      <c r="B756" t="s">
        <v>7</v>
      </c>
      <c r="C756" t="s">
        <v>1539</v>
      </c>
      <c r="D756" t="s">
        <v>1790</v>
      </c>
      <c r="E756" s="1" t="s">
        <v>1541</v>
      </c>
      <c r="F756" t="s">
        <v>11</v>
      </c>
      <c r="G756" s="2">
        <v>44221.46497685185</v>
      </c>
    </row>
    <row r="757" spans="1:7" ht="15" customHeight="1" x14ac:dyDescent="0.3">
      <c r="A757">
        <v>1352594</v>
      </c>
      <c r="B757" t="s">
        <v>489</v>
      </c>
      <c r="C757" t="s">
        <v>1791</v>
      </c>
      <c r="D757" t="s">
        <v>1792</v>
      </c>
      <c r="E757" s="1" t="s">
        <v>1793</v>
      </c>
      <c r="F757" t="s">
        <v>11</v>
      </c>
      <c r="G757" s="2">
        <v>44221.462372685186</v>
      </c>
    </row>
    <row r="758" spans="1:7" ht="15" customHeight="1" x14ac:dyDescent="0.3">
      <c r="A758">
        <v>1352592</v>
      </c>
      <c r="B758" t="s">
        <v>16</v>
      </c>
      <c r="C758" t="s">
        <v>1794</v>
      </c>
      <c r="D758" t="s">
        <v>1795</v>
      </c>
      <c r="E758" s="1" t="s">
        <v>1796</v>
      </c>
      <c r="F758" t="s">
        <v>11</v>
      </c>
      <c r="G758" s="2">
        <v>44221.460312499999</v>
      </c>
    </row>
    <row r="759" spans="1:7" ht="15" customHeight="1" x14ac:dyDescent="0.3">
      <c r="A759">
        <v>1352578</v>
      </c>
      <c r="B759" t="s">
        <v>150</v>
      </c>
      <c r="C759" t="s">
        <v>1797</v>
      </c>
      <c r="D759" t="s">
        <v>1798</v>
      </c>
      <c r="E759" s="1" t="s">
        <v>1799</v>
      </c>
      <c r="F759" t="s">
        <v>24</v>
      </c>
      <c r="G759" s="2">
        <v>44221.43240740741</v>
      </c>
    </row>
    <row r="760" spans="1:7" ht="15" customHeight="1" x14ac:dyDescent="0.3">
      <c r="A760">
        <v>1352576</v>
      </c>
      <c r="B760" t="s">
        <v>118</v>
      </c>
      <c r="C760" t="s">
        <v>200</v>
      </c>
      <c r="D760" t="s">
        <v>1800</v>
      </c>
      <c r="E760" s="1" t="s">
        <v>1801</v>
      </c>
      <c r="F760" t="s">
        <v>11</v>
      </c>
      <c r="G760" s="2">
        <v>44221.429629629631</v>
      </c>
    </row>
    <row r="761" spans="1:7" ht="15" customHeight="1" x14ac:dyDescent="0.3">
      <c r="A761">
        <v>1352575</v>
      </c>
      <c r="B761" t="s">
        <v>36</v>
      </c>
      <c r="C761" t="s">
        <v>589</v>
      </c>
      <c r="D761" t="s">
        <v>1802</v>
      </c>
      <c r="E761" s="1" t="s">
        <v>1803</v>
      </c>
      <c r="F761" t="s">
        <v>11</v>
      </c>
      <c r="G761" s="2">
        <v>44221.424120370371</v>
      </c>
    </row>
    <row r="762" spans="1:7" ht="15" customHeight="1" x14ac:dyDescent="0.3">
      <c r="A762">
        <v>1352546</v>
      </c>
      <c r="B762" t="s">
        <v>746</v>
      </c>
      <c r="C762" t="s">
        <v>1203</v>
      </c>
      <c r="D762" t="s">
        <v>1804</v>
      </c>
      <c r="E762" s="1" t="s">
        <v>1805</v>
      </c>
      <c r="F762" t="s">
        <v>11</v>
      </c>
      <c r="G762" s="2">
        <v>44221.41611111111</v>
      </c>
    </row>
    <row r="763" spans="1:7" ht="15" customHeight="1" x14ac:dyDescent="0.3">
      <c r="A763">
        <v>1352543</v>
      </c>
      <c r="B763" t="s">
        <v>74</v>
      </c>
      <c r="C763" t="s">
        <v>1806</v>
      </c>
      <c r="D763" t="s">
        <v>1807</v>
      </c>
      <c r="E763" s="1" t="s">
        <v>1808</v>
      </c>
      <c r="F763" t="s">
        <v>11</v>
      </c>
      <c r="G763" s="2">
        <v>44221.407754629632</v>
      </c>
    </row>
    <row r="764" spans="1:7" ht="15" customHeight="1" x14ac:dyDescent="0.3">
      <c r="A764">
        <v>1352538</v>
      </c>
      <c r="B764" t="s">
        <v>36</v>
      </c>
      <c r="C764" t="s">
        <v>124</v>
      </c>
      <c r="D764" t="s">
        <v>1809</v>
      </c>
      <c r="E764" s="1" t="s">
        <v>1810</v>
      </c>
      <c r="F764" t="s">
        <v>24</v>
      </c>
      <c r="G764" s="2">
        <v>44221.404317129629</v>
      </c>
    </row>
    <row r="765" spans="1:7" ht="15" customHeight="1" x14ac:dyDescent="0.3">
      <c r="A765">
        <v>1352534</v>
      </c>
      <c r="B765" t="s">
        <v>746</v>
      </c>
      <c r="C765" t="s">
        <v>1811</v>
      </c>
      <c r="D765" t="s">
        <v>1812</v>
      </c>
      <c r="E765" s="1" t="s">
        <v>1813</v>
      </c>
      <c r="F765" t="s">
        <v>11</v>
      </c>
      <c r="G765" s="2">
        <v>44221.401620370372</v>
      </c>
    </row>
    <row r="766" spans="1:7" ht="15" customHeight="1" x14ac:dyDescent="0.3">
      <c r="A766">
        <v>1352533</v>
      </c>
      <c r="B766" t="s">
        <v>7</v>
      </c>
      <c r="C766" t="s">
        <v>158</v>
      </c>
      <c r="D766" t="s">
        <v>737</v>
      </c>
      <c r="E766" s="1" t="s">
        <v>1814</v>
      </c>
      <c r="F766" t="s">
        <v>11</v>
      </c>
      <c r="G766" s="2">
        <v>44221.398773148147</v>
      </c>
    </row>
    <row r="767" spans="1:7" ht="15" customHeight="1" x14ac:dyDescent="0.3">
      <c r="A767">
        <v>1352530</v>
      </c>
      <c r="B767" t="s">
        <v>53</v>
      </c>
      <c r="C767" t="s">
        <v>54</v>
      </c>
      <c r="D767" t="s">
        <v>1815</v>
      </c>
      <c r="E767" s="1" t="s">
        <v>1816</v>
      </c>
      <c r="F767" t="s">
        <v>11</v>
      </c>
      <c r="G767" s="2">
        <v>44221.395590277774</v>
      </c>
    </row>
    <row r="768" spans="1:7" ht="15" customHeight="1" x14ac:dyDescent="0.3">
      <c r="A768">
        <v>1352529</v>
      </c>
      <c r="B768" t="s">
        <v>91</v>
      </c>
      <c r="C768" t="s">
        <v>305</v>
      </c>
      <c r="D768" t="s">
        <v>1817</v>
      </c>
      <c r="E768" s="1" t="s">
        <v>1818</v>
      </c>
      <c r="F768" t="s">
        <v>11</v>
      </c>
      <c r="G768" s="2">
        <v>44221.394375000003</v>
      </c>
    </row>
    <row r="769" spans="1:7" ht="15" customHeight="1" x14ac:dyDescent="0.3">
      <c r="A769">
        <v>1352526</v>
      </c>
      <c r="B769" t="s">
        <v>118</v>
      </c>
      <c r="C769" t="s">
        <v>200</v>
      </c>
      <c r="D769" t="s">
        <v>1819</v>
      </c>
      <c r="E769" s="1" t="s">
        <v>1820</v>
      </c>
      <c r="F769" t="s">
        <v>11</v>
      </c>
      <c r="G769" s="2">
        <v>44221.388923611114</v>
      </c>
    </row>
    <row r="770" spans="1:7" ht="15" customHeight="1" x14ac:dyDescent="0.3">
      <c r="A770">
        <v>1352524</v>
      </c>
      <c r="B770" t="s">
        <v>157</v>
      </c>
      <c r="C770" t="s">
        <v>158</v>
      </c>
      <c r="D770" t="s">
        <v>1821</v>
      </c>
      <c r="E770" s="1" t="s">
        <v>1822</v>
      </c>
      <c r="F770" t="s">
        <v>11</v>
      </c>
      <c r="G770" s="2">
        <v>44221.385625000003</v>
      </c>
    </row>
    <row r="771" spans="1:7" ht="15" customHeight="1" x14ac:dyDescent="0.3">
      <c r="A771">
        <v>1352523</v>
      </c>
      <c r="B771" t="s">
        <v>91</v>
      </c>
      <c r="C771" t="s">
        <v>954</v>
      </c>
      <c r="D771" t="s">
        <v>1823</v>
      </c>
      <c r="E771" s="1" t="s">
        <v>1824</v>
      </c>
      <c r="F771" t="s">
        <v>11</v>
      </c>
      <c r="G771" s="2">
        <v>44221.383368055554</v>
      </c>
    </row>
    <row r="772" spans="1:7" ht="15" customHeight="1" x14ac:dyDescent="0.3">
      <c r="A772">
        <v>1352521</v>
      </c>
      <c r="B772" t="s">
        <v>1825</v>
      </c>
      <c r="C772" t="s">
        <v>1826</v>
      </c>
      <c r="D772" t="s">
        <v>1827</v>
      </c>
      <c r="E772" s="1" t="s">
        <v>1828</v>
      </c>
      <c r="F772" t="s">
        <v>11</v>
      </c>
      <c r="G772" s="2">
        <v>44221.380381944444</v>
      </c>
    </row>
    <row r="773" spans="1:7" ht="15" customHeight="1" x14ac:dyDescent="0.3">
      <c r="A773">
        <v>1352514</v>
      </c>
      <c r="B773" t="s">
        <v>12</v>
      </c>
      <c r="C773" t="s">
        <v>1829</v>
      </c>
      <c r="D773" t="s">
        <v>1830</v>
      </c>
      <c r="E773" s="1" t="s">
        <v>1831</v>
      </c>
      <c r="F773" t="s">
        <v>11</v>
      </c>
      <c r="G773" s="2">
        <v>44221.369293981479</v>
      </c>
    </row>
    <row r="774" spans="1:7" ht="15" customHeight="1" x14ac:dyDescent="0.3">
      <c r="A774">
        <v>1352512</v>
      </c>
      <c r="B774" t="s">
        <v>222</v>
      </c>
      <c r="C774" t="s">
        <v>1832</v>
      </c>
      <c r="D774" t="s">
        <v>1833</v>
      </c>
      <c r="E774" s="1" t="s">
        <v>1834</v>
      </c>
      <c r="F774" t="s">
        <v>11</v>
      </c>
      <c r="G774" s="2">
        <v>44221.36787037037</v>
      </c>
    </row>
    <row r="775" spans="1:7" ht="15" customHeight="1" x14ac:dyDescent="0.3">
      <c r="A775">
        <v>1352507</v>
      </c>
      <c r="B775" t="s">
        <v>435</v>
      </c>
      <c r="C775" t="s">
        <v>436</v>
      </c>
      <c r="D775" t="s">
        <v>1835</v>
      </c>
      <c r="E775" s="1" t="s">
        <v>1836</v>
      </c>
      <c r="F775" t="s">
        <v>11</v>
      </c>
      <c r="G775" s="2">
        <v>44221.364918981482</v>
      </c>
    </row>
    <row r="776" spans="1:7" ht="15" customHeight="1" x14ac:dyDescent="0.3">
      <c r="A776">
        <v>1352504</v>
      </c>
      <c r="B776" t="s">
        <v>297</v>
      </c>
      <c r="C776" t="s">
        <v>1837</v>
      </c>
      <c r="D776" t="s">
        <v>1838</v>
      </c>
      <c r="E776" s="1" t="s">
        <v>1839</v>
      </c>
      <c r="F776" t="s">
        <v>188</v>
      </c>
      <c r="G776" s="2">
        <v>44221.362118055556</v>
      </c>
    </row>
    <row r="777" spans="1:7" ht="15" customHeight="1" x14ac:dyDescent="0.3">
      <c r="A777">
        <v>1352500</v>
      </c>
      <c r="B777" t="s">
        <v>1197</v>
      </c>
      <c r="C777" t="s">
        <v>1233</v>
      </c>
      <c r="D777" t="s">
        <v>1840</v>
      </c>
      <c r="E777" s="1" t="s">
        <v>1841</v>
      </c>
      <c r="F777" t="s">
        <v>11</v>
      </c>
      <c r="G777" s="2">
        <v>44221.354525462964</v>
      </c>
    </row>
    <row r="778" spans="1:7" ht="15" customHeight="1" x14ac:dyDescent="0.3">
      <c r="A778">
        <v>1352495</v>
      </c>
      <c r="B778" t="s">
        <v>91</v>
      </c>
      <c r="C778" t="s">
        <v>1842</v>
      </c>
      <c r="D778" t="s">
        <v>1843</v>
      </c>
      <c r="E778" s="1" t="s">
        <v>1844</v>
      </c>
      <c r="F778" t="s">
        <v>11</v>
      </c>
      <c r="G778" s="2">
        <v>44221.350972222222</v>
      </c>
    </row>
    <row r="779" spans="1:7" ht="15" customHeight="1" x14ac:dyDescent="0.3">
      <c r="A779">
        <v>1352494</v>
      </c>
      <c r="B779" t="s">
        <v>1105</v>
      </c>
      <c r="C779" t="s">
        <v>1845</v>
      </c>
      <c r="D779" t="s">
        <v>1846</v>
      </c>
      <c r="E779" s="1" t="s">
        <v>1847</v>
      </c>
      <c r="F779" t="s">
        <v>11</v>
      </c>
      <c r="G779" s="2">
        <v>44221.347905092596</v>
      </c>
    </row>
    <row r="780" spans="1:7" ht="15" customHeight="1" x14ac:dyDescent="0.3">
      <c r="A780">
        <v>1352487</v>
      </c>
      <c r="B780" t="s">
        <v>139</v>
      </c>
      <c r="C780" t="s">
        <v>140</v>
      </c>
      <c r="D780" t="s">
        <v>1848</v>
      </c>
      <c r="E780" s="1" t="s">
        <v>1849</v>
      </c>
      <c r="F780" t="s">
        <v>11</v>
      </c>
      <c r="G780" s="2">
        <v>44221.336770833332</v>
      </c>
    </row>
    <row r="781" spans="1:7" ht="15" customHeight="1" x14ac:dyDescent="0.3">
      <c r="A781">
        <v>1352460</v>
      </c>
      <c r="B781" t="s">
        <v>435</v>
      </c>
      <c r="C781" t="s">
        <v>436</v>
      </c>
      <c r="D781" t="s">
        <v>1835</v>
      </c>
      <c r="E781" s="1" t="s">
        <v>1850</v>
      </c>
      <c r="F781" t="s">
        <v>11</v>
      </c>
      <c r="G781" s="2">
        <v>44221.286087962966</v>
      </c>
    </row>
    <row r="782" spans="1:7" ht="15" customHeight="1" x14ac:dyDescent="0.3">
      <c r="A782">
        <v>1352374</v>
      </c>
      <c r="B782" t="s">
        <v>1851</v>
      </c>
      <c r="C782" t="s">
        <v>1852</v>
      </c>
      <c r="D782" t="s">
        <v>1323</v>
      </c>
      <c r="E782" t="s">
        <v>1324</v>
      </c>
      <c r="F782" t="s">
        <v>1158</v>
      </c>
      <c r="G782" s="2">
        <v>44221.000069444446</v>
      </c>
    </row>
    <row r="783" spans="1:7" ht="15" customHeight="1" x14ac:dyDescent="0.3">
      <c r="A783">
        <v>1352164</v>
      </c>
      <c r="B783" t="s">
        <v>32</v>
      </c>
      <c r="C783" t="s">
        <v>1147</v>
      </c>
      <c r="D783" t="s">
        <v>1853</v>
      </c>
      <c r="E783" s="1" t="s">
        <v>1854</v>
      </c>
      <c r="F783" t="s">
        <v>11</v>
      </c>
      <c r="G783" s="2">
        <v>44220.677812499998</v>
      </c>
    </row>
    <row r="784" spans="1:7" ht="15" customHeight="1" x14ac:dyDescent="0.3">
      <c r="A784">
        <v>1352139</v>
      </c>
      <c r="B784" t="s">
        <v>91</v>
      </c>
      <c r="C784" t="s">
        <v>1855</v>
      </c>
      <c r="D784" t="s">
        <v>1856</v>
      </c>
      <c r="E784" s="1" t="s">
        <v>1857</v>
      </c>
      <c r="F784" t="s">
        <v>11</v>
      </c>
      <c r="G784" s="2">
        <v>44220.512141203704</v>
      </c>
    </row>
    <row r="785" spans="1:7" ht="15" customHeight="1" x14ac:dyDescent="0.3">
      <c r="A785">
        <v>1352134</v>
      </c>
      <c r="B785" t="s">
        <v>12</v>
      </c>
      <c r="C785" t="s">
        <v>1774</v>
      </c>
      <c r="D785" t="s">
        <v>1858</v>
      </c>
      <c r="E785" s="1" t="s">
        <v>1859</v>
      </c>
      <c r="F785" t="s">
        <v>11</v>
      </c>
      <c r="G785" s="2">
        <v>44220.488981481481</v>
      </c>
    </row>
    <row r="786" spans="1:7" ht="15" customHeight="1" x14ac:dyDescent="0.3">
      <c r="A786">
        <v>1351966</v>
      </c>
      <c r="B786" t="s">
        <v>16</v>
      </c>
      <c r="C786" t="s">
        <v>181</v>
      </c>
      <c r="D786" t="s">
        <v>1325</v>
      </c>
      <c r="E786" s="1" t="s">
        <v>1326</v>
      </c>
      <c r="F786" t="s">
        <v>1158</v>
      </c>
      <c r="G786" s="2">
        <v>44220.000081018516</v>
      </c>
    </row>
    <row r="787" spans="1:7" ht="15" customHeight="1" x14ac:dyDescent="0.3">
      <c r="A787">
        <v>1351965</v>
      </c>
      <c r="B787" t="s">
        <v>1714</v>
      </c>
      <c r="C787" t="s">
        <v>1715</v>
      </c>
      <c r="D787" t="s">
        <v>1325</v>
      </c>
      <c r="E787" s="1" t="s">
        <v>1326</v>
      </c>
      <c r="F787" t="s">
        <v>1158</v>
      </c>
      <c r="G787" s="2">
        <v>44220.000081018516</v>
      </c>
    </row>
    <row r="788" spans="1:7" ht="15" customHeight="1" x14ac:dyDescent="0.3">
      <c r="A788">
        <v>1351964</v>
      </c>
      <c r="B788" t="s">
        <v>1714</v>
      </c>
      <c r="C788" t="s">
        <v>1715</v>
      </c>
      <c r="D788" t="s">
        <v>1325</v>
      </c>
      <c r="E788" s="1" t="s">
        <v>1326</v>
      </c>
      <c r="F788" t="s">
        <v>1158</v>
      </c>
      <c r="G788" s="2">
        <v>44220.000069444446</v>
      </c>
    </row>
    <row r="789" spans="1:7" ht="15" customHeight="1" x14ac:dyDescent="0.3">
      <c r="A789">
        <v>1351963</v>
      </c>
      <c r="B789" t="s">
        <v>1860</v>
      </c>
      <c r="C789" t="s">
        <v>1861</v>
      </c>
      <c r="D789" t="s">
        <v>1429</v>
      </c>
      <c r="E789" s="1" t="s">
        <v>1160</v>
      </c>
      <c r="F789" t="s">
        <v>1158</v>
      </c>
      <c r="G789" s="2">
        <v>44220.000057870369</v>
      </c>
    </row>
    <row r="790" spans="1:7" ht="15" customHeight="1" x14ac:dyDescent="0.3">
      <c r="A790">
        <v>1351962</v>
      </c>
      <c r="B790" t="s">
        <v>277</v>
      </c>
      <c r="C790" t="s">
        <v>816</v>
      </c>
      <c r="D790" t="s">
        <v>1429</v>
      </c>
      <c r="E790" s="1" t="s">
        <v>1160</v>
      </c>
      <c r="F790" t="s">
        <v>1158</v>
      </c>
      <c r="G790" s="2">
        <v>44220.000057870369</v>
      </c>
    </row>
    <row r="791" spans="1:7" ht="15" customHeight="1" x14ac:dyDescent="0.3">
      <c r="A791">
        <v>1351768</v>
      </c>
      <c r="B791" t="s">
        <v>12</v>
      </c>
      <c r="C791" t="s">
        <v>161</v>
      </c>
      <c r="D791" t="s">
        <v>1862</v>
      </c>
      <c r="E791" s="1" t="s">
        <v>1863</v>
      </c>
      <c r="F791" t="s">
        <v>11</v>
      </c>
      <c r="G791" s="2">
        <v>44219.433240740742</v>
      </c>
    </row>
    <row r="792" spans="1:7" ht="15" customHeight="1" x14ac:dyDescent="0.3">
      <c r="A792">
        <v>1351742</v>
      </c>
      <c r="B792" t="s">
        <v>12</v>
      </c>
      <c r="C792" t="s">
        <v>1864</v>
      </c>
      <c r="D792" t="s">
        <v>1865</v>
      </c>
      <c r="E792" s="1" t="s">
        <v>1866</v>
      </c>
      <c r="F792" t="s">
        <v>11</v>
      </c>
      <c r="G792" s="2">
        <v>44219.407511574071</v>
      </c>
    </row>
    <row r="793" spans="1:7" ht="15" customHeight="1" x14ac:dyDescent="0.3">
      <c r="A793">
        <v>1351723</v>
      </c>
      <c r="B793" t="s">
        <v>435</v>
      </c>
      <c r="C793" t="s">
        <v>436</v>
      </c>
      <c r="D793" t="s">
        <v>1867</v>
      </c>
      <c r="E793" s="1" t="s">
        <v>1868</v>
      </c>
      <c r="F793" t="s">
        <v>11</v>
      </c>
      <c r="G793" s="2">
        <v>44219.334826388891</v>
      </c>
    </row>
    <row r="794" spans="1:7" ht="15" customHeight="1" x14ac:dyDescent="0.3">
      <c r="A794">
        <v>1351715</v>
      </c>
      <c r="B794" t="s">
        <v>74</v>
      </c>
      <c r="C794" t="s">
        <v>450</v>
      </c>
      <c r="D794" t="s">
        <v>1869</v>
      </c>
      <c r="E794" s="1" t="s">
        <v>1870</v>
      </c>
      <c r="F794" t="s">
        <v>11</v>
      </c>
      <c r="G794" s="2">
        <v>44219.320127314815</v>
      </c>
    </row>
    <row r="795" spans="1:7" ht="15" customHeight="1" x14ac:dyDescent="0.3">
      <c r="A795">
        <v>1351594</v>
      </c>
      <c r="B795" t="s">
        <v>749</v>
      </c>
      <c r="C795" t="s">
        <v>1041</v>
      </c>
      <c r="D795" t="s">
        <v>1156</v>
      </c>
      <c r="E795" s="1" t="s">
        <v>1157</v>
      </c>
      <c r="F795" t="s">
        <v>1158</v>
      </c>
      <c r="G795" s="2">
        <v>44219.000023148146</v>
      </c>
    </row>
    <row r="796" spans="1:7" ht="15" customHeight="1" x14ac:dyDescent="0.3">
      <c r="A796">
        <v>1351593</v>
      </c>
      <c r="B796" t="s">
        <v>277</v>
      </c>
      <c r="C796" t="s">
        <v>816</v>
      </c>
      <c r="D796" t="s">
        <v>1156</v>
      </c>
      <c r="E796" s="1" t="s">
        <v>1157</v>
      </c>
      <c r="F796" t="s">
        <v>1158</v>
      </c>
      <c r="G796" s="2">
        <v>44219.000023148146</v>
      </c>
    </row>
    <row r="797" spans="1:7" ht="15" customHeight="1" x14ac:dyDescent="0.3">
      <c r="A797">
        <v>1351435</v>
      </c>
      <c r="B797" t="s">
        <v>374</v>
      </c>
      <c r="C797" t="s">
        <v>1871</v>
      </c>
      <c r="D797" t="s">
        <v>1872</v>
      </c>
      <c r="E797" s="1" t="s">
        <v>1873</v>
      </c>
      <c r="F797" t="s">
        <v>11</v>
      </c>
      <c r="G797" s="2">
        <v>44218.817060185182</v>
      </c>
    </row>
    <row r="798" spans="1:7" ht="15" customHeight="1" x14ac:dyDescent="0.3">
      <c r="A798">
        <v>1351418</v>
      </c>
      <c r="B798" t="s">
        <v>473</v>
      </c>
      <c r="C798" t="s">
        <v>1874</v>
      </c>
      <c r="D798" t="s">
        <v>1875</v>
      </c>
      <c r="E798" s="1" t="s">
        <v>1876</v>
      </c>
      <c r="F798" t="s">
        <v>11</v>
      </c>
      <c r="G798" s="2">
        <v>44218.791238425925</v>
      </c>
    </row>
    <row r="799" spans="1:7" ht="15" customHeight="1" x14ac:dyDescent="0.3">
      <c r="A799">
        <v>1351355</v>
      </c>
      <c r="B799" t="s">
        <v>157</v>
      </c>
      <c r="C799" t="s">
        <v>414</v>
      </c>
      <c r="D799" t="s">
        <v>1877</v>
      </c>
      <c r="E799" s="1" t="s">
        <v>1878</v>
      </c>
      <c r="F799" t="s">
        <v>11</v>
      </c>
      <c r="G799" s="2">
        <v>44218.683888888889</v>
      </c>
    </row>
    <row r="800" spans="1:7" ht="15" customHeight="1" x14ac:dyDescent="0.3">
      <c r="A800">
        <v>1351351</v>
      </c>
      <c r="B800" t="s">
        <v>177</v>
      </c>
      <c r="C800" t="s">
        <v>178</v>
      </c>
      <c r="D800" t="s">
        <v>1879</v>
      </c>
      <c r="E800" s="1" t="s">
        <v>1880</v>
      </c>
      <c r="F800" t="s">
        <v>11</v>
      </c>
      <c r="G800" s="2">
        <v>44218.666828703703</v>
      </c>
    </row>
    <row r="801" spans="1:7" ht="15" customHeight="1" x14ac:dyDescent="0.3">
      <c r="A801">
        <v>1351347</v>
      </c>
      <c r="B801" t="s">
        <v>157</v>
      </c>
      <c r="C801" t="s">
        <v>414</v>
      </c>
      <c r="D801" t="s">
        <v>1881</v>
      </c>
      <c r="E801" s="1" t="s">
        <v>1882</v>
      </c>
      <c r="F801" t="s">
        <v>11</v>
      </c>
      <c r="G801" s="2">
        <v>44218.651655092595</v>
      </c>
    </row>
    <row r="802" spans="1:7" ht="15" customHeight="1" x14ac:dyDescent="0.3">
      <c r="A802">
        <v>1351344</v>
      </c>
      <c r="B802" t="s">
        <v>350</v>
      </c>
      <c r="C802" t="s">
        <v>351</v>
      </c>
      <c r="D802" t="s">
        <v>1883</v>
      </c>
      <c r="E802" s="1" t="s">
        <v>1884</v>
      </c>
      <c r="F802" t="s">
        <v>24</v>
      </c>
      <c r="G802" s="2">
        <v>44218.641168981485</v>
      </c>
    </row>
    <row r="803" spans="1:7" ht="15" customHeight="1" x14ac:dyDescent="0.3">
      <c r="A803">
        <v>1351343</v>
      </c>
      <c r="B803" t="s">
        <v>12</v>
      </c>
      <c r="C803" t="s">
        <v>1774</v>
      </c>
      <c r="D803" t="s">
        <v>1885</v>
      </c>
      <c r="E803" s="1" t="s">
        <v>1886</v>
      </c>
      <c r="F803" t="s">
        <v>24</v>
      </c>
      <c r="G803" s="2">
        <v>44218.634884259256</v>
      </c>
    </row>
    <row r="804" spans="1:7" ht="15" customHeight="1" x14ac:dyDescent="0.3">
      <c r="A804">
        <v>1351334</v>
      </c>
      <c r="B804" t="s">
        <v>36</v>
      </c>
      <c r="C804" t="s">
        <v>700</v>
      </c>
      <c r="D804" t="s">
        <v>1887</v>
      </c>
      <c r="E804" s="1" t="s">
        <v>1888</v>
      </c>
      <c r="F804" t="s">
        <v>24</v>
      </c>
      <c r="G804" s="2">
        <v>44218.600914351853</v>
      </c>
    </row>
    <row r="805" spans="1:7" ht="15" customHeight="1" x14ac:dyDescent="0.3">
      <c r="A805">
        <v>1351331</v>
      </c>
      <c r="B805" t="s">
        <v>397</v>
      </c>
      <c r="C805" t="s">
        <v>1889</v>
      </c>
      <c r="D805" t="s">
        <v>1890</v>
      </c>
      <c r="E805" s="1" t="s">
        <v>1891</v>
      </c>
      <c r="F805" t="s">
        <v>11</v>
      </c>
      <c r="G805" s="2">
        <v>44218.598379629628</v>
      </c>
    </row>
    <row r="806" spans="1:7" ht="15" customHeight="1" x14ac:dyDescent="0.3">
      <c r="A806">
        <v>1351317</v>
      </c>
      <c r="B806" t="s">
        <v>982</v>
      </c>
      <c r="C806" t="s">
        <v>1892</v>
      </c>
      <c r="D806" t="s">
        <v>1893</v>
      </c>
      <c r="E806" s="1" t="s">
        <v>1894</v>
      </c>
      <c r="F806" t="s">
        <v>11</v>
      </c>
      <c r="G806" s="2">
        <v>44218.553113425929</v>
      </c>
    </row>
    <row r="807" spans="1:7" ht="15" customHeight="1" x14ac:dyDescent="0.3">
      <c r="A807">
        <v>1351315</v>
      </c>
      <c r="B807" t="s">
        <v>435</v>
      </c>
      <c r="C807" t="s">
        <v>436</v>
      </c>
      <c r="D807" t="s">
        <v>1867</v>
      </c>
      <c r="E807" s="1" t="s">
        <v>1895</v>
      </c>
      <c r="F807" t="s">
        <v>11</v>
      </c>
      <c r="G807" s="2">
        <v>44218.545798611114</v>
      </c>
    </row>
    <row r="808" spans="1:7" ht="15" customHeight="1" x14ac:dyDescent="0.3">
      <c r="A808">
        <v>1351312</v>
      </c>
      <c r="B808" t="s">
        <v>435</v>
      </c>
      <c r="C808" t="s">
        <v>436</v>
      </c>
      <c r="D808" t="s">
        <v>1835</v>
      </c>
      <c r="E808" s="1" t="s">
        <v>1896</v>
      </c>
      <c r="F808" t="s">
        <v>11</v>
      </c>
      <c r="G808" s="2">
        <v>44218.527245370373</v>
      </c>
    </row>
    <row r="809" spans="1:7" ht="15" customHeight="1" x14ac:dyDescent="0.3">
      <c r="A809">
        <v>1351306</v>
      </c>
      <c r="B809" t="s">
        <v>318</v>
      </c>
      <c r="C809" t="s">
        <v>1897</v>
      </c>
      <c r="D809" t="s">
        <v>1898</v>
      </c>
      <c r="E809" s="1" t="s">
        <v>1899</v>
      </c>
      <c r="F809" t="s">
        <v>11</v>
      </c>
      <c r="G809" s="2">
        <v>44218.513194444444</v>
      </c>
    </row>
    <row r="810" spans="1:7" ht="15" customHeight="1" x14ac:dyDescent="0.3">
      <c r="A810">
        <v>1351303</v>
      </c>
      <c r="B810" t="s">
        <v>91</v>
      </c>
      <c r="C810" t="s">
        <v>1855</v>
      </c>
      <c r="D810" t="s">
        <v>1900</v>
      </c>
      <c r="E810" s="1" t="s">
        <v>1901</v>
      </c>
      <c r="F810" t="s">
        <v>11</v>
      </c>
      <c r="G810" s="2">
        <v>44218.508125</v>
      </c>
    </row>
    <row r="811" spans="1:7" ht="15" customHeight="1" x14ac:dyDescent="0.3">
      <c r="A811">
        <v>1351294</v>
      </c>
      <c r="B811" t="s">
        <v>20</v>
      </c>
      <c r="C811" t="s">
        <v>57</v>
      </c>
      <c r="D811" t="s">
        <v>1902</v>
      </c>
      <c r="E811" s="1" t="s">
        <v>1903</v>
      </c>
      <c r="F811" t="s">
        <v>24</v>
      </c>
      <c r="G811" s="2">
        <v>44218.47859953704</v>
      </c>
    </row>
    <row r="812" spans="1:7" ht="15" customHeight="1" x14ac:dyDescent="0.3">
      <c r="A812">
        <v>1351290</v>
      </c>
      <c r="B812" t="s">
        <v>16</v>
      </c>
      <c r="C812" t="s">
        <v>1904</v>
      </c>
      <c r="D812" t="s">
        <v>1905</v>
      </c>
      <c r="E812" s="1" t="s">
        <v>1906</v>
      </c>
      <c r="F812" t="s">
        <v>11</v>
      </c>
      <c r="G812" s="2">
        <v>44218.473414351851</v>
      </c>
    </row>
    <row r="813" spans="1:7" ht="15" customHeight="1" x14ac:dyDescent="0.3">
      <c r="A813">
        <v>1351289</v>
      </c>
      <c r="B813" t="s">
        <v>16</v>
      </c>
      <c r="C813" t="s">
        <v>181</v>
      </c>
      <c r="D813" t="s">
        <v>1907</v>
      </c>
      <c r="E813" s="1" t="s">
        <v>1908</v>
      </c>
      <c r="F813" t="s">
        <v>11</v>
      </c>
      <c r="G813" s="2">
        <v>44218.470925925925</v>
      </c>
    </row>
    <row r="814" spans="1:7" ht="15" customHeight="1" x14ac:dyDescent="0.3">
      <c r="A814">
        <v>1351284</v>
      </c>
      <c r="B814" t="s">
        <v>16</v>
      </c>
      <c r="C814" t="s">
        <v>1909</v>
      </c>
      <c r="D814" t="s">
        <v>1910</v>
      </c>
      <c r="E814" s="1" t="s">
        <v>1911</v>
      </c>
      <c r="F814" t="s">
        <v>11</v>
      </c>
      <c r="G814" s="2">
        <v>44218.449456018519</v>
      </c>
    </row>
    <row r="815" spans="1:7" ht="15" customHeight="1" x14ac:dyDescent="0.3">
      <c r="A815">
        <v>1351234</v>
      </c>
      <c r="B815" t="s">
        <v>32</v>
      </c>
      <c r="C815" t="s">
        <v>1257</v>
      </c>
      <c r="D815" t="s">
        <v>1912</v>
      </c>
      <c r="E815" s="1" t="s">
        <v>1913</v>
      </c>
      <c r="F815" t="s">
        <v>24</v>
      </c>
      <c r="G815" s="2">
        <v>44218.401689814818</v>
      </c>
    </row>
    <row r="816" spans="1:7" ht="15" customHeight="1" x14ac:dyDescent="0.3">
      <c r="A816">
        <v>1351225</v>
      </c>
      <c r="B816" t="s">
        <v>74</v>
      </c>
      <c r="C816" t="s">
        <v>294</v>
      </c>
      <c r="D816" t="s">
        <v>1914</v>
      </c>
      <c r="E816" s="1" t="s">
        <v>1915</v>
      </c>
      <c r="F816" t="s">
        <v>11</v>
      </c>
      <c r="G816" s="2">
        <v>44218.3905787037</v>
      </c>
    </row>
    <row r="817" spans="1:7" ht="15" customHeight="1" x14ac:dyDescent="0.3">
      <c r="A817">
        <v>1351219</v>
      </c>
      <c r="B817" t="s">
        <v>49</v>
      </c>
      <c r="C817" t="s">
        <v>801</v>
      </c>
      <c r="D817" t="s">
        <v>1916</v>
      </c>
      <c r="E817" s="1" t="s">
        <v>1917</v>
      </c>
      <c r="F817" t="s">
        <v>11</v>
      </c>
      <c r="G817" s="2">
        <v>44218.382905092592</v>
      </c>
    </row>
    <row r="818" spans="1:7" ht="15" customHeight="1" x14ac:dyDescent="0.3">
      <c r="A818">
        <v>1351215</v>
      </c>
      <c r="B818" t="s">
        <v>1918</v>
      </c>
      <c r="C818" t="s">
        <v>1919</v>
      </c>
      <c r="D818" t="s">
        <v>1920</v>
      </c>
      <c r="E818" s="1" t="s">
        <v>1921</v>
      </c>
      <c r="F818" t="s">
        <v>11</v>
      </c>
      <c r="G818" s="2">
        <v>44218.376747685186</v>
      </c>
    </row>
    <row r="819" spans="1:7" ht="15" customHeight="1" x14ac:dyDescent="0.3">
      <c r="A819">
        <v>1351212</v>
      </c>
      <c r="B819" t="s">
        <v>157</v>
      </c>
      <c r="C819" t="s">
        <v>1488</v>
      </c>
      <c r="D819" t="s">
        <v>1922</v>
      </c>
      <c r="E819" s="1" t="s">
        <v>1923</v>
      </c>
      <c r="F819" t="s">
        <v>11</v>
      </c>
      <c r="G819" s="2">
        <v>44218.374340277776</v>
      </c>
    </row>
    <row r="820" spans="1:7" ht="15" customHeight="1" x14ac:dyDescent="0.3">
      <c r="A820">
        <v>1351211</v>
      </c>
      <c r="B820" t="s">
        <v>397</v>
      </c>
      <c r="C820" t="s">
        <v>1889</v>
      </c>
      <c r="D820" t="s">
        <v>1924</v>
      </c>
      <c r="E820" s="1" t="s">
        <v>1925</v>
      </c>
      <c r="F820" t="s">
        <v>11</v>
      </c>
      <c r="G820" s="2">
        <v>44218.37290509259</v>
      </c>
    </row>
    <row r="821" spans="1:7" ht="15" customHeight="1" x14ac:dyDescent="0.3">
      <c r="A821">
        <v>1351207</v>
      </c>
      <c r="B821" t="s">
        <v>53</v>
      </c>
      <c r="C821" t="s">
        <v>1926</v>
      </c>
      <c r="D821" t="s">
        <v>1927</v>
      </c>
      <c r="E821" s="1" t="s">
        <v>1928</v>
      </c>
      <c r="F821" t="s">
        <v>11</v>
      </c>
      <c r="G821" s="2">
        <v>44218.370405092595</v>
      </c>
    </row>
    <row r="822" spans="1:7" ht="15" customHeight="1" x14ac:dyDescent="0.3">
      <c r="A822">
        <v>1351205</v>
      </c>
      <c r="B822" t="s">
        <v>1929</v>
      </c>
      <c r="C822" t="s">
        <v>1930</v>
      </c>
      <c r="D822" t="s">
        <v>1931</v>
      </c>
      <c r="E822" s="1" t="s">
        <v>1932</v>
      </c>
      <c r="F822" t="s">
        <v>11</v>
      </c>
      <c r="G822" s="2">
        <v>44218.369108796294</v>
      </c>
    </row>
    <row r="823" spans="1:7" ht="15" customHeight="1" x14ac:dyDescent="0.3">
      <c r="A823">
        <v>1351203</v>
      </c>
      <c r="B823" t="s">
        <v>20</v>
      </c>
      <c r="C823" t="s">
        <v>78</v>
      </c>
      <c r="D823" t="s">
        <v>1933</v>
      </c>
      <c r="E823" s="1" t="s">
        <v>1934</v>
      </c>
      <c r="F823" t="s">
        <v>24</v>
      </c>
      <c r="G823" s="2">
        <v>44218.367361111108</v>
      </c>
    </row>
    <row r="824" spans="1:7" ht="15" customHeight="1" x14ac:dyDescent="0.3">
      <c r="A824">
        <v>1351198</v>
      </c>
      <c r="B824" t="s">
        <v>7</v>
      </c>
      <c r="C824" t="s">
        <v>107</v>
      </c>
      <c r="D824" t="s">
        <v>1935</v>
      </c>
      <c r="E824" s="1" t="s">
        <v>1936</v>
      </c>
      <c r="F824" t="s">
        <v>24</v>
      </c>
      <c r="G824" s="2">
        <v>44218.364224537036</v>
      </c>
    </row>
    <row r="825" spans="1:7" ht="15" customHeight="1" x14ac:dyDescent="0.3">
      <c r="A825">
        <v>1351181</v>
      </c>
      <c r="B825" t="s">
        <v>95</v>
      </c>
      <c r="C825" t="s">
        <v>1937</v>
      </c>
      <c r="D825" t="s">
        <v>1938</v>
      </c>
      <c r="E825" t="s">
        <v>1939</v>
      </c>
      <c r="F825" t="s">
        <v>24</v>
      </c>
      <c r="G825" s="2">
        <v>44218.335486111115</v>
      </c>
    </row>
    <row r="826" spans="1:7" ht="15" customHeight="1" x14ac:dyDescent="0.3">
      <c r="A826">
        <v>1351179</v>
      </c>
      <c r="B826" t="s">
        <v>435</v>
      </c>
      <c r="C826" t="s">
        <v>436</v>
      </c>
      <c r="D826" t="s">
        <v>1835</v>
      </c>
      <c r="E826" s="1" t="s">
        <v>1940</v>
      </c>
      <c r="F826" t="s">
        <v>11</v>
      </c>
      <c r="G826" s="2">
        <v>44218.335243055553</v>
      </c>
    </row>
    <row r="827" spans="1:7" ht="15" customHeight="1" x14ac:dyDescent="0.3">
      <c r="A827">
        <v>1351173</v>
      </c>
      <c r="B827" t="s">
        <v>435</v>
      </c>
      <c r="C827" t="s">
        <v>436</v>
      </c>
      <c r="D827" t="s">
        <v>1941</v>
      </c>
      <c r="E827" s="1" t="s">
        <v>1942</v>
      </c>
      <c r="F827" t="s">
        <v>11</v>
      </c>
      <c r="G827" s="2">
        <v>44218.331458333334</v>
      </c>
    </row>
    <row r="828" spans="1:7" ht="15" customHeight="1" x14ac:dyDescent="0.3">
      <c r="A828">
        <v>1351166</v>
      </c>
      <c r="B828" t="s">
        <v>435</v>
      </c>
      <c r="C828" t="s">
        <v>436</v>
      </c>
      <c r="D828" t="s">
        <v>1943</v>
      </c>
      <c r="E828" s="1" t="s">
        <v>1944</v>
      </c>
      <c r="F828" t="s">
        <v>11</v>
      </c>
      <c r="G828" s="2">
        <v>44218.311238425929</v>
      </c>
    </row>
    <row r="829" spans="1:7" ht="15" customHeight="1" x14ac:dyDescent="0.3">
      <c r="A829">
        <v>1351112</v>
      </c>
      <c r="B829" t="s">
        <v>74</v>
      </c>
      <c r="C829" t="s">
        <v>1945</v>
      </c>
      <c r="D829" t="s">
        <v>1946</v>
      </c>
      <c r="E829" s="1" t="s">
        <v>1947</v>
      </c>
      <c r="F829" t="s">
        <v>11</v>
      </c>
      <c r="G829" s="2">
        <v>44218.052476851852</v>
      </c>
    </row>
    <row r="830" spans="1:7" ht="15" customHeight="1" x14ac:dyDescent="0.3">
      <c r="A830">
        <v>1351069</v>
      </c>
      <c r="B830" t="s">
        <v>132</v>
      </c>
      <c r="C830" t="s">
        <v>1072</v>
      </c>
      <c r="D830" t="s">
        <v>1323</v>
      </c>
      <c r="E830" t="s">
        <v>1324</v>
      </c>
      <c r="F830" t="s">
        <v>1158</v>
      </c>
      <c r="G830" s="2">
        <v>44218.000081018516</v>
      </c>
    </row>
    <row r="831" spans="1:7" ht="15" customHeight="1" x14ac:dyDescent="0.3">
      <c r="A831">
        <v>1351068</v>
      </c>
      <c r="B831" t="s">
        <v>49</v>
      </c>
      <c r="C831" t="s">
        <v>1469</v>
      </c>
      <c r="D831" t="s">
        <v>1156</v>
      </c>
      <c r="E831" s="1" t="s">
        <v>1157</v>
      </c>
      <c r="F831" t="s">
        <v>1158</v>
      </c>
      <c r="G831" s="2">
        <v>44218.000057870369</v>
      </c>
    </row>
    <row r="832" spans="1:7" ht="15" customHeight="1" x14ac:dyDescent="0.3">
      <c r="A832">
        <v>1350853</v>
      </c>
      <c r="B832" t="s">
        <v>45</v>
      </c>
      <c r="C832" t="s">
        <v>354</v>
      </c>
      <c r="D832" t="s">
        <v>1948</v>
      </c>
      <c r="E832" s="1" t="s">
        <v>1949</v>
      </c>
      <c r="F832" t="s">
        <v>24</v>
      </c>
      <c r="G832" s="2">
        <v>44217.733055555553</v>
      </c>
    </row>
    <row r="833" spans="1:7" ht="15" customHeight="1" x14ac:dyDescent="0.3">
      <c r="A833">
        <v>1350820</v>
      </c>
      <c r="B833" t="s">
        <v>1950</v>
      </c>
      <c r="C833" t="s">
        <v>1951</v>
      </c>
      <c r="D833" t="s">
        <v>1952</v>
      </c>
      <c r="E833" s="1" t="s">
        <v>1953</v>
      </c>
      <c r="F833" t="s">
        <v>11</v>
      </c>
      <c r="G833" s="2">
        <v>44217.669456018521</v>
      </c>
    </row>
    <row r="834" spans="1:7" ht="15" customHeight="1" x14ac:dyDescent="0.3">
      <c r="A834">
        <v>1350817</v>
      </c>
      <c r="B834" t="s">
        <v>32</v>
      </c>
      <c r="C834" t="s">
        <v>463</v>
      </c>
      <c r="D834" t="s">
        <v>1954</v>
      </c>
      <c r="E834" s="1" t="s">
        <v>1955</v>
      </c>
      <c r="F834" t="s">
        <v>11</v>
      </c>
      <c r="G834" s="2">
        <v>44217.658425925925</v>
      </c>
    </row>
    <row r="835" spans="1:7" ht="15" customHeight="1" x14ac:dyDescent="0.3">
      <c r="A835">
        <v>1350813</v>
      </c>
      <c r="B835" t="s">
        <v>1956</v>
      </c>
      <c r="C835" t="s">
        <v>646</v>
      </c>
      <c r="D835" t="s">
        <v>1957</v>
      </c>
      <c r="E835" s="1" t="s">
        <v>1958</v>
      </c>
      <c r="F835" t="s">
        <v>11</v>
      </c>
      <c r="G835" s="2">
        <v>44217.642418981479</v>
      </c>
    </row>
    <row r="836" spans="1:7" ht="15" customHeight="1" x14ac:dyDescent="0.3">
      <c r="A836">
        <v>1350804</v>
      </c>
      <c r="B836" t="s">
        <v>74</v>
      </c>
      <c r="C836" t="s">
        <v>1374</v>
      </c>
      <c r="D836" t="s">
        <v>1959</v>
      </c>
      <c r="E836" s="1" t="s">
        <v>1960</v>
      </c>
      <c r="F836" t="s">
        <v>11</v>
      </c>
      <c r="G836" s="2">
        <v>44217.620358796295</v>
      </c>
    </row>
    <row r="837" spans="1:7" ht="15" customHeight="1" x14ac:dyDescent="0.3">
      <c r="A837">
        <v>1350801</v>
      </c>
      <c r="B837" t="s">
        <v>63</v>
      </c>
      <c r="C837" t="s">
        <v>1524</v>
      </c>
      <c r="D837" t="s">
        <v>1961</v>
      </c>
      <c r="E837" s="1" t="s">
        <v>1962</v>
      </c>
      <c r="F837" t="s">
        <v>11</v>
      </c>
      <c r="G837" s="2">
        <v>44217.610462962963</v>
      </c>
    </row>
    <row r="838" spans="1:7" ht="15" customHeight="1" x14ac:dyDescent="0.3">
      <c r="A838">
        <v>1350800</v>
      </c>
      <c r="B838" t="s">
        <v>36</v>
      </c>
      <c r="C838" t="s">
        <v>1963</v>
      </c>
      <c r="D838" t="s">
        <v>1964</v>
      </c>
      <c r="E838" s="1" t="s">
        <v>1965</v>
      </c>
      <c r="F838" t="s">
        <v>24</v>
      </c>
      <c r="G838" s="2">
        <v>44217.609942129631</v>
      </c>
    </row>
    <row r="839" spans="1:7" ht="15" customHeight="1" x14ac:dyDescent="0.3">
      <c r="A839">
        <v>1350796</v>
      </c>
      <c r="B839" t="s">
        <v>350</v>
      </c>
      <c r="C839" t="s">
        <v>1966</v>
      </c>
      <c r="D839" t="s">
        <v>1967</v>
      </c>
      <c r="E839" s="1" t="s">
        <v>1968</v>
      </c>
      <c r="F839" t="s">
        <v>24</v>
      </c>
      <c r="G839" s="2">
        <v>44217.598263888889</v>
      </c>
    </row>
    <row r="840" spans="1:7" ht="15" customHeight="1" x14ac:dyDescent="0.3">
      <c r="A840">
        <v>1350783</v>
      </c>
      <c r="B840" t="s">
        <v>1105</v>
      </c>
      <c r="C840" t="s">
        <v>1106</v>
      </c>
      <c r="D840" t="s">
        <v>1969</v>
      </c>
      <c r="E840" s="1" t="s">
        <v>1970</v>
      </c>
      <c r="F840" t="s">
        <v>11</v>
      </c>
      <c r="G840" s="2">
        <v>44217.583564814813</v>
      </c>
    </row>
    <row r="841" spans="1:7" ht="15" customHeight="1" x14ac:dyDescent="0.3">
      <c r="A841">
        <v>1350781</v>
      </c>
      <c r="B841" t="s">
        <v>36</v>
      </c>
      <c r="C841" t="s">
        <v>752</v>
      </c>
      <c r="D841" t="s">
        <v>1971</v>
      </c>
      <c r="E841" s="1" t="s">
        <v>1972</v>
      </c>
      <c r="F841" t="s">
        <v>24</v>
      </c>
      <c r="G841" s="2">
        <v>44217.579745370371</v>
      </c>
    </row>
    <row r="842" spans="1:7" ht="15" customHeight="1" x14ac:dyDescent="0.3">
      <c r="A842">
        <v>1350774</v>
      </c>
      <c r="B842" t="s">
        <v>515</v>
      </c>
      <c r="C842" t="s">
        <v>516</v>
      </c>
      <c r="D842" t="s">
        <v>1973</v>
      </c>
      <c r="E842" s="1" t="s">
        <v>1974</v>
      </c>
      <c r="F842" t="s">
        <v>11</v>
      </c>
      <c r="G842" s="2">
        <v>44217.56958333333</v>
      </c>
    </row>
    <row r="843" spans="1:7" ht="15" customHeight="1" x14ac:dyDescent="0.3">
      <c r="A843">
        <v>1350770</v>
      </c>
      <c r="B843" t="s">
        <v>374</v>
      </c>
      <c r="C843" t="s">
        <v>663</v>
      </c>
      <c r="D843" t="s">
        <v>1975</v>
      </c>
      <c r="E843" s="1" t="s">
        <v>1976</v>
      </c>
      <c r="F843" t="s">
        <v>24</v>
      </c>
      <c r="G843" s="2">
        <v>44217.564918981479</v>
      </c>
    </row>
    <row r="844" spans="1:7" ht="15" customHeight="1" x14ac:dyDescent="0.3">
      <c r="A844">
        <v>1350762</v>
      </c>
      <c r="B844" t="s">
        <v>1749</v>
      </c>
      <c r="C844" t="s">
        <v>1977</v>
      </c>
      <c r="D844" t="s">
        <v>1978</v>
      </c>
      <c r="E844" s="1" t="s">
        <v>1979</v>
      </c>
      <c r="F844" t="s">
        <v>11</v>
      </c>
      <c r="G844" s="2">
        <v>44217.540706018517</v>
      </c>
    </row>
    <row r="845" spans="1:7" ht="15" customHeight="1" x14ac:dyDescent="0.3">
      <c r="A845">
        <v>1350757</v>
      </c>
      <c r="B845" t="s">
        <v>435</v>
      </c>
      <c r="C845" t="s">
        <v>436</v>
      </c>
      <c r="D845" t="s">
        <v>1980</v>
      </c>
      <c r="E845" s="1" t="s">
        <v>1981</v>
      </c>
      <c r="F845" t="s">
        <v>11</v>
      </c>
      <c r="G845" s="2">
        <v>44217.525011574071</v>
      </c>
    </row>
    <row r="846" spans="1:7" ht="15" customHeight="1" x14ac:dyDescent="0.3">
      <c r="A846">
        <v>1350756</v>
      </c>
      <c r="B846" t="s">
        <v>746</v>
      </c>
      <c r="C846" t="s">
        <v>1982</v>
      </c>
      <c r="D846" t="s">
        <v>1983</v>
      </c>
      <c r="E846" s="1" t="s">
        <v>1984</v>
      </c>
      <c r="F846" t="s">
        <v>11</v>
      </c>
      <c r="G846" s="2">
        <v>44217.521921296298</v>
      </c>
    </row>
    <row r="847" spans="1:7" ht="15" customHeight="1" x14ac:dyDescent="0.3">
      <c r="A847">
        <v>1350753</v>
      </c>
      <c r="B847" t="s">
        <v>746</v>
      </c>
      <c r="C847" t="s">
        <v>1203</v>
      </c>
      <c r="D847" t="s">
        <v>1985</v>
      </c>
      <c r="E847" s="1" t="s">
        <v>1986</v>
      </c>
      <c r="F847" t="s">
        <v>24</v>
      </c>
      <c r="G847" s="2">
        <v>44217.516597222224</v>
      </c>
    </row>
    <row r="848" spans="1:7" ht="15" customHeight="1" x14ac:dyDescent="0.3">
      <c r="A848">
        <v>1350752</v>
      </c>
      <c r="B848" t="s">
        <v>281</v>
      </c>
      <c r="C848" t="s">
        <v>282</v>
      </c>
      <c r="D848" t="s">
        <v>1987</v>
      </c>
      <c r="E848" s="1" t="s">
        <v>1988</v>
      </c>
      <c r="F848" t="s">
        <v>24</v>
      </c>
      <c r="G848" s="2">
        <v>44217.516516203701</v>
      </c>
    </row>
    <row r="849" spans="1:7" ht="15" customHeight="1" x14ac:dyDescent="0.3">
      <c r="A849">
        <v>1350747</v>
      </c>
      <c r="B849" t="s">
        <v>45</v>
      </c>
      <c r="C849" t="s">
        <v>1743</v>
      </c>
      <c r="D849" t="s">
        <v>1989</v>
      </c>
      <c r="E849" s="1" t="s">
        <v>1990</v>
      </c>
      <c r="F849" t="s">
        <v>11</v>
      </c>
      <c r="G849" s="2">
        <v>44217.502824074072</v>
      </c>
    </row>
    <row r="850" spans="1:7" ht="15" customHeight="1" x14ac:dyDescent="0.3">
      <c r="A850">
        <v>1350737</v>
      </c>
      <c r="B850" t="s">
        <v>53</v>
      </c>
      <c r="C850" t="s">
        <v>54</v>
      </c>
      <c r="D850" t="s">
        <v>1991</v>
      </c>
      <c r="E850" s="1" t="s">
        <v>1992</v>
      </c>
      <c r="F850" t="s">
        <v>11</v>
      </c>
      <c r="G850" s="2">
        <v>44217.485289351855</v>
      </c>
    </row>
    <row r="851" spans="1:7" ht="15" customHeight="1" x14ac:dyDescent="0.3">
      <c r="A851">
        <v>1350735</v>
      </c>
      <c r="B851" t="s">
        <v>374</v>
      </c>
      <c r="C851" t="s">
        <v>663</v>
      </c>
      <c r="D851" t="s">
        <v>1993</v>
      </c>
      <c r="E851" s="1" t="s">
        <v>1994</v>
      </c>
      <c r="F851" t="s">
        <v>11</v>
      </c>
      <c r="G851" s="2">
        <v>44217.477233796293</v>
      </c>
    </row>
    <row r="852" spans="1:7" ht="15" customHeight="1" x14ac:dyDescent="0.3">
      <c r="A852">
        <v>1350733</v>
      </c>
      <c r="B852" t="s">
        <v>25</v>
      </c>
      <c r="C852" t="s">
        <v>1995</v>
      </c>
      <c r="D852" t="s">
        <v>1996</v>
      </c>
      <c r="E852" s="1" t="s">
        <v>1997</v>
      </c>
      <c r="F852" t="s">
        <v>11</v>
      </c>
      <c r="G852" s="2">
        <v>44217.475439814814</v>
      </c>
    </row>
    <row r="853" spans="1:7" ht="15" customHeight="1" x14ac:dyDescent="0.3">
      <c r="A853">
        <v>1350709</v>
      </c>
      <c r="B853" t="s">
        <v>36</v>
      </c>
      <c r="C853" t="s">
        <v>1342</v>
      </c>
      <c r="D853" t="s">
        <v>1998</v>
      </c>
      <c r="E853" s="1" t="s">
        <v>1999</v>
      </c>
      <c r="F853" t="s">
        <v>11</v>
      </c>
      <c r="G853" s="2">
        <v>44217.441782407404</v>
      </c>
    </row>
    <row r="854" spans="1:7" ht="15" customHeight="1" x14ac:dyDescent="0.3">
      <c r="A854">
        <v>1350658</v>
      </c>
      <c r="B854" t="s">
        <v>7</v>
      </c>
      <c r="C854" t="s">
        <v>2000</v>
      </c>
      <c r="D854" t="s">
        <v>2001</v>
      </c>
      <c r="E854" s="1" t="s">
        <v>2002</v>
      </c>
      <c r="F854" t="s">
        <v>11</v>
      </c>
      <c r="G854" s="2">
        <v>44217.402430555558</v>
      </c>
    </row>
    <row r="855" spans="1:7" ht="15" customHeight="1" x14ac:dyDescent="0.3">
      <c r="A855">
        <v>1350650</v>
      </c>
      <c r="B855" t="s">
        <v>45</v>
      </c>
      <c r="C855" t="s">
        <v>2003</v>
      </c>
      <c r="D855" t="s">
        <v>2004</v>
      </c>
      <c r="E855" s="1" t="s">
        <v>2005</v>
      </c>
      <c r="F855" t="s">
        <v>11</v>
      </c>
      <c r="G855" s="2">
        <v>44217.395185185182</v>
      </c>
    </row>
    <row r="856" spans="1:7" ht="15" customHeight="1" x14ac:dyDescent="0.3">
      <c r="A856">
        <v>1350644</v>
      </c>
      <c r="B856" t="s">
        <v>20</v>
      </c>
      <c r="C856" t="s">
        <v>136</v>
      </c>
      <c r="D856" t="s">
        <v>2006</v>
      </c>
      <c r="E856" s="1" t="s">
        <v>2007</v>
      </c>
      <c r="F856" t="s">
        <v>11</v>
      </c>
      <c r="G856" s="2">
        <v>44217.384189814817</v>
      </c>
    </row>
    <row r="857" spans="1:7" ht="15" customHeight="1" x14ac:dyDescent="0.3">
      <c r="A857">
        <v>1350642</v>
      </c>
      <c r="B857" t="s">
        <v>1236</v>
      </c>
      <c r="C857" t="s">
        <v>1237</v>
      </c>
      <c r="D857" t="s">
        <v>2008</v>
      </c>
      <c r="E857" s="1" t="s">
        <v>2009</v>
      </c>
      <c r="F857" t="s">
        <v>11</v>
      </c>
      <c r="G857" s="2">
        <v>44217.379525462966</v>
      </c>
    </row>
    <row r="858" spans="1:7" ht="15" customHeight="1" x14ac:dyDescent="0.3">
      <c r="A858">
        <v>1350640</v>
      </c>
      <c r="B858" t="s">
        <v>435</v>
      </c>
      <c r="C858" t="s">
        <v>2010</v>
      </c>
      <c r="D858" t="s">
        <v>2011</v>
      </c>
      <c r="E858" s="1" t="s">
        <v>2012</v>
      </c>
      <c r="F858" t="s">
        <v>11</v>
      </c>
      <c r="G858" s="2">
        <v>44217.37909722222</v>
      </c>
    </row>
    <row r="859" spans="1:7" ht="15" customHeight="1" x14ac:dyDescent="0.3">
      <c r="A859">
        <v>1350631</v>
      </c>
      <c r="B859" t="s">
        <v>157</v>
      </c>
      <c r="C859" t="s">
        <v>627</v>
      </c>
      <c r="D859" t="s">
        <v>2013</v>
      </c>
      <c r="E859" s="1" t="s">
        <v>2014</v>
      </c>
      <c r="F859" t="s">
        <v>24</v>
      </c>
      <c r="G859" s="2">
        <v>44217.365648148145</v>
      </c>
    </row>
    <row r="860" spans="1:7" ht="15" customHeight="1" x14ac:dyDescent="0.3">
      <c r="A860">
        <v>1350622</v>
      </c>
      <c r="B860" t="s">
        <v>12</v>
      </c>
      <c r="C860" t="s">
        <v>1774</v>
      </c>
      <c r="D860" t="s">
        <v>2015</v>
      </c>
      <c r="E860" s="1" t="s">
        <v>2016</v>
      </c>
      <c r="F860" t="s">
        <v>24</v>
      </c>
      <c r="G860" s="2">
        <v>44217.350636574076</v>
      </c>
    </row>
    <row r="861" spans="1:7" ht="15" customHeight="1" x14ac:dyDescent="0.3">
      <c r="A861">
        <v>1350602</v>
      </c>
      <c r="B861" t="s">
        <v>157</v>
      </c>
      <c r="C861" t="s">
        <v>1740</v>
      </c>
      <c r="D861" t="s">
        <v>2017</v>
      </c>
      <c r="E861" s="1" t="s">
        <v>2018</v>
      </c>
      <c r="F861" t="s">
        <v>11</v>
      </c>
      <c r="G861" s="2">
        <v>44217.33457175926</v>
      </c>
    </row>
    <row r="862" spans="1:7" ht="15" customHeight="1" x14ac:dyDescent="0.3">
      <c r="A862">
        <v>1350595</v>
      </c>
      <c r="B862" t="s">
        <v>36</v>
      </c>
      <c r="C862" t="s">
        <v>2019</v>
      </c>
      <c r="D862" t="s">
        <v>2020</v>
      </c>
      <c r="E862" s="1" t="s">
        <v>2021</v>
      </c>
      <c r="F862" t="s">
        <v>24</v>
      </c>
      <c r="G862" s="2">
        <v>44217.33016203704</v>
      </c>
    </row>
    <row r="863" spans="1:7" ht="15" customHeight="1" x14ac:dyDescent="0.3">
      <c r="A863">
        <v>1350590</v>
      </c>
      <c r="B863" t="s">
        <v>32</v>
      </c>
      <c r="C863" t="s">
        <v>1622</v>
      </c>
      <c r="D863" t="s">
        <v>2022</v>
      </c>
      <c r="E863" s="1" t="s">
        <v>2023</v>
      </c>
      <c r="F863" t="s">
        <v>11</v>
      </c>
      <c r="G863" s="2">
        <v>44217.323599537034</v>
      </c>
    </row>
    <row r="864" spans="1:7" ht="15" customHeight="1" x14ac:dyDescent="0.3">
      <c r="A864">
        <v>1350478</v>
      </c>
      <c r="B864" t="s">
        <v>277</v>
      </c>
      <c r="C864" t="s">
        <v>816</v>
      </c>
      <c r="D864" t="s">
        <v>1429</v>
      </c>
      <c r="E864" s="1" t="s">
        <v>1160</v>
      </c>
      <c r="F864" t="s">
        <v>1158</v>
      </c>
      <c r="G864" s="2">
        <v>44217.000057870369</v>
      </c>
    </row>
    <row r="865" spans="1:7" ht="15" customHeight="1" x14ac:dyDescent="0.3">
      <c r="A865">
        <v>1350322</v>
      </c>
      <c r="B865" t="s">
        <v>860</v>
      </c>
      <c r="C865" t="s">
        <v>158</v>
      </c>
      <c r="D865" t="s">
        <v>2024</v>
      </c>
      <c r="E865" s="1" t="s">
        <v>2025</v>
      </c>
      <c r="F865" t="s">
        <v>11</v>
      </c>
      <c r="G865" s="2">
        <v>44216.764282407406</v>
      </c>
    </row>
    <row r="866" spans="1:7" ht="15" customHeight="1" x14ac:dyDescent="0.3">
      <c r="A866">
        <v>1350274</v>
      </c>
      <c r="B866" t="s">
        <v>25</v>
      </c>
      <c r="C866" t="s">
        <v>2026</v>
      </c>
      <c r="D866" t="s">
        <v>2027</v>
      </c>
      <c r="E866" s="1" t="s">
        <v>2028</v>
      </c>
      <c r="F866" t="s">
        <v>24</v>
      </c>
      <c r="G866" s="2">
        <v>44216.692881944444</v>
      </c>
    </row>
    <row r="867" spans="1:7" ht="15" customHeight="1" x14ac:dyDescent="0.3">
      <c r="A867">
        <v>1350273</v>
      </c>
      <c r="B867" t="s">
        <v>70</v>
      </c>
      <c r="C867" t="s">
        <v>660</v>
      </c>
      <c r="D867" t="s">
        <v>2029</v>
      </c>
      <c r="E867" s="1" t="s">
        <v>2030</v>
      </c>
      <c r="F867" t="s">
        <v>11</v>
      </c>
      <c r="G867" s="2">
        <v>44216.691493055558</v>
      </c>
    </row>
    <row r="868" spans="1:7" ht="15" customHeight="1" x14ac:dyDescent="0.3">
      <c r="A868">
        <v>1350268</v>
      </c>
      <c r="B868" t="s">
        <v>74</v>
      </c>
      <c r="C868" t="s">
        <v>1656</v>
      </c>
      <c r="D868" t="s">
        <v>2031</v>
      </c>
      <c r="E868" s="1" t="s">
        <v>2032</v>
      </c>
      <c r="F868" t="s">
        <v>11</v>
      </c>
      <c r="G868" s="2">
        <v>44216.679351851853</v>
      </c>
    </row>
    <row r="869" spans="1:7" ht="15" customHeight="1" x14ac:dyDescent="0.3">
      <c r="A869">
        <v>1350262</v>
      </c>
      <c r="B869" t="s">
        <v>2033</v>
      </c>
      <c r="C869" t="s">
        <v>2034</v>
      </c>
      <c r="D869" t="s">
        <v>2035</v>
      </c>
      <c r="E869" s="1" t="s">
        <v>2036</v>
      </c>
      <c r="F869" t="s">
        <v>11</v>
      </c>
      <c r="G869" s="2">
        <v>44216.667569444442</v>
      </c>
    </row>
    <row r="870" spans="1:7" ht="15" customHeight="1" x14ac:dyDescent="0.3">
      <c r="A870">
        <v>1350261</v>
      </c>
      <c r="B870" t="s">
        <v>2037</v>
      </c>
      <c r="C870" t="s">
        <v>2038</v>
      </c>
      <c r="D870" t="s">
        <v>2039</v>
      </c>
      <c r="E870" s="1" t="s">
        <v>2040</v>
      </c>
      <c r="F870" t="s">
        <v>11</v>
      </c>
      <c r="G870" s="2">
        <v>44216.666956018518</v>
      </c>
    </row>
    <row r="871" spans="1:7" ht="15" customHeight="1" x14ac:dyDescent="0.3">
      <c r="A871">
        <v>1350256</v>
      </c>
      <c r="B871" t="s">
        <v>49</v>
      </c>
      <c r="C871" t="s">
        <v>315</v>
      </c>
      <c r="D871" t="s">
        <v>2041</v>
      </c>
      <c r="E871" s="1" t="s">
        <v>2042</v>
      </c>
      <c r="F871" t="s">
        <v>24</v>
      </c>
      <c r="G871" s="2">
        <v>44216.645046296297</v>
      </c>
    </row>
    <row r="872" spans="1:7" ht="15" customHeight="1" x14ac:dyDescent="0.3">
      <c r="A872">
        <v>1350255</v>
      </c>
      <c r="B872" t="s">
        <v>184</v>
      </c>
      <c r="C872" t="s">
        <v>2043</v>
      </c>
      <c r="D872" t="s">
        <v>2044</v>
      </c>
      <c r="E872" s="1" t="s">
        <v>2045</v>
      </c>
      <c r="F872" t="s">
        <v>11</v>
      </c>
      <c r="G872" s="2">
        <v>44216.635821759257</v>
      </c>
    </row>
    <row r="873" spans="1:7" ht="15" customHeight="1" x14ac:dyDescent="0.3">
      <c r="A873">
        <v>1350240</v>
      </c>
      <c r="B873" t="s">
        <v>1010</v>
      </c>
      <c r="C873" t="s">
        <v>2046</v>
      </c>
      <c r="D873" t="s">
        <v>2047</v>
      </c>
      <c r="E873" s="1" t="s">
        <v>2048</v>
      </c>
      <c r="F873" t="s">
        <v>11</v>
      </c>
      <c r="G873" s="2">
        <v>44216.589004629626</v>
      </c>
    </row>
    <row r="874" spans="1:7" ht="15" customHeight="1" x14ac:dyDescent="0.3">
      <c r="A874">
        <v>1350230</v>
      </c>
      <c r="B874" t="s">
        <v>70</v>
      </c>
      <c r="C874" t="s">
        <v>71</v>
      </c>
      <c r="D874" t="s">
        <v>2049</v>
      </c>
      <c r="E874" s="1" t="s">
        <v>2050</v>
      </c>
      <c r="F874" t="s">
        <v>11</v>
      </c>
      <c r="G874" s="2">
        <v>44216.562280092592</v>
      </c>
    </row>
    <row r="875" spans="1:7" ht="15" customHeight="1" x14ac:dyDescent="0.3">
      <c r="A875">
        <v>1350229</v>
      </c>
      <c r="B875" t="s">
        <v>12</v>
      </c>
      <c r="C875" t="s">
        <v>338</v>
      </c>
      <c r="D875" t="s">
        <v>2051</v>
      </c>
      <c r="E875" s="1" t="s">
        <v>2052</v>
      </c>
      <c r="F875" t="s">
        <v>11</v>
      </c>
      <c r="G875" s="2">
        <v>44216.55840277778</v>
      </c>
    </row>
    <row r="876" spans="1:7" ht="15" customHeight="1" x14ac:dyDescent="0.3">
      <c r="A876">
        <v>1350228</v>
      </c>
      <c r="B876" t="s">
        <v>157</v>
      </c>
      <c r="C876" t="s">
        <v>414</v>
      </c>
      <c r="D876" t="s">
        <v>2053</v>
      </c>
      <c r="E876" s="1" t="s">
        <v>2054</v>
      </c>
      <c r="F876" t="s">
        <v>24</v>
      </c>
      <c r="G876" s="2">
        <v>44216.557604166665</v>
      </c>
    </row>
    <row r="877" spans="1:7" ht="15" customHeight="1" x14ac:dyDescent="0.3">
      <c r="A877">
        <v>1350226</v>
      </c>
      <c r="B877" t="s">
        <v>157</v>
      </c>
      <c r="C877" t="s">
        <v>2055</v>
      </c>
      <c r="D877" t="s">
        <v>2056</v>
      </c>
      <c r="E877" s="1" t="s">
        <v>2057</v>
      </c>
      <c r="F877" t="s">
        <v>24</v>
      </c>
      <c r="G877" s="2">
        <v>44216.554780092592</v>
      </c>
    </row>
    <row r="878" spans="1:7" ht="15" customHeight="1" x14ac:dyDescent="0.3">
      <c r="A878">
        <v>1350225</v>
      </c>
      <c r="B878" t="s">
        <v>7</v>
      </c>
      <c r="C878" t="s">
        <v>40</v>
      </c>
      <c r="D878" t="s">
        <v>2058</v>
      </c>
      <c r="E878" s="1" t="s">
        <v>2059</v>
      </c>
      <c r="F878" t="s">
        <v>24</v>
      </c>
      <c r="G878" s="2">
        <v>44216.554027777776</v>
      </c>
    </row>
    <row r="879" spans="1:7" ht="15" customHeight="1" x14ac:dyDescent="0.3">
      <c r="A879">
        <v>1350224</v>
      </c>
      <c r="B879" t="s">
        <v>350</v>
      </c>
      <c r="C879" t="s">
        <v>351</v>
      </c>
      <c r="D879" t="s">
        <v>2060</v>
      </c>
      <c r="E879" s="1" t="s">
        <v>2061</v>
      </c>
      <c r="F879" t="s">
        <v>24</v>
      </c>
      <c r="G879" s="2">
        <v>44216.553842592592</v>
      </c>
    </row>
    <row r="880" spans="1:7" ht="15" customHeight="1" x14ac:dyDescent="0.3">
      <c r="A880">
        <v>1350216</v>
      </c>
      <c r="B880" t="s">
        <v>1013</v>
      </c>
      <c r="D880" t="s">
        <v>2062</v>
      </c>
      <c r="E880" s="1" t="s">
        <v>2063</v>
      </c>
      <c r="F880" t="s">
        <v>11</v>
      </c>
      <c r="G880" s="2">
        <v>44216.517314814817</v>
      </c>
    </row>
    <row r="881" spans="1:7" ht="15" customHeight="1" x14ac:dyDescent="0.3">
      <c r="A881">
        <v>1350213</v>
      </c>
      <c r="B881" t="s">
        <v>53</v>
      </c>
      <c r="C881" t="s">
        <v>54</v>
      </c>
      <c r="D881" t="s">
        <v>2064</v>
      </c>
      <c r="E881" s="1" t="s">
        <v>2065</v>
      </c>
      <c r="F881" t="s">
        <v>188</v>
      </c>
      <c r="G881" s="2">
        <v>44216.508101851854</v>
      </c>
    </row>
    <row r="882" spans="1:7" ht="15" customHeight="1" x14ac:dyDescent="0.3">
      <c r="A882">
        <v>1350208</v>
      </c>
      <c r="B882" t="s">
        <v>746</v>
      </c>
      <c r="C882" t="s">
        <v>747</v>
      </c>
      <c r="D882" t="s">
        <v>2066</v>
      </c>
      <c r="E882" s="1" t="s">
        <v>2067</v>
      </c>
      <c r="F882" t="s">
        <v>11</v>
      </c>
      <c r="G882" s="2">
        <v>44216.502847222226</v>
      </c>
    </row>
    <row r="883" spans="1:7" ht="15" customHeight="1" x14ac:dyDescent="0.3">
      <c r="A883">
        <v>1350203</v>
      </c>
      <c r="B883" t="s">
        <v>401</v>
      </c>
      <c r="C883" t="s">
        <v>402</v>
      </c>
      <c r="D883" t="s">
        <v>2068</v>
      </c>
      <c r="E883" s="1" t="s">
        <v>2069</v>
      </c>
      <c r="F883" t="s">
        <v>11</v>
      </c>
      <c r="G883" s="2">
        <v>44216.487534722219</v>
      </c>
    </row>
    <row r="884" spans="1:7" ht="15" customHeight="1" x14ac:dyDescent="0.3">
      <c r="A884">
        <v>1350202</v>
      </c>
      <c r="B884" t="s">
        <v>435</v>
      </c>
      <c r="C884" t="s">
        <v>436</v>
      </c>
      <c r="D884" t="s">
        <v>2070</v>
      </c>
      <c r="E884" s="1" t="s">
        <v>2071</v>
      </c>
      <c r="F884" t="s">
        <v>11</v>
      </c>
      <c r="G884" s="2">
        <v>44216.486122685186</v>
      </c>
    </row>
    <row r="885" spans="1:7" ht="15" customHeight="1" x14ac:dyDescent="0.3">
      <c r="A885">
        <v>1350201</v>
      </c>
      <c r="B885" t="s">
        <v>20</v>
      </c>
      <c r="C885" t="s">
        <v>136</v>
      </c>
      <c r="D885" t="s">
        <v>2072</v>
      </c>
      <c r="E885" s="1" t="s">
        <v>2073</v>
      </c>
      <c r="F885" t="s">
        <v>11</v>
      </c>
      <c r="G885" s="2">
        <v>44216.483715277776</v>
      </c>
    </row>
    <row r="886" spans="1:7" ht="15" customHeight="1" x14ac:dyDescent="0.3">
      <c r="A886">
        <v>1350196</v>
      </c>
      <c r="B886" t="s">
        <v>16</v>
      </c>
      <c r="C886" t="s">
        <v>181</v>
      </c>
      <c r="D886" t="s">
        <v>2074</v>
      </c>
      <c r="E886" s="1" t="s">
        <v>2075</v>
      </c>
      <c r="F886" t="s">
        <v>11</v>
      </c>
      <c r="G886" s="2">
        <v>44216.474259259259</v>
      </c>
    </row>
    <row r="887" spans="1:7" ht="15" customHeight="1" x14ac:dyDescent="0.3">
      <c r="A887">
        <v>1350192</v>
      </c>
      <c r="B887" t="s">
        <v>36</v>
      </c>
      <c r="C887" t="s">
        <v>509</v>
      </c>
      <c r="D887" t="s">
        <v>2076</v>
      </c>
      <c r="E887" s="1" t="s">
        <v>2077</v>
      </c>
      <c r="F887" t="s">
        <v>24</v>
      </c>
      <c r="G887" s="2">
        <v>44216.462337962963</v>
      </c>
    </row>
    <row r="888" spans="1:7" ht="15" customHeight="1" x14ac:dyDescent="0.3">
      <c r="A888">
        <v>1350190</v>
      </c>
      <c r="B888" t="s">
        <v>177</v>
      </c>
      <c r="C888" t="s">
        <v>178</v>
      </c>
      <c r="D888" t="s">
        <v>2078</v>
      </c>
      <c r="E888" s="1" t="s">
        <v>2079</v>
      </c>
      <c r="F888" t="s">
        <v>11</v>
      </c>
      <c r="G888" s="2">
        <v>44216.458796296298</v>
      </c>
    </row>
    <row r="889" spans="1:7" ht="15" customHeight="1" x14ac:dyDescent="0.3">
      <c r="A889">
        <v>1350184</v>
      </c>
      <c r="B889" t="s">
        <v>49</v>
      </c>
      <c r="C889" t="s">
        <v>798</v>
      </c>
      <c r="D889" t="s">
        <v>2080</v>
      </c>
      <c r="E889" s="1" t="s">
        <v>2081</v>
      </c>
      <c r="F889" t="s">
        <v>11</v>
      </c>
      <c r="G889" s="2">
        <v>44216.445115740738</v>
      </c>
    </row>
    <row r="890" spans="1:7" ht="15" customHeight="1" x14ac:dyDescent="0.3">
      <c r="A890">
        <v>1350183</v>
      </c>
      <c r="B890" t="s">
        <v>489</v>
      </c>
      <c r="C890" t="s">
        <v>2082</v>
      </c>
      <c r="D890" t="s">
        <v>2083</v>
      </c>
      <c r="E890" s="1" t="s">
        <v>2084</v>
      </c>
      <c r="F890" t="s">
        <v>11</v>
      </c>
      <c r="G890" s="2">
        <v>44216.444849537038</v>
      </c>
    </row>
    <row r="891" spans="1:7" ht="15" customHeight="1" x14ac:dyDescent="0.3">
      <c r="A891">
        <v>1350171</v>
      </c>
      <c r="B891" t="s">
        <v>297</v>
      </c>
      <c r="C891" t="s">
        <v>2085</v>
      </c>
      <c r="D891" t="s">
        <v>2086</v>
      </c>
      <c r="E891" s="1" t="s">
        <v>2087</v>
      </c>
      <c r="F891" t="s">
        <v>188</v>
      </c>
      <c r="G891" s="2">
        <v>44216.430243055554</v>
      </c>
    </row>
    <row r="892" spans="1:7" ht="15" customHeight="1" x14ac:dyDescent="0.3">
      <c r="A892">
        <v>1350170</v>
      </c>
      <c r="B892" t="s">
        <v>20</v>
      </c>
      <c r="C892" t="s">
        <v>2088</v>
      </c>
      <c r="D892" t="s">
        <v>2089</v>
      </c>
      <c r="E892" s="1" t="s">
        <v>2090</v>
      </c>
      <c r="F892" t="s">
        <v>11</v>
      </c>
      <c r="G892" s="2">
        <v>44216.430150462962</v>
      </c>
    </row>
    <row r="893" spans="1:7" ht="15" customHeight="1" x14ac:dyDescent="0.3">
      <c r="A893">
        <v>1350169</v>
      </c>
      <c r="B893" t="s">
        <v>20</v>
      </c>
      <c r="C893" t="s">
        <v>1596</v>
      </c>
      <c r="D893" t="s">
        <v>2091</v>
      </c>
      <c r="E893" s="1" t="s">
        <v>2092</v>
      </c>
      <c r="F893" t="s">
        <v>11</v>
      </c>
      <c r="G893" s="2">
        <v>44216.427673611113</v>
      </c>
    </row>
    <row r="894" spans="1:7" ht="15" customHeight="1" x14ac:dyDescent="0.3">
      <c r="A894">
        <v>1350168</v>
      </c>
      <c r="B894" t="s">
        <v>20</v>
      </c>
      <c r="C894" t="s">
        <v>136</v>
      </c>
      <c r="D894" t="s">
        <v>2093</v>
      </c>
      <c r="E894" s="1" t="s">
        <v>2094</v>
      </c>
      <c r="F894" t="s">
        <v>11</v>
      </c>
      <c r="G894" s="2">
        <v>44216.42695601852</v>
      </c>
    </row>
    <row r="895" spans="1:7" ht="15" customHeight="1" x14ac:dyDescent="0.3">
      <c r="A895">
        <v>1350166</v>
      </c>
      <c r="B895" t="s">
        <v>746</v>
      </c>
      <c r="C895" t="s">
        <v>1203</v>
      </c>
      <c r="D895" t="s">
        <v>2095</v>
      </c>
      <c r="E895" s="1" t="s">
        <v>2096</v>
      </c>
      <c r="F895" t="s">
        <v>11</v>
      </c>
      <c r="G895" s="2">
        <v>44216.42459490741</v>
      </c>
    </row>
    <row r="896" spans="1:7" ht="15" customHeight="1" x14ac:dyDescent="0.3">
      <c r="A896">
        <v>1350147</v>
      </c>
      <c r="B896" t="s">
        <v>20</v>
      </c>
      <c r="C896" t="s">
        <v>2097</v>
      </c>
      <c r="D896" t="s">
        <v>2098</v>
      </c>
      <c r="E896" s="1" t="s">
        <v>2099</v>
      </c>
      <c r="F896" t="s">
        <v>11</v>
      </c>
      <c r="G896" s="2">
        <v>44216.417604166665</v>
      </c>
    </row>
    <row r="897" spans="1:7" ht="15" customHeight="1" x14ac:dyDescent="0.3">
      <c r="A897">
        <v>1350130</v>
      </c>
      <c r="B897" t="s">
        <v>74</v>
      </c>
      <c r="C897" t="s">
        <v>1374</v>
      </c>
      <c r="D897" t="s">
        <v>2100</v>
      </c>
      <c r="E897" s="1" t="s">
        <v>2101</v>
      </c>
      <c r="F897" t="s">
        <v>11</v>
      </c>
      <c r="G897" s="2">
        <v>44216.401736111111</v>
      </c>
    </row>
    <row r="898" spans="1:7" ht="15" customHeight="1" x14ac:dyDescent="0.3">
      <c r="A898">
        <v>1350128</v>
      </c>
      <c r="B898" t="s">
        <v>36</v>
      </c>
      <c r="C898" t="s">
        <v>700</v>
      </c>
      <c r="D898" t="s">
        <v>2102</v>
      </c>
      <c r="E898" s="1" t="s">
        <v>2103</v>
      </c>
      <c r="F898" t="s">
        <v>24</v>
      </c>
      <c r="G898" s="2">
        <v>44216.399409722224</v>
      </c>
    </row>
    <row r="899" spans="1:7" ht="15" customHeight="1" x14ac:dyDescent="0.3">
      <c r="A899">
        <v>1350125</v>
      </c>
      <c r="B899" t="s">
        <v>32</v>
      </c>
      <c r="C899" t="s">
        <v>1257</v>
      </c>
      <c r="D899" t="s">
        <v>2104</v>
      </c>
      <c r="E899" s="1" t="s">
        <v>2105</v>
      </c>
      <c r="F899" t="s">
        <v>11</v>
      </c>
      <c r="G899" s="2">
        <v>44216.397175925929</v>
      </c>
    </row>
    <row r="900" spans="1:7" ht="15" customHeight="1" x14ac:dyDescent="0.3">
      <c r="A900">
        <v>1350124</v>
      </c>
      <c r="B900" t="s">
        <v>36</v>
      </c>
      <c r="C900" t="s">
        <v>822</v>
      </c>
      <c r="D900" t="s">
        <v>2106</v>
      </c>
      <c r="E900" s="1" t="s">
        <v>2107</v>
      </c>
      <c r="F900" t="s">
        <v>24</v>
      </c>
      <c r="G900" s="2">
        <v>44216.394479166665</v>
      </c>
    </row>
    <row r="901" spans="1:7" ht="15" customHeight="1" x14ac:dyDescent="0.3">
      <c r="A901">
        <v>1350123</v>
      </c>
      <c r="B901" t="s">
        <v>53</v>
      </c>
      <c r="C901" t="s">
        <v>1240</v>
      </c>
      <c r="D901" t="s">
        <v>2108</v>
      </c>
      <c r="E901" s="1" t="s">
        <v>2109</v>
      </c>
      <c r="F901" t="s">
        <v>11</v>
      </c>
      <c r="G901" s="2">
        <v>44216.393622685187</v>
      </c>
    </row>
    <row r="902" spans="1:7" ht="15" customHeight="1" x14ac:dyDescent="0.3">
      <c r="A902">
        <v>1350121</v>
      </c>
      <c r="B902" t="s">
        <v>503</v>
      </c>
      <c r="D902" t="s">
        <v>2110</v>
      </c>
      <c r="E902" s="1" t="s">
        <v>2111</v>
      </c>
      <c r="F902" t="s">
        <v>11</v>
      </c>
      <c r="G902" s="2">
        <v>44216.389490740738</v>
      </c>
    </row>
    <row r="903" spans="1:7" ht="15" customHeight="1" x14ac:dyDescent="0.3">
      <c r="A903">
        <v>1350118</v>
      </c>
      <c r="B903" t="s">
        <v>150</v>
      </c>
      <c r="C903" t="s">
        <v>1797</v>
      </c>
      <c r="D903" t="s">
        <v>2112</v>
      </c>
      <c r="E903" s="1" t="s">
        <v>2113</v>
      </c>
      <c r="F903" t="s">
        <v>24</v>
      </c>
      <c r="G903" s="2">
        <v>44216.3825462963</v>
      </c>
    </row>
    <row r="904" spans="1:7" ht="15" customHeight="1" x14ac:dyDescent="0.3">
      <c r="A904">
        <v>1350116</v>
      </c>
      <c r="B904" t="s">
        <v>515</v>
      </c>
      <c r="C904" t="s">
        <v>2114</v>
      </c>
      <c r="D904" t="s">
        <v>2115</v>
      </c>
      <c r="E904" s="1" t="s">
        <v>2116</v>
      </c>
      <c r="F904" t="s">
        <v>24</v>
      </c>
      <c r="G904" s="2">
        <v>44216.382106481484</v>
      </c>
    </row>
    <row r="905" spans="1:7" ht="15" customHeight="1" x14ac:dyDescent="0.3">
      <c r="A905">
        <v>1350115</v>
      </c>
      <c r="B905" t="s">
        <v>32</v>
      </c>
      <c r="C905" t="s">
        <v>463</v>
      </c>
      <c r="D905" t="s">
        <v>2117</v>
      </c>
      <c r="E905" s="1" t="s">
        <v>2111</v>
      </c>
      <c r="F905" t="s">
        <v>11</v>
      </c>
      <c r="G905" s="2">
        <v>44216.379988425928</v>
      </c>
    </row>
    <row r="906" spans="1:7" ht="15" customHeight="1" x14ac:dyDescent="0.3">
      <c r="A906">
        <v>1350112</v>
      </c>
      <c r="B906" t="s">
        <v>12</v>
      </c>
      <c r="C906" t="s">
        <v>2118</v>
      </c>
      <c r="D906" t="s">
        <v>2119</v>
      </c>
      <c r="E906" s="1" t="s">
        <v>2120</v>
      </c>
      <c r="F906" t="s">
        <v>11</v>
      </c>
      <c r="G906" s="2">
        <v>44216.376851851855</v>
      </c>
    </row>
    <row r="907" spans="1:7" ht="15" customHeight="1" x14ac:dyDescent="0.3">
      <c r="A907">
        <v>1350111</v>
      </c>
      <c r="B907" t="s">
        <v>746</v>
      </c>
      <c r="C907" t="s">
        <v>888</v>
      </c>
      <c r="D907" t="s">
        <v>2121</v>
      </c>
      <c r="E907" s="1" t="s">
        <v>2122</v>
      </c>
      <c r="F907" t="s">
        <v>11</v>
      </c>
      <c r="G907" s="2">
        <v>44216.376354166663</v>
      </c>
    </row>
    <row r="908" spans="1:7" ht="15" customHeight="1" x14ac:dyDescent="0.3">
      <c r="A908">
        <v>1350089</v>
      </c>
      <c r="B908" t="s">
        <v>53</v>
      </c>
      <c r="C908" t="s">
        <v>2123</v>
      </c>
      <c r="D908" t="s">
        <v>2124</v>
      </c>
      <c r="E908" s="1" t="s">
        <v>2125</v>
      </c>
      <c r="F908" t="s">
        <v>11</v>
      </c>
      <c r="G908" s="2">
        <v>44216.336053240739</v>
      </c>
    </row>
    <row r="909" spans="1:7" ht="15" customHeight="1" x14ac:dyDescent="0.3">
      <c r="A909">
        <v>1350074</v>
      </c>
      <c r="B909" t="s">
        <v>157</v>
      </c>
      <c r="C909" t="s">
        <v>627</v>
      </c>
      <c r="D909" t="s">
        <v>1486</v>
      </c>
      <c r="E909" s="1" t="s">
        <v>2126</v>
      </c>
      <c r="F909" t="s">
        <v>11</v>
      </c>
      <c r="G909" s="2">
        <v>44216.328831018516</v>
      </c>
    </row>
    <row r="910" spans="1:7" ht="15" customHeight="1" x14ac:dyDescent="0.3">
      <c r="A910">
        <v>1350055</v>
      </c>
      <c r="B910" t="s">
        <v>301</v>
      </c>
      <c r="C910" t="s">
        <v>2127</v>
      </c>
      <c r="D910" t="s">
        <v>2128</v>
      </c>
      <c r="E910" s="1" t="s">
        <v>2129</v>
      </c>
      <c r="F910" t="s">
        <v>11</v>
      </c>
      <c r="G910" s="2">
        <v>44216.259386574071</v>
      </c>
    </row>
    <row r="911" spans="1:7" ht="15" customHeight="1" x14ac:dyDescent="0.3">
      <c r="A911">
        <v>1349975</v>
      </c>
      <c r="B911" t="s">
        <v>2130</v>
      </c>
      <c r="C911" t="s">
        <v>2131</v>
      </c>
      <c r="D911" t="s">
        <v>2132</v>
      </c>
      <c r="E911" s="1" t="s">
        <v>2133</v>
      </c>
      <c r="F911" t="s">
        <v>1158</v>
      </c>
      <c r="G911" s="2">
        <v>44216.000081018516</v>
      </c>
    </row>
    <row r="912" spans="1:7" ht="15" customHeight="1" x14ac:dyDescent="0.3">
      <c r="A912">
        <v>1349974</v>
      </c>
      <c r="B912" t="s">
        <v>431</v>
      </c>
      <c r="C912" t="s">
        <v>432</v>
      </c>
      <c r="D912" t="s">
        <v>1156</v>
      </c>
      <c r="E912" s="1" t="s">
        <v>1157</v>
      </c>
      <c r="F912" t="s">
        <v>1158</v>
      </c>
      <c r="G912" s="2">
        <v>44216.000069444446</v>
      </c>
    </row>
    <row r="913" spans="1:7" ht="15" customHeight="1" x14ac:dyDescent="0.3">
      <c r="A913">
        <v>1349973</v>
      </c>
      <c r="B913" t="s">
        <v>1169</v>
      </c>
      <c r="C913" t="s">
        <v>1170</v>
      </c>
      <c r="D913" t="s">
        <v>1156</v>
      </c>
      <c r="E913" s="1" t="s">
        <v>1157</v>
      </c>
      <c r="F913" t="s">
        <v>1158</v>
      </c>
      <c r="G913" s="2">
        <v>44216.000057870369</v>
      </c>
    </row>
    <row r="914" spans="1:7" ht="15" customHeight="1" x14ac:dyDescent="0.3">
      <c r="A914">
        <v>1349865</v>
      </c>
      <c r="B914" t="s">
        <v>2134</v>
      </c>
      <c r="C914" t="s">
        <v>2135</v>
      </c>
      <c r="D914" t="s">
        <v>2136</v>
      </c>
      <c r="E914" s="1" t="s">
        <v>2137</v>
      </c>
      <c r="F914" t="s">
        <v>11</v>
      </c>
      <c r="G914" s="2">
        <v>44215.844537037039</v>
      </c>
    </row>
    <row r="915" spans="1:7" ht="15" customHeight="1" x14ac:dyDescent="0.3">
      <c r="A915">
        <v>1349803</v>
      </c>
      <c r="B915" t="s">
        <v>214</v>
      </c>
      <c r="C915" t="s">
        <v>480</v>
      </c>
      <c r="D915">
        <v>1349090</v>
      </c>
      <c r="E915" s="1" t="s">
        <v>2138</v>
      </c>
      <c r="F915" t="s">
        <v>11</v>
      </c>
      <c r="G915" s="2">
        <v>44215.763726851852</v>
      </c>
    </row>
    <row r="916" spans="1:7" ht="15" customHeight="1" x14ac:dyDescent="0.3">
      <c r="A916">
        <v>1349758</v>
      </c>
      <c r="B916" t="s">
        <v>2033</v>
      </c>
      <c r="C916" t="s">
        <v>2139</v>
      </c>
      <c r="D916" t="s">
        <v>2140</v>
      </c>
      <c r="E916" s="1" t="s">
        <v>2141</v>
      </c>
      <c r="F916" t="s">
        <v>11</v>
      </c>
      <c r="G916" s="2">
        <v>44215.703703703701</v>
      </c>
    </row>
    <row r="917" spans="1:7" ht="15" customHeight="1" x14ac:dyDescent="0.3">
      <c r="A917">
        <v>1349757</v>
      </c>
      <c r="B917" t="s">
        <v>401</v>
      </c>
      <c r="C917" t="s">
        <v>402</v>
      </c>
      <c r="D917" t="s">
        <v>2142</v>
      </c>
      <c r="E917" s="1" t="s">
        <v>2143</v>
      </c>
      <c r="F917" t="s">
        <v>24</v>
      </c>
      <c r="G917" s="2">
        <v>44215.69871527778</v>
      </c>
    </row>
    <row r="918" spans="1:7" ht="15" customHeight="1" x14ac:dyDescent="0.3">
      <c r="A918">
        <v>1349753</v>
      </c>
      <c r="B918" t="s">
        <v>214</v>
      </c>
      <c r="C918" t="s">
        <v>215</v>
      </c>
      <c r="D918" t="s">
        <v>2144</v>
      </c>
      <c r="E918" s="1" t="s">
        <v>2145</v>
      </c>
      <c r="F918" t="s">
        <v>11</v>
      </c>
      <c r="G918" s="2">
        <v>44215.694131944445</v>
      </c>
    </row>
    <row r="919" spans="1:7" ht="15" customHeight="1" x14ac:dyDescent="0.3">
      <c r="A919">
        <v>1349745</v>
      </c>
      <c r="B919" t="s">
        <v>16</v>
      </c>
      <c r="C919" t="s">
        <v>181</v>
      </c>
      <c r="D919" t="s">
        <v>2146</v>
      </c>
      <c r="E919" s="1" t="s">
        <v>2147</v>
      </c>
      <c r="F919" t="s">
        <v>11</v>
      </c>
      <c r="G919" s="2">
        <v>44215.678020833337</v>
      </c>
    </row>
    <row r="920" spans="1:7" ht="15" customHeight="1" x14ac:dyDescent="0.3">
      <c r="A920">
        <v>1349740</v>
      </c>
      <c r="B920" t="s">
        <v>95</v>
      </c>
      <c r="C920" t="s">
        <v>2148</v>
      </c>
      <c r="D920" t="s">
        <v>2149</v>
      </c>
      <c r="E920" s="1" t="s">
        <v>2150</v>
      </c>
      <c r="F920" t="s">
        <v>11</v>
      </c>
      <c r="G920" s="2">
        <v>44215.669641203705</v>
      </c>
    </row>
    <row r="921" spans="1:7" ht="15" customHeight="1" x14ac:dyDescent="0.3">
      <c r="A921">
        <v>1349736</v>
      </c>
      <c r="B921" t="s">
        <v>91</v>
      </c>
      <c r="C921" t="s">
        <v>92</v>
      </c>
      <c r="D921" t="s">
        <v>2151</v>
      </c>
      <c r="E921" s="1" t="s">
        <v>2152</v>
      </c>
      <c r="F921" t="s">
        <v>11</v>
      </c>
      <c r="G921" s="2">
        <v>44215.664340277777</v>
      </c>
    </row>
    <row r="922" spans="1:7" ht="15" customHeight="1" x14ac:dyDescent="0.3">
      <c r="A922">
        <v>1349734</v>
      </c>
      <c r="B922" t="s">
        <v>1105</v>
      </c>
      <c r="C922" t="s">
        <v>1106</v>
      </c>
      <c r="D922" t="s">
        <v>1969</v>
      </c>
      <c r="E922" s="1" t="s">
        <v>2153</v>
      </c>
      <c r="F922" t="s">
        <v>11</v>
      </c>
      <c r="G922" s="2">
        <v>44215.654918981483</v>
      </c>
    </row>
    <row r="923" spans="1:7" ht="15" customHeight="1" x14ac:dyDescent="0.3">
      <c r="A923">
        <v>1349733</v>
      </c>
      <c r="B923" t="s">
        <v>53</v>
      </c>
      <c r="C923" t="s">
        <v>2154</v>
      </c>
      <c r="D923" t="s">
        <v>2155</v>
      </c>
      <c r="E923" s="1" t="s">
        <v>2156</v>
      </c>
      <c r="F923" t="s">
        <v>11</v>
      </c>
      <c r="G923" s="2">
        <v>44215.651597222219</v>
      </c>
    </row>
    <row r="924" spans="1:7" ht="15" customHeight="1" x14ac:dyDescent="0.3">
      <c r="A924">
        <v>1349728</v>
      </c>
      <c r="B924" t="s">
        <v>74</v>
      </c>
      <c r="C924" t="s">
        <v>2157</v>
      </c>
      <c r="D924" t="s">
        <v>2158</v>
      </c>
      <c r="E924" s="1" t="s">
        <v>2159</v>
      </c>
      <c r="F924" t="s">
        <v>11</v>
      </c>
      <c r="G924" s="2">
        <v>44215.6327662037</v>
      </c>
    </row>
    <row r="925" spans="1:7" ht="15" customHeight="1" x14ac:dyDescent="0.3">
      <c r="A925">
        <v>1349726</v>
      </c>
      <c r="B925" t="s">
        <v>435</v>
      </c>
      <c r="C925" t="s">
        <v>436</v>
      </c>
      <c r="D925" t="s">
        <v>1867</v>
      </c>
      <c r="E925" s="1" t="s">
        <v>2160</v>
      </c>
      <c r="F925" t="s">
        <v>11</v>
      </c>
      <c r="G925" s="2">
        <v>44215.629224537035</v>
      </c>
    </row>
    <row r="926" spans="1:7" ht="15" customHeight="1" x14ac:dyDescent="0.3">
      <c r="A926">
        <v>1349725</v>
      </c>
      <c r="B926" t="s">
        <v>20</v>
      </c>
      <c r="C926" t="s">
        <v>2161</v>
      </c>
      <c r="D926">
        <v>1347143</v>
      </c>
      <c r="E926" s="1" t="s">
        <v>2162</v>
      </c>
      <c r="F926" t="s">
        <v>11</v>
      </c>
      <c r="G926" s="2">
        <v>44215.628275462965</v>
      </c>
    </row>
    <row r="927" spans="1:7" ht="15" customHeight="1" x14ac:dyDescent="0.3">
      <c r="A927">
        <v>1349722</v>
      </c>
      <c r="B927" t="s">
        <v>20</v>
      </c>
      <c r="C927" t="s">
        <v>57</v>
      </c>
      <c r="D927" t="s">
        <v>2163</v>
      </c>
      <c r="E927" s="1" t="s">
        <v>2164</v>
      </c>
      <c r="F927" t="s">
        <v>24</v>
      </c>
      <c r="G927" s="2">
        <v>44215.61855324074</v>
      </c>
    </row>
    <row r="928" spans="1:7" ht="15" customHeight="1" x14ac:dyDescent="0.3">
      <c r="A928">
        <v>1349721</v>
      </c>
      <c r="B928" t="s">
        <v>435</v>
      </c>
      <c r="C928" t="s">
        <v>436</v>
      </c>
      <c r="D928" t="s">
        <v>2165</v>
      </c>
      <c r="E928" s="1" t="s">
        <v>2166</v>
      </c>
      <c r="F928" t="s">
        <v>11</v>
      </c>
      <c r="G928" s="2">
        <v>44215.618136574078</v>
      </c>
    </row>
    <row r="929" spans="1:7" ht="15" customHeight="1" x14ac:dyDescent="0.3">
      <c r="A929">
        <v>1349716</v>
      </c>
      <c r="B929" t="s">
        <v>2167</v>
      </c>
      <c r="C929" t="s">
        <v>2168</v>
      </c>
      <c r="D929" t="s">
        <v>2169</v>
      </c>
      <c r="E929" s="1" t="s">
        <v>2170</v>
      </c>
      <c r="F929" t="s">
        <v>188</v>
      </c>
      <c r="G929" s="2">
        <v>44215.61041666667</v>
      </c>
    </row>
    <row r="930" spans="1:7" ht="15" customHeight="1" x14ac:dyDescent="0.3">
      <c r="A930">
        <v>1349714</v>
      </c>
      <c r="B930" t="s">
        <v>132</v>
      </c>
      <c r="C930" t="s">
        <v>1072</v>
      </c>
      <c r="D930" t="s">
        <v>2171</v>
      </c>
      <c r="E930" s="1" t="s">
        <v>2172</v>
      </c>
      <c r="F930" t="s">
        <v>24</v>
      </c>
      <c r="G930" s="2">
        <v>44215.594849537039</v>
      </c>
    </row>
    <row r="931" spans="1:7" ht="15" customHeight="1" x14ac:dyDescent="0.3">
      <c r="A931">
        <v>1349711</v>
      </c>
      <c r="B931" t="s">
        <v>435</v>
      </c>
      <c r="C931" t="s">
        <v>436</v>
      </c>
      <c r="D931" t="s">
        <v>2173</v>
      </c>
      <c r="E931" s="1" t="s">
        <v>2174</v>
      </c>
      <c r="F931" t="s">
        <v>11</v>
      </c>
      <c r="G931" s="2">
        <v>44215.587384259263</v>
      </c>
    </row>
    <row r="932" spans="1:7" ht="15" customHeight="1" x14ac:dyDescent="0.3">
      <c r="A932">
        <v>1349710</v>
      </c>
      <c r="B932" t="s">
        <v>36</v>
      </c>
      <c r="C932" t="s">
        <v>1666</v>
      </c>
      <c r="D932" t="s">
        <v>2175</v>
      </c>
      <c r="E932" s="1" t="s">
        <v>2176</v>
      </c>
      <c r="F932" t="s">
        <v>11</v>
      </c>
      <c r="G932" s="2">
        <v>44215.587372685186</v>
      </c>
    </row>
    <row r="933" spans="1:7" ht="15" customHeight="1" x14ac:dyDescent="0.3">
      <c r="A933">
        <v>1349702</v>
      </c>
      <c r="B933" t="s">
        <v>20</v>
      </c>
      <c r="C933" t="s">
        <v>2177</v>
      </c>
      <c r="D933" t="s">
        <v>2178</v>
      </c>
      <c r="E933" s="1" t="s">
        <v>2179</v>
      </c>
      <c r="F933" t="s">
        <v>11</v>
      </c>
      <c r="G933" s="2">
        <v>44215.561412037037</v>
      </c>
    </row>
    <row r="934" spans="1:7" ht="15" customHeight="1" x14ac:dyDescent="0.3">
      <c r="A934">
        <v>1349679</v>
      </c>
      <c r="B934" t="s">
        <v>16</v>
      </c>
      <c r="C934" t="s">
        <v>158</v>
      </c>
      <c r="D934" t="s">
        <v>1508</v>
      </c>
      <c r="E934" s="1" t="s">
        <v>2180</v>
      </c>
      <c r="F934" t="s">
        <v>11</v>
      </c>
      <c r="G934" s="2">
        <v>44215.512465277781</v>
      </c>
    </row>
    <row r="935" spans="1:7" ht="15" customHeight="1" x14ac:dyDescent="0.3">
      <c r="A935">
        <v>1349676</v>
      </c>
      <c r="B935" t="s">
        <v>435</v>
      </c>
      <c r="C935" t="s">
        <v>436</v>
      </c>
      <c r="D935">
        <v>1343299</v>
      </c>
      <c r="E935" s="1" t="s">
        <v>2181</v>
      </c>
      <c r="F935" t="s">
        <v>11</v>
      </c>
      <c r="G935" s="2">
        <v>44215.504583333335</v>
      </c>
    </row>
    <row r="936" spans="1:7" ht="15" customHeight="1" x14ac:dyDescent="0.3">
      <c r="A936">
        <v>1349668</v>
      </c>
      <c r="B936" t="s">
        <v>503</v>
      </c>
      <c r="D936" t="s">
        <v>2182</v>
      </c>
      <c r="E936" s="1" t="s">
        <v>2183</v>
      </c>
      <c r="F936" t="s">
        <v>11</v>
      </c>
      <c r="G936" s="2">
        <v>44215.477071759262</v>
      </c>
    </row>
    <row r="937" spans="1:7" ht="15" customHeight="1" x14ac:dyDescent="0.3">
      <c r="A937">
        <v>1349667</v>
      </c>
      <c r="B937" t="s">
        <v>435</v>
      </c>
      <c r="C937" t="s">
        <v>436</v>
      </c>
      <c r="D937" t="s">
        <v>2184</v>
      </c>
      <c r="E937" s="1" t="s">
        <v>2185</v>
      </c>
      <c r="F937" t="s">
        <v>11</v>
      </c>
      <c r="G937" s="2">
        <v>44215.474641203706</v>
      </c>
    </row>
    <row r="938" spans="1:7" ht="15" customHeight="1" x14ac:dyDescent="0.3">
      <c r="A938">
        <v>1349654</v>
      </c>
      <c r="B938" t="s">
        <v>7</v>
      </c>
      <c r="C938" t="s">
        <v>1539</v>
      </c>
      <c r="D938" t="s">
        <v>2186</v>
      </c>
      <c r="E938" s="1" t="s">
        <v>1541</v>
      </c>
      <c r="F938" t="s">
        <v>11</v>
      </c>
      <c r="G938" s="2">
        <v>44215.463773148149</v>
      </c>
    </row>
    <row r="939" spans="1:7" ht="15" customHeight="1" x14ac:dyDescent="0.3">
      <c r="A939">
        <v>1349652</v>
      </c>
      <c r="B939" t="s">
        <v>350</v>
      </c>
      <c r="C939" t="s">
        <v>351</v>
      </c>
      <c r="D939" t="s">
        <v>2187</v>
      </c>
      <c r="E939" s="1" t="s">
        <v>2188</v>
      </c>
      <c r="F939" t="s">
        <v>24</v>
      </c>
      <c r="G939" s="2">
        <v>44215.449074074073</v>
      </c>
    </row>
    <row r="940" spans="1:7" ht="15" customHeight="1" x14ac:dyDescent="0.3">
      <c r="A940">
        <v>1349651</v>
      </c>
      <c r="B940" t="s">
        <v>95</v>
      </c>
      <c r="C940" t="s">
        <v>2189</v>
      </c>
      <c r="D940" t="s">
        <v>2190</v>
      </c>
      <c r="E940" s="1" t="s">
        <v>2191</v>
      </c>
      <c r="F940" t="s">
        <v>24</v>
      </c>
      <c r="G940" s="2">
        <v>44215.44740740741</v>
      </c>
    </row>
    <row r="941" spans="1:7" ht="15" customHeight="1" x14ac:dyDescent="0.3">
      <c r="A941">
        <v>1349650</v>
      </c>
      <c r="B941" t="s">
        <v>1137</v>
      </c>
      <c r="C941" t="s">
        <v>1138</v>
      </c>
      <c r="D941" t="s">
        <v>2192</v>
      </c>
      <c r="E941" s="1" t="s">
        <v>2193</v>
      </c>
      <c r="F941" t="s">
        <v>11</v>
      </c>
      <c r="G941" s="2">
        <v>44215.446238425924</v>
      </c>
    </row>
    <row r="942" spans="1:7" ht="15" customHeight="1" x14ac:dyDescent="0.3">
      <c r="A942">
        <v>1349640</v>
      </c>
      <c r="B942" t="s">
        <v>16</v>
      </c>
      <c r="C942" t="s">
        <v>2194</v>
      </c>
      <c r="D942" t="s">
        <v>2195</v>
      </c>
      <c r="E942" s="1" t="s">
        <v>2196</v>
      </c>
      <c r="F942" t="s">
        <v>11</v>
      </c>
      <c r="G942" s="2">
        <v>44215.439976851849</v>
      </c>
    </row>
    <row r="943" spans="1:7" ht="15" customHeight="1" x14ac:dyDescent="0.3">
      <c r="A943">
        <v>1349637</v>
      </c>
      <c r="B943" t="s">
        <v>157</v>
      </c>
      <c r="C943" t="s">
        <v>627</v>
      </c>
      <c r="D943" t="s">
        <v>2197</v>
      </c>
      <c r="E943" s="1" t="s">
        <v>2198</v>
      </c>
      <c r="F943" t="s">
        <v>11</v>
      </c>
      <c r="G943" s="2">
        <v>44215.435949074075</v>
      </c>
    </row>
    <row r="944" spans="1:7" ht="15" customHeight="1" x14ac:dyDescent="0.3">
      <c r="A944">
        <v>1349626</v>
      </c>
      <c r="B944" t="s">
        <v>36</v>
      </c>
      <c r="C944" t="s">
        <v>2199</v>
      </c>
      <c r="D944" t="s">
        <v>2200</v>
      </c>
      <c r="E944" s="1" t="s">
        <v>2201</v>
      </c>
      <c r="F944" t="s">
        <v>24</v>
      </c>
      <c r="G944" s="2">
        <v>44215.420555555553</v>
      </c>
    </row>
    <row r="945" spans="1:7" ht="15" customHeight="1" x14ac:dyDescent="0.3">
      <c r="A945">
        <v>1349596</v>
      </c>
      <c r="B945" t="s">
        <v>20</v>
      </c>
      <c r="C945" t="s">
        <v>2161</v>
      </c>
      <c r="D945" t="s">
        <v>2202</v>
      </c>
      <c r="E945" s="1" t="s">
        <v>2203</v>
      </c>
      <c r="F945" t="s">
        <v>11</v>
      </c>
      <c r="G945" s="2">
        <v>44215.417002314818</v>
      </c>
    </row>
    <row r="946" spans="1:7" ht="15" customHeight="1" x14ac:dyDescent="0.3">
      <c r="A946">
        <v>1349590</v>
      </c>
      <c r="B946" t="s">
        <v>1782</v>
      </c>
      <c r="C946" t="s">
        <v>2204</v>
      </c>
      <c r="D946" t="s">
        <v>2205</v>
      </c>
      <c r="E946" s="1" t="s">
        <v>2206</v>
      </c>
      <c r="F946" t="s">
        <v>11</v>
      </c>
      <c r="G946" s="2">
        <v>44215.406539351854</v>
      </c>
    </row>
    <row r="947" spans="1:7" ht="15" customHeight="1" x14ac:dyDescent="0.3">
      <c r="A947">
        <v>1349585</v>
      </c>
      <c r="B947" t="s">
        <v>1956</v>
      </c>
      <c r="C947" t="s">
        <v>646</v>
      </c>
      <c r="D947" t="s">
        <v>2207</v>
      </c>
      <c r="E947" s="1" t="s">
        <v>2208</v>
      </c>
      <c r="F947" t="s">
        <v>11</v>
      </c>
      <c r="G947" s="2">
        <v>44215.399270833332</v>
      </c>
    </row>
    <row r="948" spans="1:7" ht="15" customHeight="1" x14ac:dyDescent="0.3">
      <c r="A948">
        <v>1349579</v>
      </c>
      <c r="B948" t="s">
        <v>545</v>
      </c>
      <c r="C948" t="s">
        <v>2209</v>
      </c>
      <c r="D948" t="s">
        <v>2210</v>
      </c>
      <c r="E948" s="1" t="s">
        <v>2211</v>
      </c>
      <c r="F948" t="s">
        <v>24</v>
      </c>
      <c r="G948" s="2">
        <v>44215.393599537034</v>
      </c>
    </row>
    <row r="949" spans="1:7" ht="15" customHeight="1" x14ac:dyDescent="0.3">
      <c r="A949">
        <v>1349571</v>
      </c>
      <c r="B949" t="s">
        <v>191</v>
      </c>
      <c r="C949" t="s">
        <v>192</v>
      </c>
      <c r="D949" t="s">
        <v>2212</v>
      </c>
      <c r="E949" s="1" t="s">
        <v>2213</v>
      </c>
      <c r="F949" t="s">
        <v>11</v>
      </c>
      <c r="G949" s="2">
        <v>44215.372407407405</v>
      </c>
    </row>
    <row r="950" spans="1:7" ht="15" customHeight="1" x14ac:dyDescent="0.3">
      <c r="A950">
        <v>1349563</v>
      </c>
      <c r="B950" t="s">
        <v>91</v>
      </c>
      <c r="C950" t="s">
        <v>1842</v>
      </c>
      <c r="D950" t="s">
        <v>2214</v>
      </c>
      <c r="E950" s="1" t="s">
        <v>2215</v>
      </c>
      <c r="F950" t="s">
        <v>11</v>
      </c>
      <c r="G950" s="2">
        <v>44215.359861111108</v>
      </c>
    </row>
    <row r="951" spans="1:7" ht="15" customHeight="1" x14ac:dyDescent="0.3">
      <c r="A951">
        <v>1349556</v>
      </c>
      <c r="B951" t="s">
        <v>177</v>
      </c>
      <c r="C951" t="s">
        <v>158</v>
      </c>
      <c r="D951" t="s">
        <v>2216</v>
      </c>
      <c r="E951" s="1" t="s">
        <v>2217</v>
      </c>
      <c r="F951" t="s">
        <v>24</v>
      </c>
      <c r="G951" s="2">
        <v>44215.353460648148</v>
      </c>
    </row>
    <row r="952" spans="1:7" ht="15" customHeight="1" x14ac:dyDescent="0.3">
      <c r="A952">
        <v>1349545</v>
      </c>
      <c r="B952" t="s">
        <v>435</v>
      </c>
      <c r="C952" t="s">
        <v>436</v>
      </c>
      <c r="D952" t="s">
        <v>1943</v>
      </c>
      <c r="E952" s="1" t="s">
        <v>2218</v>
      </c>
      <c r="F952" t="s">
        <v>11</v>
      </c>
      <c r="G952" s="2">
        <v>44215.334282407406</v>
      </c>
    </row>
    <row r="953" spans="1:7" ht="15" customHeight="1" x14ac:dyDescent="0.3">
      <c r="A953">
        <v>1349433</v>
      </c>
      <c r="B953" t="s">
        <v>95</v>
      </c>
      <c r="C953" t="s">
        <v>668</v>
      </c>
      <c r="D953" t="s">
        <v>1323</v>
      </c>
      <c r="E953" t="s">
        <v>1324</v>
      </c>
      <c r="F953" t="s">
        <v>1158</v>
      </c>
      <c r="G953" s="2">
        <v>44215.000127314815</v>
      </c>
    </row>
    <row r="954" spans="1:7" ht="15" customHeight="1" x14ac:dyDescent="0.3">
      <c r="A954">
        <v>1349432</v>
      </c>
      <c r="B954" t="s">
        <v>95</v>
      </c>
      <c r="C954" t="s">
        <v>668</v>
      </c>
      <c r="D954" t="s">
        <v>1323</v>
      </c>
      <c r="E954" t="s">
        <v>1324</v>
      </c>
      <c r="F954" t="s">
        <v>1158</v>
      </c>
      <c r="G954" s="2">
        <v>44215.000115740739</v>
      </c>
    </row>
    <row r="955" spans="1:7" ht="15" customHeight="1" x14ac:dyDescent="0.3">
      <c r="A955">
        <v>1349430</v>
      </c>
      <c r="B955" t="s">
        <v>1413</v>
      </c>
      <c r="C955" t="s">
        <v>2219</v>
      </c>
      <c r="D955" t="s">
        <v>2220</v>
      </c>
      <c r="E955" s="1" t="s">
        <v>1326</v>
      </c>
      <c r="F955" t="s">
        <v>1158</v>
      </c>
      <c r="G955" s="2">
        <v>44215.000104166669</v>
      </c>
    </row>
    <row r="956" spans="1:7" ht="15" customHeight="1" x14ac:dyDescent="0.3">
      <c r="A956">
        <v>1349428</v>
      </c>
      <c r="B956" t="s">
        <v>2221</v>
      </c>
      <c r="C956" t="s">
        <v>2222</v>
      </c>
      <c r="D956" t="s">
        <v>1429</v>
      </c>
      <c r="E956" s="1" t="s">
        <v>1160</v>
      </c>
      <c r="F956" t="s">
        <v>1158</v>
      </c>
      <c r="G956" s="2">
        <v>44215.000092592592</v>
      </c>
    </row>
    <row r="957" spans="1:7" ht="15" customHeight="1" x14ac:dyDescent="0.3">
      <c r="A957">
        <v>1349216</v>
      </c>
      <c r="B957" t="s">
        <v>36</v>
      </c>
      <c r="C957" t="s">
        <v>2199</v>
      </c>
      <c r="D957" t="s">
        <v>2223</v>
      </c>
      <c r="E957" s="1" t="s">
        <v>2224</v>
      </c>
      <c r="F957" t="s">
        <v>24</v>
      </c>
      <c r="G957" s="2">
        <v>44214.732592592591</v>
      </c>
    </row>
    <row r="958" spans="1:7" ht="15" customHeight="1" x14ac:dyDescent="0.3">
      <c r="A958">
        <v>1349195</v>
      </c>
      <c r="B958" t="s">
        <v>2130</v>
      </c>
      <c r="C958" t="s">
        <v>2131</v>
      </c>
      <c r="D958" t="s">
        <v>2225</v>
      </c>
      <c r="E958" s="1" t="s">
        <v>2226</v>
      </c>
      <c r="F958" t="s">
        <v>11</v>
      </c>
      <c r="G958" s="2">
        <v>44214.708865740744</v>
      </c>
    </row>
    <row r="959" spans="1:7" ht="15" customHeight="1" x14ac:dyDescent="0.3">
      <c r="A959">
        <v>1349179</v>
      </c>
      <c r="B959" t="s">
        <v>489</v>
      </c>
      <c r="C959" t="s">
        <v>2227</v>
      </c>
      <c r="D959" t="s">
        <v>2228</v>
      </c>
      <c r="E959" s="1" t="s">
        <v>2229</v>
      </c>
      <c r="F959" t="s">
        <v>11</v>
      </c>
      <c r="G959" s="2">
        <v>44214.68178240741</v>
      </c>
    </row>
    <row r="960" spans="1:7" ht="15" customHeight="1" x14ac:dyDescent="0.3">
      <c r="A960">
        <v>1349167</v>
      </c>
      <c r="B960" t="s">
        <v>32</v>
      </c>
      <c r="C960" t="s">
        <v>2230</v>
      </c>
      <c r="D960" t="s">
        <v>2231</v>
      </c>
      <c r="E960" s="1" t="s">
        <v>2232</v>
      </c>
      <c r="F960" t="s">
        <v>11</v>
      </c>
      <c r="G960" s="2">
        <v>44214.656956018516</v>
      </c>
    </row>
    <row r="961" spans="1:7" ht="15" customHeight="1" x14ac:dyDescent="0.3">
      <c r="A961">
        <v>1349163</v>
      </c>
      <c r="B961" t="s">
        <v>2233</v>
      </c>
      <c r="C961" t="s">
        <v>2234</v>
      </c>
      <c r="D961" t="s">
        <v>2235</v>
      </c>
      <c r="E961" s="1" t="s">
        <v>2236</v>
      </c>
      <c r="F961" t="s">
        <v>11</v>
      </c>
      <c r="G961" s="2">
        <v>44214.650011574071</v>
      </c>
    </row>
    <row r="962" spans="1:7" ht="15" customHeight="1" x14ac:dyDescent="0.3">
      <c r="A962">
        <v>1349162</v>
      </c>
      <c r="B962" t="s">
        <v>157</v>
      </c>
      <c r="C962" t="s">
        <v>414</v>
      </c>
      <c r="D962" t="s">
        <v>2237</v>
      </c>
      <c r="E962" s="1" t="s">
        <v>2238</v>
      </c>
      <c r="F962" t="s">
        <v>11</v>
      </c>
      <c r="G962" s="2">
        <v>44214.646215277775</v>
      </c>
    </row>
    <row r="963" spans="1:7" ht="15" customHeight="1" x14ac:dyDescent="0.3">
      <c r="A963">
        <v>1349154</v>
      </c>
      <c r="B963" t="s">
        <v>20</v>
      </c>
      <c r="C963" t="s">
        <v>2239</v>
      </c>
      <c r="D963" t="s">
        <v>2240</v>
      </c>
      <c r="E963" s="1" t="s">
        <v>2241</v>
      </c>
      <c r="F963" t="s">
        <v>11</v>
      </c>
      <c r="G963" s="2">
        <v>44214.640601851854</v>
      </c>
    </row>
    <row r="964" spans="1:7" ht="15" customHeight="1" x14ac:dyDescent="0.3">
      <c r="A964">
        <v>1349151</v>
      </c>
      <c r="B964" t="s">
        <v>20</v>
      </c>
      <c r="C964" t="s">
        <v>136</v>
      </c>
      <c r="D964" t="s">
        <v>2242</v>
      </c>
      <c r="E964" s="1" t="s">
        <v>2243</v>
      </c>
      <c r="F964" t="s">
        <v>11</v>
      </c>
      <c r="G964" s="2">
        <v>44214.635717592595</v>
      </c>
    </row>
    <row r="965" spans="1:7" ht="15" customHeight="1" x14ac:dyDescent="0.3">
      <c r="A965">
        <v>1349150</v>
      </c>
      <c r="B965" t="s">
        <v>20</v>
      </c>
      <c r="C965" t="s">
        <v>2244</v>
      </c>
      <c r="D965" t="s">
        <v>2245</v>
      </c>
      <c r="E965" s="1" t="s">
        <v>2246</v>
      </c>
      <c r="F965" t="s">
        <v>11</v>
      </c>
      <c r="G965" s="2">
        <v>44214.634745370371</v>
      </c>
    </row>
    <row r="966" spans="1:7" ht="15" customHeight="1" x14ac:dyDescent="0.3">
      <c r="A966">
        <v>1349141</v>
      </c>
      <c r="B966" t="s">
        <v>16</v>
      </c>
      <c r="C966" t="s">
        <v>649</v>
      </c>
      <c r="D966" t="s">
        <v>650</v>
      </c>
      <c r="E966" s="1" t="s">
        <v>2247</v>
      </c>
      <c r="F966" t="s">
        <v>11</v>
      </c>
      <c r="G966" s="2">
        <v>44214.621724537035</v>
      </c>
    </row>
    <row r="967" spans="1:7" ht="15" customHeight="1" x14ac:dyDescent="0.3">
      <c r="A967">
        <v>1349139</v>
      </c>
      <c r="B967" t="s">
        <v>16</v>
      </c>
      <c r="C967" t="s">
        <v>649</v>
      </c>
      <c r="D967" t="s">
        <v>650</v>
      </c>
      <c r="E967" s="1" t="s">
        <v>2248</v>
      </c>
      <c r="F967" t="s">
        <v>11</v>
      </c>
      <c r="G967" s="2">
        <v>44214.620891203704</v>
      </c>
    </row>
    <row r="968" spans="1:7" ht="15" customHeight="1" x14ac:dyDescent="0.3">
      <c r="A968">
        <v>1349138</v>
      </c>
      <c r="B968" t="s">
        <v>70</v>
      </c>
      <c r="C968" t="s">
        <v>2249</v>
      </c>
      <c r="D968" t="s">
        <v>2250</v>
      </c>
      <c r="E968" s="1" t="s">
        <v>2251</v>
      </c>
      <c r="F968" t="s">
        <v>11</v>
      </c>
      <c r="G968" s="2">
        <v>44214.620752314811</v>
      </c>
    </row>
    <row r="969" spans="1:7" ht="15" customHeight="1" x14ac:dyDescent="0.3">
      <c r="A969">
        <v>1349137</v>
      </c>
      <c r="B969" t="s">
        <v>16</v>
      </c>
      <c r="C969" t="s">
        <v>649</v>
      </c>
      <c r="D969" t="s">
        <v>650</v>
      </c>
      <c r="E969" s="1" t="s">
        <v>2252</v>
      </c>
      <c r="F969" t="s">
        <v>11</v>
      </c>
      <c r="G969" s="2">
        <v>44214.620613425926</v>
      </c>
    </row>
    <row r="970" spans="1:7" ht="15" customHeight="1" x14ac:dyDescent="0.3">
      <c r="A970">
        <v>1349126</v>
      </c>
      <c r="B970" t="s">
        <v>150</v>
      </c>
      <c r="C970" t="s">
        <v>151</v>
      </c>
      <c r="D970" t="s">
        <v>2253</v>
      </c>
      <c r="E970" s="1" t="s">
        <v>2254</v>
      </c>
      <c r="F970" t="s">
        <v>24</v>
      </c>
      <c r="G970" s="2">
        <v>44214.608634259261</v>
      </c>
    </row>
    <row r="971" spans="1:7" ht="15" customHeight="1" x14ac:dyDescent="0.3">
      <c r="A971">
        <v>1349121</v>
      </c>
      <c r="B971" t="s">
        <v>36</v>
      </c>
      <c r="C971" t="s">
        <v>1342</v>
      </c>
      <c r="D971" t="s">
        <v>2255</v>
      </c>
      <c r="E971" s="1" t="s">
        <v>2256</v>
      </c>
      <c r="F971" t="s">
        <v>11</v>
      </c>
      <c r="G971" s="2">
        <v>44214.600289351853</v>
      </c>
    </row>
    <row r="972" spans="1:7" ht="15" customHeight="1" x14ac:dyDescent="0.3">
      <c r="A972">
        <v>1349120</v>
      </c>
      <c r="B972" t="s">
        <v>7</v>
      </c>
      <c r="C972" t="s">
        <v>107</v>
      </c>
      <c r="D972" t="s">
        <v>2257</v>
      </c>
      <c r="E972" s="1" t="s">
        <v>2258</v>
      </c>
      <c r="F972" t="s">
        <v>11</v>
      </c>
      <c r="G972" s="2">
        <v>44214.59648148148</v>
      </c>
    </row>
    <row r="973" spans="1:7" ht="15" customHeight="1" x14ac:dyDescent="0.3">
      <c r="A973">
        <v>1349116</v>
      </c>
      <c r="B973" t="s">
        <v>63</v>
      </c>
      <c r="C973" t="s">
        <v>2259</v>
      </c>
      <c r="D973" t="s">
        <v>2260</v>
      </c>
      <c r="E973" s="1" t="s">
        <v>2261</v>
      </c>
      <c r="F973" t="s">
        <v>11</v>
      </c>
      <c r="G973" s="2">
        <v>44214.589131944442</v>
      </c>
    </row>
    <row r="974" spans="1:7" ht="15" customHeight="1" x14ac:dyDescent="0.3">
      <c r="A974">
        <v>1349114</v>
      </c>
      <c r="B974" t="s">
        <v>157</v>
      </c>
      <c r="C974" t="s">
        <v>414</v>
      </c>
      <c r="D974" t="s">
        <v>2262</v>
      </c>
      <c r="E974" s="1" t="s">
        <v>2263</v>
      </c>
      <c r="F974" t="s">
        <v>11</v>
      </c>
      <c r="G974" s="2">
        <v>44214.581585648149</v>
      </c>
    </row>
    <row r="975" spans="1:7" ht="15" customHeight="1" x14ac:dyDescent="0.3">
      <c r="A975">
        <v>1349113</v>
      </c>
      <c r="B975" t="s">
        <v>2264</v>
      </c>
      <c r="C975" t="s">
        <v>2265</v>
      </c>
      <c r="D975" t="s">
        <v>2266</v>
      </c>
      <c r="E975" s="1" t="s">
        <v>2267</v>
      </c>
      <c r="F975" t="s">
        <v>11</v>
      </c>
      <c r="G975" s="2">
        <v>44214.581226851849</v>
      </c>
    </row>
    <row r="976" spans="1:7" ht="15" customHeight="1" x14ac:dyDescent="0.3">
      <c r="A976">
        <v>1349112</v>
      </c>
      <c r="B976" t="s">
        <v>350</v>
      </c>
      <c r="C976" t="s">
        <v>351</v>
      </c>
      <c r="D976" t="s">
        <v>2268</v>
      </c>
      <c r="E976" s="1" t="s">
        <v>2269</v>
      </c>
      <c r="F976" t="s">
        <v>11</v>
      </c>
      <c r="G976" s="2">
        <v>44214.580868055556</v>
      </c>
    </row>
    <row r="977" spans="1:7" ht="15" customHeight="1" x14ac:dyDescent="0.3">
      <c r="A977">
        <v>1349111</v>
      </c>
      <c r="B977" t="s">
        <v>431</v>
      </c>
      <c r="C977" t="s">
        <v>432</v>
      </c>
      <c r="D977" t="s">
        <v>2270</v>
      </c>
      <c r="E977" s="1" t="s">
        <v>2271</v>
      </c>
      <c r="F977" t="s">
        <v>11</v>
      </c>
      <c r="G977" s="2">
        <v>44214.580509259256</v>
      </c>
    </row>
    <row r="978" spans="1:7" ht="15" customHeight="1" x14ac:dyDescent="0.3">
      <c r="A978">
        <v>1349102</v>
      </c>
      <c r="B978" t="s">
        <v>427</v>
      </c>
      <c r="C978" t="s">
        <v>2272</v>
      </c>
      <c r="D978" t="s">
        <v>2273</v>
      </c>
      <c r="E978" s="1" t="s">
        <v>2274</v>
      </c>
      <c r="F978" t="s">
        <v>11</v>
      </c>
      <c r="G978" s="2">
        <v>44214.567152777781</v>
      </c>
    </row>
    <row r="979" spans="1:7" ht="15" customHeight="1" x14ac:dyDescent="0.3">
      <c r="A979">
        <v>1349094</v>
      </c>
      <c r="B979" t="s">
        <v>277</v>
      </c>
      <c r="D979" t="s">
        <v>2275</v>
      </c>
      <c r="E979" s="1" t="s">
        <v>2276</v>
      </c>
      <c r="F979" t="s">
        <v>11</v>
      </c>
      <c r="G979" s="2">
        <v>44214.542557870373</v>
      </c>
    </row>
    <row r="980" spans="1:7" ht="15" customHeight="1" x14ac:dyDescent="0.3">
      <c r="A980">
        <v>1349093</v>
      </c>
      <c r="B980" t="s">
        <v>70</v>
      </c>
      <c r="C980" t="s">
        <v>2277</v>
      </c>
      <c r="D980" t="s">
        <v>2278</v>
      </c>
      <c r="E980" s="1" t="s">
        <v>2279</v>
      </c>
      <c r="F980" t="s">
        <v>24</v>
      </c>
      <c r="G980" s="2">
        <v>44214.542395833334</v>
      </c>
    </row>
    <row r="981" spans="1:7" ht="15" customHeight="1" x14ac:dyDescent="0.3">
      <c r="A981">
        <v>1349092</v>
      </c>
      <c r="B981" t="s">
        <v>20</v>
      </c>
      <c r="C981" t="s">
        <v>136</v>
      </c>
      <c r="D981" t="s">
        <v>2280</v>
      </c>
      <c r="E981" s="1" t="s">
        <v>2281</v>
      </c>
      <c r="F981" t="s">
        <v>24</v>
      </c>
      <c r="G981" s="2">
        <v>44214.536979166667</v>
      </c>
    </row>
    <row r="982" spans="1:7" ht="15" customHeight="1" x14ac:dyDescent="0.3">
      <c r="A982">
        <v>1349076</v>
      </c>
      <c r="B982" t="s">
        <v>53</v>
      </c>
      <c r="C982" t="s">
        <v>54</v>
      </c>
      <c r="D982" t="s">
        <v>2282</v>
      </c>
      <c r="E982" s="1" t="s">
        <v>2283</v>
      </c>
      <c r="F982" t="s">
        <v>11</v>
      </c>
      <c r="G982" s="2">
        <v>44214.513090277775</v>
      </c>
    </row>
    <row r="983" spans="1:7" ht="15" customHeight="1" x14ac:dyDescent="0.3">
      <c r="A983">
        <v>1349057</v>
      </c>
      <c r="B983" t="s">
        <v>74</v>
      </c>
      <c r="C983" t="s">
        <v>75</v>
      </c>
      <c r="D983" t="s">
        <v>2284</v>
      </c>
      <c r="E983" s="1" t="s">
        <v>2285</v>
      </c>
      <c r="F983" t="s">
        <v>11</v>
      </c>
      <c r="G983" s="2">
        <v>44214.475219907406</v>
      </c>
    </row>
    <row r="984" spans="1:7" ht="15" customHeight="1" x14ac:dyDescent="0.3">
      <c r="A984">
        <v>1349056</v>
      </c>
      <c r="B984" t="s">
        <v>290</v>
      </c>
      <c r="C984" t="s">
        <v>2286</v>
      </c>
      <c r="D984" t="s">
        <v>2287</v>
      </c>
      <c r="E984" s="1" t="s">
        <v>2288</v>
      </c>
      <c r="F984" t="s">
        <v>24</v>
      </c>
      <c r="G984" s="2">
        <v>44214.474178240744</v>
      </c>
    </row>
    <row r="985" spans="1:7" ht="15" customHeight="1" x14ac:dyDescent="0.3">
      <c r="A985">
        <v>1349053</v>
      </c>
      <c r="B985" t="s">
        <v>214</v>
      </c>
      <c r="C985" t="s">
        <v>215</v>
      </c>
      <c r="D985" t="s">
        <v>2289</v>
      </c>
      <c r="E985" s="1" t="s">
        <v>2290</v>
      </c>
      <c r="F985" t="s">
        <v>24</v>
      </c>
      <c r="G985" s="2">
        <v>44214.463912037034</v>
      </c>
    </row>
    <row r="986" spans="1:7" ht="15" customHeight="1" x14ac:dyDescent="0.3">
      <c r="A986">
        <v>1349045</v>
      </c>
      <c r="B986" t="s">
        <v>177</v>
      </c>
      <c r="C986" t="s">
        <v>247</v>
      </c>
      <c r="D986" t="s">
        <v>2291</v>
      </c>
      <c r="E986" s="1" t="s">
        <v>2292</v>
      </c>
      <c r="F986" t="s">
        <v>24</v>
      </c>
      <c r="G986" s="2">
        <v>44214.453634259262</v>
      </c>
    </row>
    <row r="987" spans="1:7" ht="15" customHeight="1" x14ac:dyDescent="0.3">
      <c r="A987">
        <v>1349041</v>
      </c>
      <c r="B987" t="s">
        <v>214</v>
      </c>
      <c r="C987" t="s">
        <v>215</v>
      </c>
      <c r="D987" t="s">
        <v>2293</v>
      </c>
      <c r="E987" s="1" t="s">
        <v>2294</v>
      </c>
      <c r="F987" t="s">
        <v>24</v>
      </c>
      <c r="G987" s="2">
        <v>44214.448703703703</v>
      </c>
    </row>
    <row r="988" spans="1:7" ht="15" customHeight="1" x14ac:dyDescent="0.3">
      <c r="A988">
        <v>1349032</v>
      </c>
      <c r="B988" t="s">
        <v>746</v>
      </c>
      <c r="C988" t="s">
        <v>2295</v>
      </c>
      <c r="D988" t="s">
        <v>2296</v>
      </c>
      <c r="E988" s="1" t="s">
        <v>2297</v>
      </c>
      <c r="F988" t="s">
        <v>24</v>
      </c>
      <c r="G988" s="2">
        <v>44214.435925925929</v>
      </c>
    </row>
    <row r="989" spans="1:7" ht="15" customHeight="1" x14ac:dyDescent="0.3">
      <c r="A989">
        <v>1349022</v>
      </c>
      <c r="B989" t="s">
        <v>49</v>
      </c>
      <c r="C989" t="s">
        <v>315</v>
      </c>
      <c r="D989" t="s">
        <v>2298</v>
      </c>
      <c r="E989" s="1" t="s">
        <v>2042</v>
      </c>
      <c r="F989" t="s">
        <v>24</v>
      </c>
      <c r="G989" s="2">
        <v>44214.426481481481</v>
      </c>
    </row>
    <row r="990" spans="1:7" ht="15" customHeight="1" x14ac:dyDescent="0.3">
      <c r="A990">
        <v>1349018</v>
      </c>
      <c r="B990" t="s">
        <v>20</v>
      </c>
      <c r="C990" t="s">
        <v>136</v>
      </c>
      <c r="D990" t="s">
        <v>2299</v>
      </c>
      <c r="E990" s="1" t="s">
        <v>2300</v>
      </c>
      <c r="F990" t="s">
        <v>11</v>
      </c>
      <c r="G990" s="2">
        <v>44214.421736111108</v>
      </c>
    </row>
    <row r="991" spans="1:7" ht="15" customHeight="1" x14ac:dyDescent="0.3">
      <c r="A991">
        <v>1349017</v>
      </c>
      <c r="B991" t="s">
        <v>16</v>
      </c>
      <c r="C991" t="s">
        <v>360</v>
      </c>
      <c r="D991" t="s">
        <v>2301</v>
      </c>
      <c r="E991" s="1" t="s">
        <v>2302</v>
      </c>
      <c r="F991" t="s">
        <v>11</v>
      </c>
      <c r="G991" s="2">
        <v>44214.420428240737</v>
      </c>
    </row>
    <row r="992" spans="1:7" ht="15" customHeight="1" x14ac:dyDescent="0.3">
      <c r="A992">
        <v>1348978</v>
      </c>
      <c r="B992" t="s">
        <v>20</v>
      </c>
      <c r="C992" t="s">
        <v>78</v>
      </c>
      <c r="D992" t="s">
        <v>2303</v>
      </c>
      <c r="E992" s="1" t="s">
        <v>2304</v>
      </c>
      <c r="F992" t="s">
        <v>24</v>
      </c>
      <c r="G992" s="2">
        <v>44214.403692129628</v>
      </c>
    </row>
    <row r="993" spans="1:7" ht="15" customHeight="1" x14ac:dyDescent="0.3">
      <c r="A993">
        <v>1348968</v>
      </c>
      <c r="B993" t="s">
        <v>20</v>
      </c>
      <c r="C993" t="s">
        <v>2305</v>
      </c>
      <c r="D993" t="s">
        <v>2306</v>
      </c>
      <c r="E993" s="1" t="s">
        <v>2307</v>
      </c>
      <c r="F993" t="s">
        <v>11</v>
      </c>
      <c r="G993" s="2">
        <v>44214.393263888887</v>
      </c>
    </row>
    <row r="994" spans="1:7" ht="15" customHeight="1" x14ac:dyDescent="0.3">
      <c r="A994">
        <v>1348967</v>
      </c>
      <c r="B994" t="s">
        <v>214</v>
      </c>
      <c r="C994" t="s">
        <v>2308</v>
      </c>
      <c r="D994" t="s">
        <v>2309</v>
      </c>
      <c r="E994" s="1" t="s">
        <v>2310</v>
      </c>
      <c r="F994" t="s">
        <v>11</v>
      </c>
      <c r="G994" s="2">
        <v>44214.391712962963</v>
      </c>
    </row>
    <row r="995" spans="1:7" ht="15" customHeight="1" x14ac:dyDescent="0.3">
      <c r="A995">
        <v>1348966</v>
      </c>
      <c r="B995" t="s">
        <v>45</v>
      </c>
      <c r="C995" t="s">
        <v>2311</v>
      </c>
      <c r="D995" t="s">
        <v>2312</v>
      </c>
      <c r="E995" s="1" t="s">
        <v>2313</v>
      </c>
      <c r="F995" t="s">
        <v>11</v>
      </c>
      <c r="G995" s="2">
        <v>44214.390046296299</v>
      </c>
    </row>
    <row r="996" spans="1:7" ht="15" customHeight="1" x14ac:dyDescent="0.3">
      <c r="A996">
        <v>1348964</v>
      </c>
      <c r="B996" t="s">
        <v>7</v>
      </c>
      <c r="C996" t="s">
        <v>789</v>
      </c>
      <c r="D996" t="s">
        <v>2314</v>
      </c>
      <c r="E996" s="1" t="s">
        <v>2315</v>
      </c>
      <c r="F996" t="s">
        <v>24</v>
      </c>
      <c r="G996" s="2">
        <v>44214.379814814813</v>
      </c>
    </row>
    <row r="997" spans="1:7" ht="15" customHeight="1" x14ac:dyDescent="0.3">
      <c r="A997">
        <v>1348962</v>
      </c>
      <c r="B997" t="s">
        <v>20</v>
      </c>
      <c r="C997" t="s">
        <v>1596</v>
      </c>
      <c r="D997" t="s">
        <v>2316</v>
      </c>
      <c r="E997" s="1" t="s">
        <v>2317</v>
      </c>
      <c r="F997" t="s">
        <v>24</v>
      </c>
      <c r="G997" s="2">
        <v>44214.378865740742</v>
      </c>
    </row>
    <row r="998" spans="1:7" ht="15" customHeight="1" x14ac:dyDescent="0.3">
      <c r="A998">
        <v>1348959</v>
      </c>
      <c r="B998" t="s">
        <v>53</v>
      </c>
      <c r="C998" t="s">
        <v>2318</v>
      </c>
      <c r="D998" t="s">
        <v>2319</v>
      </c>
      <c r="E998" s="1" t="s">
        <v>2320</v>
      </c>
      <c r="F998" t="s">
        <v>11</v>
      </c>
      <c r="G998" s="2">
        <v>44214.37599537037</v>
      </c>
    </row>
    <row r="999" spans="1:7" ht="15" customHeight="1" x14ac:dyDescent="0.3">
      <c r="A999">
        <v>1348958</v>
      </c>
      <c r="B999" t="s">
        <v>746</v>
      </c>
      <c r="C999" t="s">
        <v>2321</v>
      </c>
      <c r="D999" t="s">
        <v>2322</v>
      </c>
      <c r="E999" s="1" t="s">
        <v>2323</v>
      </c>
      <c r="F999" t="s">
        <v>24</v>
      </c>
      <c r="G999" s="2">
        <v>44214.37572916667</v>
      </c>
    </row>
    <row r="1000" spans="1:7" ht="15" customHeight="1" x14ac:dyDescent="0.3">
      <c r="A1000">
        <v>1348953</v>
      </c>
      <c r="B1000" t="s">
        <v>401</v>
      </c>
      <c r="C1000" t="s">
        <v>2324</v>
      </c>
      <c r="D1000" t="s">
        <v>2325</v>
      </c>
      <c r="E1000" s="1" t="s">
        <v>2326</v>
      </c>
      <c r="F1000" t="s">
        <v>11</v>
      </c>
      <c r="G1000" s="2">
        <v>44214.353865740741</v>
      </c>
    </row>
    <row r="1001" spans="1:7" ht="15" customHeight="1" x14ac:dyDescent="0.3">
      <c r="A1001">
        <v>1348949</v>
      </c>
      <c r="B1001" t="s">
        <v>70</v>
      </c>
      <c r="C1001" t="s">
        <v>2327</v>
      </c>
      <c r="D1001" t="s">
        <v>2328</v>
      </c>
      <c r="E1001" s="1" t="s">
        <v>2329</v>
      </c>
      <c r="F1001" t="s">
        <v>24</v>
      </c>
      <c r="G1001" s="2">
        <v>44214.347662037035</v>
      </c>
    </row>
    <row r="1002" spans="1:7" ht="15" customHeight="1" x14ac:dyDescent="0.3">
      <c r="A1002">
        <v>1348942</v>
      </c>
      <c r="B1002" t="s">
        <v>350</v>
      </c>
      <c r="C1002" t="s">
        <v>351</v>
      </c>
      <c r="D1002" t="s">
        <v>2330</v>
      </c>
      <c r="E1002" s="1" t="s">
        <v>2331</v>
      </c>
      <c r="F1002" t="s">
        <v>24</v>
      </c>
      <c r="G1002" s="2">
        <v>44214.343391203707</v>
      </c>
    </row>
    <row r="1003" spans="1:7" ht="15" customHeight="1" x14ac:dyDescent="0.3">
      <c r="A1003">
        <v>1348916</v>
      </c>
      <c r="B1003" t="s">
        <v>1413</v>
      </c>
      <c r="C1003" t="s">
        <v>1414</v>
      </c>
      <c r="D1003" t="s">
        <v>2332</v>
      </c>
      <c r="E1003" s="1" t="s">
        <v>2333</v>
      </c>
      <c r="F1003" t="s">
        <v>11</v>
      </c>
      <c r="G1003" s="2">
        <v>44214.320219907408</v>
      </c>
    </row>
    <row r="1004" spans="1:7" ht="15" customHeight="1" x14ac:dyDescent="0.3">
      <c r="A1004">
        <v>1348812</v>
      </c>
      <c r="B1004" t="s">
        <v>95</v>
      </c>
      <c r="C1004" t="s">
        <v>601</v>
      </c>
      <c r="D1004" t="s">
        <v>602</v>
      </c>
      <c r="E1004" t="s">
        <v>603</v>
      </c>
      <c r="F1004" t="s">
        <v>188</v>
      </c>
      <c r="G1004" s="2">
        <v>44214.042175925926</v>
      </c>
    </row>
    <row r="1005" spans="1:7" ht="15" customHeight="1" x14ac:dyDescent="0.3">
      <c r="A1005">
        <v>1348751</v>
      </c>
      <c r="B1005" t="s">
        <v>2334</v>
      </c>
      <c r="C1005" t="s">
        <v>2335</v>
      </c>
      <c r="D1005" t="s">
        <v>2336</v>
      </c>
      <c r="E1005" t="s">
        <v>1324</v>
      </c>
      <c r="F1005" t="s">
        <v>1158</v>
      </c>
      <c r="G1005" s="2">
        <v>44214.0000462963</v>
      </c>
    </row>
    <row r="1006" spans="1:7" ht="15" customHeight="1" x14ac:dyDescent="0.3">
      <c r="A1006">
        <v>1348705</v>
      </c>
      <c r="B1006" t="s">
        <v>1105</v>
      </c>
      <c r="C1006" t="s">
        <v>1106</v>
      </c>
      <c r="D1006" t="s">
        <v>2337</v>
      </c>
      <c r="E1006" s="1" t="s">
        <v>2338</v>
      </c>
      <c r="F1006" t="s">
        <v>24</v>
      </c>
      <c r="G1006" s="2">
        <v>44213.936249999999</v>
      </c>
    </row>
    <row r="1007" spans="1:7" ht="15" customHeight="1" x14ac:dyDescent="0.3">
      <c r="A1007">
        <v>1348664</v>
      </c>
      <c r="B1007" t="s">
        <v>2339</v>
      </c>
      <c r="C1007" t="s">
        <v>2340</v>
      </c>
      <c r="D1007" t="s">
        <v>2341</v>
      </c>
      <c r="E1007" s="1" t="s">
        <v>2342</v>
      </c>
      <c r="F1007" t="s">
        <v>11</v>
      </c>
      <c r="G1007" s="2">
        <v>44213.894409722219</v>
      </c>
    </row>
    <row r="1008" spans="1:7" ht="15" customHeight="1" x14ac:dyDescent="0.3">
      <c r="A1008">
        <v>1348549</v>
      </c>
      <c r="B1008" t="s">
        <v>16</v>
      </c>
      <c r="C1008" t="s">
        <v>2343</v>
      </c>
      <c r="D1008" t="s">
        <v>2344</v>
      </c>
      <c r="E1008" s="1" t="s">
        <v>2345</v>
      </c>
      <c r="F1008" t="s">
        <v>11</v>
      </c>
      <c r="G1008" s="2">
        <v>44213.710173611114</v>
      </c>
    </row>
    <row r="1009" spans="1:7" ht="15" customHeight="1" x14ac:dyDescent="0.3">
      <c r="A1009">
        <v>1348494</v>
      </c>
      <c r="B1009" t="s">
        <v>12</v>
      </c>
      <c r="C1009" t="s">
        <v>2346</v>
      </c>
      <c r="D1009" t="s">
        <v>2347</v>
      </c>
      <c r="E1009" s="1" t="s">
        <v>2348</v>
      </c>
      <c r="F1009" t="s">
        <v>24</v>
      </c>
      <c r="G1009" s="2">
        <v>44213.577569444446</v>
      </c>
    </row>
    <row r="1010" spans="1:7" ht="15" customHeight="1" x14ac:dyDescent="0.3">
      <c r="A1010">
        <v>1348312</v>
      </c>
      <c r="B1010" t="s">
        <v>95</v>
      </c>
      <c r="C1010" t="s">
        <v>668</v>
      </c>
      <c r="D1010" t="s">
        <v>1325</v>
      </c>
      <c r="E1010" s="1" t="s">
        <v>1326</v>
      </c>
      <c r="F1010" t="s">
        <v>1158</v>
      </c>
      <c r="G1010" s="2">
        <v>44213.000162037039</v>
      </c>
    </row>
    <row r="1011" spans="1:7" ht="15" customHeight="1" x14ac:dyDescent="0.3">
      <c r="A1011">
        <v>1348311</v>
      </c>
      <c r="B1011" t="s">
        <v>95</v>
      </c>
      <c r="C1011" t="s">
        <v>668</v>
      </c>
      <c r="D1011" t="s">
        <v>1325</v>
      </c>
      <c r="E1011" s="1" t="s">
        <v>1326</v>
      </c>
      <c r="F1011" t="s">
        <v>1158</v>
      </c>
      <c r="G1011" s="2">
        <v>44213.000150462962</v>
      </c>
    </row>
    <row r="1012" spans="1:7" ht="15" customHeight="1" x14ac:dyDescent="0.3">
      <c r="A1012">
        <v>1348310</v>
      </c>
      <c r="B1012" t="s">
        <v>95</v>
      </c>
      <c r="C1012" t="s">
        <v>668</v>
      </c>
      <c r="D1012" t="s">
        <v>2349</v>
      </c>
      <c r="E1012" s="1" t="s">
        <v>1326</v>
      </c>
      <c r="F1012" t="s">
        <v>1158</v>
      </c>
      <c r="G1012" s="2">
        <v>44213.000138888892</v>
      </c>
    </row>
    <row r="1013" spans="1:7" ht="15" customHeight="1" x14ac:dyDescent="0.3">
      <c r="A1013">
        <v>1348309</v>
      </c>
      <c r="B1013" t="s">
        <v>281</v>
      </c>
      <c r="C1013" t="s">
        <v>282</v>
      </c>
      <c r="D1013" t="s">
        <v>1156</v>
      </c>
      <c r="E1013" s="1" t="s">
        <v>1157</v>
      </c>
      <c r="F1013" t="s">
        <v>1158</v>
      </c>
      <c r="G1013" s="2">
        <v>44213.000138888892</v>
      </c>
    </row>
    <row r="1014" spans="1:7" ht="15" customHeight="1" x14ac:dyDescent="0.3">
      <c r="A1014">
        <v>1348308</v>
      </c>
      <c r="B1014" t="s">
        <v>1413</v>
      </c>
      <c r="C1014" t="s">
        <v>2219</v>
      </c>
      <c r="D1014" t="s">
        <v>1156</v>
      </c>
      <c r="E1014" s="1" t="s">
        <v>1157</v>
      </c>
      <c r="F1014" t="s">
        <v>1158</v>
      </c>
      <c r="G1014" s="2">
        <v>44213.000127314815</v>
      </c>
    </row>
    <row r="1015" spans="1:7" ht="15" customHeight="1" x14ac:dyDescent="0.3">
      <c r="A1015">
        <v>1348109</v>
      </c>
      <c r="B1015" t="s">
        <v>16</v>
      </c>
      <c r="C1015" t="s">
        <v>455</v>
      </c>
      <c r="D1015" t="s">
        <v>2350</v>
      </c>
      <c r="E1015" s="1" t="s">
        <v>2351</v>
      </c>
      <c r="F1015" t="s">
        <v>24</v>
      </c>
      <c r="G1015" s="2">
        <v>44212.550613425927</v>
      </c>
    </row>
    <row r="1016" spans="1:7" ht="15" customHeight="1" x14ac:dyDescent="0.3">
      <c r="A1016">
        <v>1348099</v>
      </c>
      <c r="B1016" t="s">
        <v>53</v>
      </c>
      <c r="C1016" t="s">
        <v>2352</v>
      </c>
      <c r="D1016" t="s">
        <v>2353</v>
      </c>
      <c r="E1016" s="1" t="s">
        <v>2354</v>
      </c>
      <c r="F1016" t="s">
        <v>11</v>
      </c>
      <c r="G1016" s="2">
        <v>44212.438645833332</v>
      </c>
    </row>
    <row r="1017" spans="1:7" ht="15" customHeight="1" x14ac:dyDescent="0.3">
      <c r="A1017">
        <v>1347942</v>
      </c>
      <c r="B1017" t="s">
        <v>2355</v>
      </c>
      <c r="C1017" t="s">
        <v>2356</v>
      </c>
      <c r="D1017" t="s">
        <v>2357</v>
      </c>
      <c r="E1017" s="1" t="s">
        <v>1326</v>
      </c>
      <c r="F1017" t="s">
        <v>1158</v>
      </c>
      <c r="G1017" s="2">
        <v>44212.000127314815</v>
      </c>
    </row>
    <row r="1018" spans="1:7" ht="15" customHeight="1" x14ac:dyDescent="0.3">
      <c r="A1018">
        <v>1347941</v>
      </c>
      <c r="B1018" t="s">
        <v>70</v>
      </c>
      <c r="C1018" t="s">
        <v>369</v>
      </c>
      <c r="D1018" t="s">
        <v>1325</v>
      </c>
      <c r="E1018" s="1" t="s">
        <v>1326</v>
      </c>
      <c r="F1018" t="s">
        <v>1158</v>
      </c>
      <c r="G1018" s="2">
        <v>44212.000127314815</v>
      </c>
    </row>
    <row r="1019" spans="1:7" ht="15" customHeight="1" x14ac:dyDescent="0.3">
      <c r="A1019">
        <v>1347940</v>
      </c>
      <c r="B1019" t="s">
        <v>2358</v>
      </c>
      <c r="C1019" t="s">
        <v>2359</v>
      </c>
      <c r="D1019" t="s">
        <v>1156</v>
      </c>
      <c r="E1019" s="1" t="s">
        <v>1157</v>
      </c>
      <c r="F1019" t="s">
        <v>1158</v>
      </c>
      <c r="G1019" s="2">
        <v>44212.000115740739</v>
      </c>
    </row>
    <row r="1020" spans="1:7" ht="15" customHeight="1" x14ac:dyDescent="0.3">
      <c r="A1020">
        <v>1347711</v>
      </c>
      <c r="B1020" t="s">
        <v>7</v>
      </c>
      <c r="C1020" t="s">
        <v>2360</v>
      </c>
      <c r="D1020" t="s">
        <v>2361</v>
      </c>
      <c r="E1020" s="1" t="s">
        <v>2362</v>
      </c>
      <c r="F1020" t="s">
        <v>24</v>
      </c>
      <c r="G1020" s="2">
        <v>44211.713703703703</v>
      </c>
    </row>
    <row r="1021" spans="1:7" ht="15" customHeight="1" x14ac:dyDescent="0.3">
      <c r="A1021">
        <v>1347701</v>
      </c>
      <c r="B1021" t="s">
        <v>20</v>
      </c>
      <c r="C1021" t="s">
        <v>2177</v>
      </c>
      <c r="D1021" t="s">
        <v>2363</v>
      </c>
      <c r="E1021" s="1" t="s">
        <v>2364</v>
      </c>
      <c r="F1021" t="s">
        <v>11</v>
      </c>
      <c r="G1021" s="2">
        <v>44211.702453703707</v>
      </c>
    </row>
    <row r="1022" spans="1:7" ht="15" customHeight="1" x14ac:dyDescent="0.3">
      <c r="A1022">
        <v>1347688</v>
      </c>
      <c r="B1022" t="s">
        <v>350</v>
      </c>
      <c r="C1022" t="s">
        <v>351</v>
      </c>
      <c r="D1022" t="s">
        <v>2365</v>
      </c>
      <c r="E1022" s="1" t="s">
        <v>2366</v>
      </c>
      <c r="F1022" t="s">
        <v>24</v>
      </c>
      <c r="G1022" s="2">
        <v>44211.632638888892</v>
      </c>
    </row>
    <row r="1023" spans="1:7" ht="15" customHeight="1" x14ac:dyDescent="0.3">
      <c r="A1023">
        <v>1347682</v>
      </c>
      <c r="B1023" t="s">
        <v>20</v>
      </c>
      <c r="C1023" t="s">
        <v>78</v>
      </c>
      <c r="D1023" t="s">
        <v>2367</v>
      </c>
      <c r="E1023" t="s">
        <v>2368</v>
      </c>
      <c r="F1023" t="s">
        <v>24</v>
      </c>
      <c r="G1023" s="2">
        <v>44211.611678240741</v>
      </c>
    </row>
    <row r="1024" spans="1:7" ht="15" customHeight="1" x14ac:dyDescent="0.3">
      <c r="A1024">
        <v>1347680</v>
      </c>
      <c r="B1024" t="s">
        <v>20</v>
      </c>
      <c r="C1024" t="s">
        <v>565</v>
      </c>
      <c r="D1024" t="s">
        <v>2369</v>
      </c>
      <c r="E1024" s="1" t="s">
        <v>2370</v>
      </c>
      <c r="F1024" t="s">
        <v>24</v>
      </c>
      <c r="G1024" s="2">
        <v>44211.603344907409</v>
      </c>
    </row>
    <row r="1025" spans="1:7" ht="15" customHeight="1" x14ac:dyDescent="0.3">
      <c r="A1025">
        <v>1347677</v>
      </c>
      <c r="B1025" t="s">
        <v>431</v>
      </c>
      <c r="C1025" t="s">
        <v>2371</v>
      </c>
      <c r="D1025" t="s">
        <v>2372</v>
      </c>
      <c r="E1025" s="1" t="s">
        <v>2373</v>
      </c>
      <c r="F1025" t="s">
        <v>24</v>
      </c>
      <c r="G1025" s="2">
        <v>44211.593819444446</v>
      </c>
    </row>
    <row r="1026" spans="1:7" ht="15" customHeight="1" x14ac:dyDescent="0.3">
      <c r="A1026">
        <v>1347673</v>
      </c>
      <c r="B1026" t="s">
        <v>49</v>
      </c>
      <c r="C1026" t="s">
        <v>2374</v>
      </c>
      <c r="D1026" t="s">
        <v>2375</v>
      </c>
      <c r="E1026" s="1" t="s">
        <v>2376</v>
      </c>
      <c r="F1026" t="s">
        <v>24</v>
      </c>
      <c r="G1026" s="2">
        <v>44211.587442129632</v>
      </c>
    </row>
    <row r="1027" spans="1:7" ht="15" customHeight="1" x14ac:dyDescent="0.3">
      <c r="A1027">
        <v>1347665</v>
      </c>
      <c r="B1027" t="s">
        <v>36</v>
      </c>
      <c r="C1027" t="s">
        <v>752</v>
      </c>
      <c r="D1027" t="s">
        <v>2377</v>
      </c>
      <c r="E1027" s="1" t="s">
        <v>2378</v>
      </c>
      <c r="F1027" t="s">
        <v>24</v>
      </c>
      <c r="G1027" s="2">
        <v>44211.571585648147</v>
      </c>
    </row>
    <row r="1028" spans="1:7" ht="15" customHeight="1" x14ac:dyDescent="0.3">
      <c r="A1028">
        <v>1347661</v>
      </c>
      <c r="B1028" t="s">
        <v>53</v>
      </c>
      <c r="C1028" t="s">
        <v>54</v>
      </c>
      <c r="D1028" t="s">
        <v>2379</v>
      </c>
      <c r="E1028" s="1" t="s">
        <v>2380</v>
      </c>
      <c r="F1028" t="s">
        <v>11</v>
      </c>
      <c r="G1028" s="2">
        <v>44211.563263888886</v>
      </c>
    </row>
    <row r="1029" spans="1:7" ht="15" customHeight="1" x14ac:dyDescent="0.3">
      <c r="A1029">
        <v>1347657</v>
      </c>
      <c r="B1029" t="s">
        <v>20</v>
      </c>
      <c r="C1029" t="s">
        <v>57</v>
      </c>
      <c r="D1029" t="s">
        <v>2381</v>
      </c>
      <c r="E1029" s="1" t="s">
        <v>2382</v>
      </c>
      <c r="F1029" t="s">
        <v>24</v>
      </c>
      <c r="G1029" s="2">
        <v>44211.548368055555</v>
      </c>
    </row>
    <row r="1030" spans="1:7" ht="15" customHeight="1" x14ac:dyDescent="0.3">
      <c r="A1030">
        <v>1347651</v>
      </c>
      <c r="B1030" t="s">
        <v>45</v>
      </c>
      <c r="C1030" t="s">
        <v>1743</v>
      </c>
      <c r="D1030" t="s">
        <v>2383</v>
      </c>
      <c r="E1030" s="1" t="s">
        <v>2384</v>
      </c>
      <c r="F1030" t="s">
        <v>11</v>
      </c>
      <c r="G1030" s="2">
        <v>44211.540289351855</v>
      </c>
    </row>
    <row r="1031" spans="1:7" ht="15" customHeight="1" x14ac:dyDescent="0.3">
      <c r="A1031">
        <v>1347647</v>
      </c>
      <c r="B1031" t="s">
        <v>53</v>
      </c>
      <c r="C1031" t="s">
        <v>54</v>
      </c>
      <c r="D1031" t="s">
        <v>2385</v>
      </c>
      <c r="E1031" s="1" t="s">
        <v>2386</v>
      </c>
      <c r="F1031" t="s">
        <v>11</v>
      </c>
      <c r="G1031" s="2">
        <v>44211.528749999998</v>
      </c>
    </row>
    <row r="1032" spans="1:7" ht="15" customHeight="1" x14ac:dyDescent="0.3">
      <c r="A1032">
        <v>1347645</v>
      </c>
      <c r="B1032" t="s">
        <v>36</v>
      </c>
      <c r="C1032" t="s">
        <v>2387</v>
      </c>
      <c r="D1032" t="s">
        <v>2388</v>
      </c>
      <c r="E1032" s="1" t="s">
        <v>2389</v>
      </c>
      <c r="F1032" t="s">
        <v>24</v>
      </c>
      <c r="G1032" s="2">
        <v>44211.524398148147</v>
      </c>
    </row>
    <row r="1033" spans="1:7" ht="15" customHeight="1" x14ac:dyDescent="0.3">
      <c r="A1033">
        <v>1347644</v>
      </c>
      <c r="B1033" t="s">
        <v>222</v>
      </c>
      <c r="C1033" t="s">
        <v>2390</v>
      </c>
      <c r="D1033" t="s">
        <v>2391</v>
      </c>
      <c r="E1033" s="1" t="s">
        <v>2392</v>
      </c>
      <c r="F1033" t="s">
        <v>24</v>
      </c>
      <c r="G1033" s="2">
        <v>44211.524317129632</v>
      </c>
    </row>
    <row r="1034" spans="1:7" ht="15" customHeight="1" x14ac:dyDescent="0.3">
      <c r="A1034">
        <v>1347637</v>
      </c>
      <c r="B1034" t="s">
        <v>12</v>
      </c>
      <c r="C1034" t="s">
        <v>1774</v>
      </c>
      <c r="D1034" t="s">
        <v>2393</v>
      </c>
      <c r="E1034" s="1" t="s">
        <v>2394</v>
      </c>
      <c r="F1034" t="s">
        <v>24</v>
      </c>
      <c r="G1034" s="2">
        <v>44211.505208333336</v>
      </c>
    </row>
    <row r="1035" spans="1:7" ht="15" customHeight="1" x14ac:dyDescent="0.3">
      <c r="A1035">
        <v>1347628</v>
      </c>
      <c r="B1035" t="s">
        <v>32</v>
      </c>
      <c r="C1035" t="s">
        <v>2395</v>
      </c>
      <c r="D1035" t="s">
        <v>2396</v>
      </c>
      <c r="E1035" s="1" t="s">
        <v>2397</v>
      </c>
      <c r="F1035" t="s">
        <v>11</v>
      </c>
      <c r="G1035" s="2">
        <v>44211.47755787037</v>
      </c>
    </row>
    <row r="1036" spans="1:7" ht="15" customHeight="1" x14ac:dyDescent="0.3">
      <c r="A1036">
        <v>1347621</v>
      </c>
      <c r="B1036" t="s">
        <v>435</v>
      </c>
      <c r="C1036" t="s">
        <v>436</v>
      </c>
      <c r="D1036" t="s">
        <v>2398</v>
      </c>
      <c r="E1036" s="1" t="s">
        <v>2399</v>
      </c>
      <c r="F1036" t="s">
        <v>11</v>
      </c>
      <c r="G1036" s="2">
        <v>44211.458252314813</v>
      </c>
    </row>
    <row r="1037" spans="1:7" ht="15" customHeight="1" x14ac:dyDescent="0.3">
      <c r="A1037">
        <v>1347616</v>
      </c>
      <c r="B1037" t="s">
        <v>118</v>
      </c>
      <c r="C1037" t="s">
        <v>119</v>
      </c>
      <c r="D1037" t="s">
        <v>2400</v>
      </c>
      <c r="E1037" s="1" t="s">
        <v>2401</v>
      </c>
      <c r="F1037" t="s">
        <v>11</v>
      </c>
      <c r="G1037" s="2">
        <v>44211.444004629629</v>
      </c>
    </row>
    <row r="1038" spans="1:7" ht="15" customHeight="1" x14ac:dyDescent="0.3">
      <c r="A1038">
        <v>1347607</v>
      </c>
      <c r="B1038" t="s">
        <v>91</v>
      </c>
      <c r="C1038" t="s">
        <v>2402</v>
      </c>
      <c r="D1038" t="s">
        <v>2403</v>
      </c>
      <c r="E1038" s="1" t="s">
        <v>2404</v>
      </c>
      <c r="F1038" t="s">
        <v>11</v>
      </c>
      <c r="G1038" s="2">
        <v>44211.43173611111</v>
      </c>
    </row>
    <row r="1039" spans="1:7" ht="15" customHeight="1" x14ac:dyDescent="0.3">
      <c r="A1039">
        <v>1347606</v>
      </c>
      <c r="B1039" t="s">
        <v>16</v>
      </c>
      <c r="C1039" t="s">
        <v>2405</v>
      </c>
      <c r="D1039" t="s">
        <v>2406</v>
      </c>
      <c r="E1039" s="1" t="s">
        <v>2407</v>
      </c>
      <c r="F1039" t="s">
        <v>11</v>
      </c>
      <c r="G1039" s="2">
        <v>44211.427951388891</v>
      </c>
    </row>
    <row r="1040" spans="1:7" ht="15" customHeight="1" x14ac:dyDescent="0.3">
      <c r="A1040">
        <v>1347602</v>
      </c>
      <c r="B1040" t="s">
        <v>1749</v>
      </c>
      <c r="C1040" t="s">
        <v>1750</v>
      </c>
      <c r="D1040" t="s">
        <v>2408</v>
      </c>
      <c r="E1040" s="1" t="s">
        <v>2409</v>
      </c>
      <c r="F1040" t="s">
        <v>24</v>
      </c>
      <c r="G1040" s="2">
        <v>44211.424317129633</v>
      </c>
    </row>
    <row r="1041" spans="1:7" ht="15" customHeight="1" x14ac:dyDescent="0.3">
      <c r="A1041">
        <v>1347598</v>
      </c>
      <c r="B1041" t="s">
        <v>1749</v>
      </c>
      <c r="C1041" t="s">
        <v>1977</v>
      </c>
      <c r="D1041" t="s">
        <v>2410</v>
      </c>
      <c r="E1041" s="1" t="s">
        <v>2411</v>
      </c>
      <c r="F1041" t="s">
        <v>24</v>
      </c>
      <c r="G1041" s="2">
        <v>44211.422500000001</v>
      </c>
    </row>
    <row r="1042" spans="1:7" ht="15" customHeight="1" x14ac:dyDescent="0.3">
      <c r="A1042">
        <v>1347562</v>
      </c>
      <c r="B1042" t="s">
        <v>45</v>
      </c>
      <c r="C1042" t="s">
        <v>1743</v>
      </c>
      <c r="D1042" t="s">
        <v>2412</v>
      </c>
      <c r="E1042" s="1" t="s">
        <v>2413</v>
      </c>
      <c r="F1042" t="s">
        <v>11</v>
      </c>
      <c r="G1042" s="2">
        <v>44211.413124999999</v>
      </c>
    </row>
    <row r="1043" spans="1:7" ht="15" customHeight="1" x14ac:dyDescent="0.3">
      <c r="A1043">
        <v>1347556</v>
      </c>
      <c r="B1043" t="s">
        <v>36</v>
      </c>
      <c r="C1043" t="s">
        <v>2414</v>
      </c>
      <c r="D1043" t="s">
        <v>2415</v>
      </c>
      <c r="E1043" s="1" t="s">
        <v>2416</v>
      </c>
      <c r="F1043" t="s">
        <v>24</v>
      </c>
      <c r="G1043" s="2">
        <v>44211.398645833331</v>
      </c>
    </row>
    <row r="1044" spans="1:7" ht="15" customHeight="1" x14ac:dyDescent="0.3">
      <c r="A1044">
        <v>1347550</v>
      </c>
      <c r="B1044" t="s">
        <v>36</v>
      </c>
      <c r="C1044" t="s">
        <v>2417</v>
      </c>
      <c r="D1044" t="s">
        <v>2418</v>
      </c>
      <c r="E1044" s="1" t="s">
        <v>2419</v>
      </c>
      <c r="F1044" t="s">
        <v>24</v>
      </c>
      <c r="G1044" s="2">
        <v>44211.396099537036</v>
      </c>
    </row>
    <row r="1045" spans="1:7" ht="15" customHeight="1" x14ac:dyDescent="0.3">
      <c r="A1045">
        <v>1347549</v>
      </c>
      <c r="B1045" t="s">
        <v>222</v>
      </c>
      <c r="C1045" t="s">
        <v>681</v>
      </c>
      <c r="D1045" t="s">
        <v>2420</v>
      </c>
      <c r="E1045" s="1" t="s">
        <v>2421</v>
      </c>
      <c r="F1045" t="s">
        <v>24</v>
      </c>
      <c r="G1045" s="2">
        <v>44211.39502314815</v>
      </c>
    </row>
    <row r="1046" spans="1:7" ht="15" customHeight="1" x14ac:dyDescent="0.3">
      <c r="A1046">
        <v>1347548</v>
      </c>
      <c r="B1046" t="s">
        <v>36</v>
      </c>
      <c r="C1046" t="s">
        <v>700</v>
      </c>
      <c r="D1046" t="s">
        <v>2422</v>
      </c>
      <c r="E1046" s="1" t="s">
        <v>2423</v>
      </c>
      <c r="F1046" t="s">
        <v>24</v>
      </c>
      <c r="G1046" s="2">
        <v>44211.394849537035</v>
      </c>
    </row>
    <row r="1047" spans="1:7" ht="15" customHeight="1" x14ac:dyDescent="0.3">
      <c r="A1047">
        <v>1347545</v>
      </c>
      <c r="B1047" t="s">
        <v>1956</v>
      </c>
      <c r="C1047" t="s">
        <v>646</v>
      </c>
      <c r="D1047" t="s">
        <v>2424</v>
      </c>
      <c r="E1047" s="1" t="s">
        <v>2425</v>
      </c>
      <c r="F1047" t="s">
        <v>11</v>
      </c>
      <c r="G1047" s="2">
        <v>44211.390393518515</v>
      </c>
    </row>
    <row r="1048" spans="1:7" ht="15" customHeight="1" x14ac:dyDescent="0.3">
      <c r="A1048">
        <v>1347544</v>
      </c>
      <c r="B1048" t="s">
        <v>36</v>
      </c>
      <c r="C1048" t="s">
        <v>2426</v>
      </c>
      <c r="D1048" t="s">
        <v>2427</v>
      </c>
      <c r="E1048" s="1" t="s">
        <v>2428</v>
      </c>
      <c r="F1048" t="s">
        <v>24</v>
      </c>
      <c r="G1048" s="2">
        <v>44211.388032407405</v>
      </c>
    </row>
    <row r="1049" spans="1:7" ht="15" customHeight="1" x14ac:dyDescent="0.3">
      <c r="A1049">
        <v>1347534</v>
      </c>
      <c r="B1049" t="s">
        <v>157</v>
      </c>
      <c r="C1049" t="s">
        <v>627</v>
      </c>
      <c r="D1049" t="s">
        <v>2429</v>
      </c>
      <c r="E1049" s="1" t="s">
        <v>2430</v>
      </c>
      <c r="F1049" t="s">
        <v>11</v>
      </c>
      <c r="G1049" s="2">
        <v>44211.373553240737</v>
      </c>
    </row>
    <row r="1050" spans="1:7" ht="15" customHeight="1" x14ac:dyDescent="0.3">
      <c r="A1050">
        <v>1347530</v>
      </c>
      <c r="B1050" t="s">
        <v>95</v>
      </c>
      <c r="C1050" t="s">
        <v>2431</v>
      </c>
      <c r="D1050" t="s">
        <v>2432</v>
      </c>
      <c r="E1050" s="1" t="s">
        <v>2433</v>
      </c>
      <c r="F1050" t="s">
        <v>11</v>
      </c>
      <c r="G1050" s="2">
        <v>44211.364710648151</v>
      </c>
    </row>
    <row r="1051" spans="1:7" ht="15" customHeight="1" x14ac:dyDescent="0.3">
      <c r="A1051">
        <v>1347525</v>
      </c>
      <c r="B1051" t="s">
        <v>2033</v>
      </c>
      <c r="C1051" t="s">
        <v>2434</v>
      </c>
      <c r="D1051" t="s">
        <v>2435</v>
      </c>
      <c r="E1051" s="1" t="s">
        <v>2436</v>
      </c>
      <c r="F1051" t="s">
        <v>11</v>
      </c>
      <c r="G1051" s="2">
        <v>44211.353171296294</v>
      </c>
    </row>
    <row r="1052" spans="1:7" ht="15" customHeight="1" x14ac:dyDescent="0.3">
      <c r="A1052">
        <v>1347506</v>
      </c>
      <c r="B1052" t="s">
        <v>32</v>
      </c>
      <c r="C1052" t="s">
        <v>2437</v>
      </c>
      <c r="D1052" t="s">
        <v>2438</v>
      </c>
      <c r="E1052" s="1" t="s">
        <v>2439</v>
      </c>
      <c r="F1052" t="s">
        <v>11</v>
      </c>
      <c r="G1052" s="2">
        <v>44211.324074074073</v>
      </c>
    </row>
    <row r="1053" spans="1:7" ht="15" customHeight="1" x14ac:dyDescent="0.3">
      <c r="A1053">
        <v>1347497</v>
      </c>
      <c r="B1053" t="s">
        <v>91</v>
      </c>
      <c r="C1053" t="s">
        <v>305</v>
      </c>
      <c r="D1053" t="s">
        <v>2440</v>
      </c>
      <c r="E1053" s="1" t="s">
        <v>2441</v>
      </c>
      <c r="F1053" t="s">
        <v>11</v>
      </c>
      <c r="G1053" s="2">
        <v>44211.307974537034</v>
      </c>
    </row>
    <row r="1054" spans="1:7" ht="15" customHeight="1" x14ac:dyDescent="0.3">
      <c r="A1054">
        <v>1347417</v>
      </c>
      <c r="B1054" t="s">
        <v>2442</v>
      </c>
      <c r="C1054" t="s">
        <v>2443</v>
      </c>
      <c r="D1054" t="s">
        <v>1325</v>
      </c>
      <c r="E1054" t="s">
        <v>1324</v>
      </c>
      <c r="F1054" t="s">
        <v>1158</v>
      </c>
      <c r="G1054" s="2">
        <v>44211.000104166669</v>
      </c>
    </row>
    <row r="1055" spans="1:7" ht="15" customHeight="1" x14ac:dyDescent="0.3">
      <c r="A1055">
        <v>1347416</v>
      </c>
      <c r="B1055" t="s">
        <v>2444</v>
      </c>
      <c r="C1055" t="s">
        <v>2445</v>
      </c>
      <c r="D1055" t="s">
        <v>1156</v>
      </c>
      <c r="E1055" s="1" t="s">
        <v>1157</v>
      </c>
      <c r="F1055" t="s">
        <v>1158</v>
      </c>
      <c r="G1055" s="2">
        <v>44211.000092592592</v>
      </c>
    </row>
    <row r="1056" spans="1:7" ht="15" customHeight="1" x14ac:dyDescent="0.3">
      <c r="A1056">
        <v>1347414</v>
      </c>
      <c r="B1056" t="s">
        <v>20</v>
      </c>
      <c r="C1056" t="s">
        <v>136</v>
      </c>
      <c r="D1056" t="s">
        <v>1156</v>
      </c>
      <c r="E1056" s="1" t="s">
        <v>1157</v>
      </c>
      <c r="F1056" t="s">
        <v>1158</v>
      </c>
      <c r="G1056" s="2">
        <v>44211.000069444446</v>
      </c>
    </row>
    <row r="1057" spans="1:7" ht="15" customHeight="1" x14ac:dyDescent="0.3">
      <c r="A1057">
        <v>1347213</v>
      </c>
      <c r="B1057" t="s">
        <v>435</v>
      </c>
      <c r="C1057" t="s">
        <v>436</v>
      </c>
      <c r="D1057" t="s">
        <v>2446</v>
      </c>
      <c r="E1057" s="1" t="s">
        <v>2447</v>
      </c>
      <c r="F1057" t="s">
        <v>11</v>
      </c>
      <c r="G1057" s="2">
        <v>44210.76054398148</v>
      </c>
    </row>
    <row r="1058" spans="1:7" ht="15" customHeight="1" x14ac:dyDescent="0.3">
      <c r="A1058">
        <v>1347211</v>
      </c>
      <c r="B1058" t="s">
        <v>435</v>
      </c>
      <c r="C1058" t="s">
        <v>436</v>
      </c>
      <c r="D1058" t="s">
        <v>2448</v>
      </c>
      <c r="E1058" s="1" t="s">
        <v>2449</v>
      </c>
      <c r="F1058" t="s">
        <v>11</v>
      </c>
      <c r="G1058" s="2">
        <v>44210.758425925924</v>
      </c>
    </row>
    <row r="1059" spans="1:7" ht="15" customHeight="1" x14ac:dyDescent="0.3">
      <c r="A1059">
        <v>1347177</v>
      </c>
      <c r="B1059" t="s">
        <v>177</v>
      </c>
      <c r="C1059" t="s">
        <v>178</v>
      </c>
      <c r="D1059" t="s">
        <v>2450</v>
      </c>
      <c r="E1059" s="1" t="s">
        <v>2451</v>
      </c>
      <c r="F1059" t="s">
        <v>11</v>
      </c>
      <c r="G1059" s="2">
        <v>44210.719166666669</v>
      </c>
    </row>
    <row r="1060" spans="1:7" ht="15" customHeight="1" x14ac:dyDescent="0.3">
      <c r="A1060">
        <v>1347158</v>
      </c>
      <c r="B1060" t="s">
        <v>20</v>
      </c>
      <c r="C1060" t="s">
        <v>136</v>
      </c>
      <c r="D1060" t="s">
        <v>2452</v>
      </c>
      <c r="E1060" s="1" t="s">
        <v>2453</v>
      </c>
      <c r="F1060" t="s">
        <v>24</v>
      </c>
      <c r="G1060" s="2">
        <v>44210.680393518516</v>
      </c>
    </row>
    <row r="1061" spans="1:7" ht="15" customHeight="1" x14ac:dyDescent="0.3">
      <c r="A1061">
        <v>1347147</v>
      </c>
      <c r="B1061" t="s">
        <v>36</v>
      </c>
      <c r="C1061" t="s">
        <v>1150</v>
      </c>
      <c r="D1061" t="s">
        <v>2454</v>
      </c>
      <c r="E1061" s="1" t="s">
        <v>2455</v>
      </c>
      <c r="F1061" t="s">
        <v>11</v>
      </c>
      <c r="G1061" s="2">
        <v>44210.655150462961</v>
      </c>
    </row>
    <row r="1062" spans="1:7" ht="15" customHeight="1" x14ac:dyDescent="0.3">
      <c r="A1062">
        <v>1347142</v>
      </c>
      <c r="B1062" t="s">
        <v>20</v>
      </c>
      <c r="C1062" t="s">
        <v>2177</v>
      </c>
      <c r="D1062" t="s">
        <v>2456</v>
      </c>
      <c r="E1062" s="1" t="s">
        <v>2457</v>
      </c>
      <c r="F1062" t="s">
        <v>11</v>
      </c>
      <c r="G1062" s="2">
        <v>44210.644074074073</v>
      </c>
    </row>
    <row r="1063" spans="1:7" ht="15" customHeight="1" x14ac:dyDescent="0.3">
      <c r="A1063">
        <v>1347141</v>
      </c>
      <c r="B1063" t="s">
        <v>157</v>
      </c>
      <c r="C1063" t="s">
        <v>414</v>
      </c>
      <c r="D1063" t="s">
        <v>2458</v>
      </c>
      <c r="E1063" s="1" t="s">
        <v>2459</v>
      </c>
      <c r="F1063" t="s">
        <v>11</v>
      </c>
      <c r="G1063" s="2">
        <v>44210.638425925928</v>
      </c>
    </row>
    <row r="1064" spans="1:7" ht="15" customHeight="1" x14ac:dyDescent="0.3">
      <c r="A1064">
        <v>1347138</v>
      </c>
      <c r="B1064" t="s">
        <v>746</v>
      </c>
      <c r="C1064" t="s">
        <v>1203</v>
      </c>
      <c r="D1064" t="s">
        <v>2460</v>
      </c>
      <c r="E1064" s="1" t="s">
        <v>2461</v>
      </c>
      <c r="F1064" t="s">
        <v>11</v>
      </c>
      <c r="G1064" s="2">
        <v>44210.63453703704</v>
      </c>
    </row>
    <row r="1065" spans="1:7" ht="15" customHeight="1" x14ac:dyDescent="0.3">
      <c r="A1065">
        <v>1347127</v>
      </c>
      <c r="B1065" t="s">
        <v>191</v>
      </c>
      <c r="C1065" t="s">
        <v>192</v>
      </c>
      <c r="D1065" t="s">
        <v>2462</v>
      </c>
      <c r="E1065" s="1" t="s">
        <v>2463</v>
      </c>
      <c r="F1065" t="s">
        <v>11</v>
      </c>
      <c r="G1065" s="2">
        <v>44210.621701388889</v>
      </c>
    </row>
    <row r="1066" spans="1:7" ht="15" customHeight="1" x14ac:dyDescent="0.3">
      <c r="A1066">
        <v>1347123</v>
      </c>
      <c r="B1066" t="s">
        <v>2130</v>
      </c>
      <c r="C1066" t="s">
        <v>2131</v>
      </c>
      <c r="D1066" t="s">
        <v>2464</v>
      </c>
      <c r="E1066" s="1" t="s">
        <v>2465</v>
      </c>
      <c r="F1066" t="s">
        <v>24</v>
      </c>
      <c r="G1066" s="2">
        <v>44210.614594907405</v>
      </c>
    </row>
    <row r="1067" spans="1:7" ht="15" customHeight="1" x14ac:dyDescent="0.3">
      <c r="A1067">
        <v>1347113</v>
      </c>
      <c r="B1067" t="s">
        <v>53</v>
      </c>
      <c r="C1067" t="s">
        <v>54</v>
      </c>
      <c r="D1067" t="s">
        <v>2466</v>
      </c>
      <c r="E1067" s="1" t="s">
        <v>2467</v>
      </c>
      <c r="F1067" t="s">
        <v>11</v>
      </c>
      <c r="G1067" s="2">
        <v>44210.595150462963</v>
      </c>
    </row>
    <row r="1068" spans="1:7" ht="15" customHeight="1" x14ac:dyDescent="0.3">
      <c r="A1068">
        <v>1347111</v>
      </c>
      <c r="B1068" t="s">
        <v>53</v>
      </c>
      <c r="C1068" t="s">
        <v>54</v>
      </c>
      <c r="D1068" t="s">
        <v>2468</v>
      </c>
      <c r="E1068" s="1" t="s">
        <v>2469</v>
      </c>
      <c r="F1068" t="s">
        <v>11</v>
      </c>
      <c r="G1068" s="2">
        <v>44210.590196759258</v>
      </c>
    </row>
    <row r="1069" spans="1:7" ht="15" customHeight="1" x14ac:dyDescent="0.3">
      <c r="A1069">
        <v>1347107</v>
      </c>
      <c r="B1069" t="s">
        <v>214</v>
      </c>
      <c r="C1069" t="s">
        <v>215</v>
      </c>
      <c r="D1069" t="s">
        <v>2470</v>
      </c>
      <c r="E1069" s="1" t="s">
        <v>2471</v>
      </c>
      <c r="F1069" t="s">
        <v>11</v>
      </c>
      <c r="G1069" s="2">
        <v>44210.578275462962</v>
      </c>
    </row>
    <row r="1070" spans="1:7" ht="15" customHeight="1" x14ac:dyDescent="0.3">
      <c r="A1070">
        <v>1347106</v>
      </c>
      <c r="B1070" t="s">
        <v>70</v>
      </c>
      <c r="C1070" t="s">
        <v>369</v>
      </c>
      <c r="D1070" t="s">
        <v>2472</v>
      </c>
      <c r="E1070" s="1" t="s">
        <v>2473</v>
      </c>
      <c r="F1070" t="s">
        <v>11</v>
      </c>
      <c r="G1070" s="2">
        <v>44210.574837962966</v>
      </c>
    </row>
    <row r="1071" spans="1:7" ht="15" customHeight="1" x14ac:dyDescent="0.3">
      <c r="A1071">
        <v>1347105</v>
      </c>
      <c r="B1071" t="s">
        <v>49</v>
      </c>
      <c r="C1071" t="s">
        <v>1469</v>
      </c>
      <c r="D1071" t="s">
        <v>2474</v>
      </c>
      <c r="E1071" s="1" t="s">
        <v>2475</v>
      </c>
      <c r="F1071" t="s">
        <v>11</v>
      </c>
      <c r="G1071" s="2">
        <v>44210.570185185185</v>
      </c>
    </row>
    <row r="1072" spans="1:7" ht="15" customHeight="1" x14ac:dyDescent="0.3">
      <c r="A1072">
        <v>1347102</v>
      </c>
      <c r="B1072" t="s">
        <v>431</v>
      </c>
      <c r="C1072" t="s">
        <v>432</v>
      </c>
      <c r="D1072" t="s">
        <v>2476</v>
      </c>
      <c r="E1072" s="1" t="s">
        <v>2477</v>
      </c>
      <c r="F1072" t="s">
        <v>24</v>
      </c>
      <c r="G1072" s="2">
        <v>44210.567777777775</v>
      </c>
    </row>
    <row r="1073" spans="1:7" ht="15" customHeight="1" x14ac:dyDescent="0.3">
      <c r="A1073">
        <v>1347099</v>
      </c>
      <c r="B1073" t="s">
        <v>20</v>
      </c>
      <c r="C1073" t="s">
        <v>1596</v>
      </c>
      <c r="D1073" t="s">
        <v>2478</v>
      </c>
      <c r="E1073" s="1" t="s">
        <v>2479</v>
      </c>
      <c r="F1073" t="s">
        <v>24</v>
      </c>
      <c r="G1073" s="2">
        <v>44210.558680555558</v>
      </c>
    </row>
    <row r="1074" spans="1:7" ht="15" customHeight="1" x14ac:dyDescent="0.3">
      <c r="A1074">
        <v>1347096</v>
      </c>
      <c r="B1074" t="s">
        <v>157</v>
      </c>
      <c r="C1074" t="s">
        <v>414</v>
      </c>
      <c r="D1074" t="s">
        <v>2480</v>
      </c>
      <c r="E1074" s="1" t="s">
        <v>2481</v>
      </c>
      <c r="F1074" t="s">
        <v>11</v>
      </c>
      <c r="G1074" s="2">
        <v>44210.55259259259</v>
      </c>
    </row>
    <row r="1075" spans="1:7" ht="15" customHeight="1" x14ac:dyDescent="0.3">
      <c r="A1075">
        <v>1347076</v>
      </c>
      <c r="B1075" t="s">
        <v>16</v>
      </c>
      <c r="C1075" t="s">
        <v>2343</v>
      </c>
      <c r="D1075" t="s">
        <v>2344</v>
      </c>
      <c r="E1075" s="1" t="s">
        <v>2482</v>
      </c>
      <c r="F1075" t="s">
        <v>11</v>
      </c>
      <c r="G1075" s="2">
        <v>44210.519872685189</v>
      </c>
    </row>
    <row r="1076" spans="1:7" ht="15" customHeight="1" x14ac:dyDescent="0.3">
      <c r="A1076">
        <v>1347069</v>
      </c>
      <c r="B1076" t="s">
        <v>36</v>
      </c>
      <c r="C1076" t="s">
        <v>989</v>
      </c>
      <c r="D1076" t="s">
        <v>2483</v>
      </c>
      <c r="E1076" s="1" t="s">
        <v>2484</v>
      </c>
      <c r="F1076" t="s">
        <v>11</v>
      </c>
      <c r="G1076" s="2">
        <v>44210.498738425929</v>
      </c>
    </row>
    <row r="1077" spans="1:7" ht="15" customHeight="1" x14ac:dyDescent="0.3">
      <c r="A1077">
        <v>1347061</v>
      </c>
      <c r="B1077" t="s">
        <v>74</v>
      </c>
      <c r="C1077" t="s">
        <v>1374</v>
      </c>
      <c r="D1077" t="s">
        <v>2485</v>
      </c>
      <c r="E1077" s="1" t="s">
        <v>2486</v>
      </c>
      <c r="F1077" t="s">
        <v>24</v>
      </c>
      <c r="G1077" s="2">
        <v>44210.492881944447</v>
      </c>
    </row>
    <row r="1078" spans="1:7" ht="15" customHeight="1" x14ac:dyDescent="0.3">
      <c r="A1078">
        <v>1347055</v>
      </c>
      <c r="B1078" t="s">
        <v>45</v>
      </c>
      <c r="C1078" t="s">
        <v>1743</v>
      </c>
      <c r="D1078" t="s">
        <v>2487</v>
      </c>
      <c r="E1078" s="1" t="s">
        <v>2488</v>
      </c>
      <c r="F1078" t="s">
        <v>11</v>
      </c>
      <c r="G1078" s="2">
        <v>44210.48510416667</v>
      </c>
    </row>
    <row r="1079" spans="1:7" ht="15" customHeight="1" x14ac:dyDescent="0.3">
      <c r="A1079">
        <v>1347049</v>
      </c>
      <c r="B1079" t="s">
        <v>614</v>
      </c>
      <c r="C1079" t="s">
        <v>2489</v>
      </c>
      <c r="D1079" t="s">
        <v>2490</v>
      </c>
      <c r="E1079" s="1" t="s">
        <v>2491</v>
      </c>
      <c r="F1079" t="s">
        <v>11</v>
      </c>
      <c r="G1079" s="2">
        <v>44210.477916666663</v>
      </c>
    </row>
    <row r="1080" spans="1:7" ht="15" customHeight="1" x14ac:dyDescent="0.3">
      <c r="A1080">
        <v>1347043</v>
      </c>
      <c r="B1080" t="s">
        <v>36</v>
      </c>
      <c r="C1080" t="s">
        <v>752</v>
      </c>
      <c r="D1080" t="s">
        <v>2492</v>
      </c>
      <c r="E1080" s="1" t="s">
        <v>2493</v>
      </c>
      <c r="F1080" t="s">
        <v>24</v>
      </c>
      <c r="G1080" s="2">
        <v>44210.461331018516</v>
      </c>
    </row>
    <row r="1081" spans="1:7" ht="15" customHeight="1" x14ac:dyDescent="0.3">
      <c r="A1081">
        <v>1347042</v>
      </c>
      <c r="B1081" t="s">
        <v>118</v>
      </c>
      <c r="C1081" t="s">
        <v>200</v>
      </c>
      <c r="D1081" t="s">
        <v>2494</v>
      </c>
      <c r="E1081" s="1" t="s">
        <v>2495</v>
      </c>
      <c r="F1081" t="s">
        <v>24</v>
      </c>
      <c r="G1081" s="2">
        <v>44210.458784722221</v>
      </c>
    </row>
    <row r="1082" spans="1:7" ht="15" customHeight="1" x14ac:dyDescent="0.3">
      <c r="A1082">
        <v>1347032</v>
      </c>
      <c r="B1082" t="s">
        <v>16</v>
      </c>
      <c r="C1082" t="s">
        <v>2496</v>
      </c>
      <c r="D1082" t="s">
        <v>2497</v>
      </c>
      <c r="E1082" s="1" t="s">
        <v>2498</v>
      </c>
      <c r="F1082" t="s">
        <v>11</v>
      </c>
      <c r="G1082" s="2">
        <v>44210.438090277778</v>
      </c>
    </row>
    <row r="1083" spans="1:7" ht="15" customHeight="1" x14ac:dyDescent="0.3">
      <c r="A1083">
        <v>1347031</v>
      </c>
      <c r="B1083" t="s">
        <v>87</v>
      </c>
      <c r="C1083" t="s">
        <v>1153</v>
      </c>
      <c r="D1083" t="s">
        <v>2499</v>
      </c>
      <c r="E1083" s="1" t="s">
        <v>2500</v>
      </c>
      <c r="F1083" t="s">
        <v>11</v>
      </c>
      <c r="G1083" s="2">
        <v>44210.435601851852</v>
      </c>
    </row>
    <row r="1084" spans="1:7" ht="15" customHeight="1" x14ac:dyDescent="0.3">
      <c r="A1084">
        <v>1347020</v>
      </c>
      <c r="B1084" t="s">
        <v>489</v>
      </c>
      <c r="C1084" t="s">
        <v>2501</v>
      </c>
      <c r="D1084" t="s">
        <v>2502</v>
      </c>
      <c r="E1084" s="1" t="s">
        <v>2503</v>
      </c>
      <c r="F1084" t="s">
        <v>24</v>
      </c>
      <c r="G1084" s="2">
        <v>44210.419062499997</v>
      </c>
    </row>
    <row r="1085" spans="1:7" ht="15" customHeight="1" x14ac:dyDescent="0.3">
      <c r="A1085">
        <v>1346993</v>
      </c>
      <c r="B1085" t="s">
        <v>350</v>
      </c>
      <c r="C1085" t="s">
        <v>351</v>
      </c>
      <c r="D1085" t="s">
        <v>2504</v>
      </c>
      <c r="E1085" s="1" t="s">
        <v>2505</v>
      </c>
      <c r="F1085" t="s">
        <v>24</v>
      </c>
      <c r="G1085" s="2">
        <v>44210.416365740741</v>
      </c>
    </row>
    <row r="1086" spans="1:7" ht="15" customHeight="1" x14ac:dyDescent="0.3">
      <c r="A1086">
        <v>1346989</v>
      </c>
      <c r="B1086" t="s">
        <v>53</v>
      </c>
      <c r="C1086" t="s">
        <v>54</v>
      </c>
      <c r="D1086" t="s">
        <v>2506</v>
      </c>
      <c r="E1086" s="1" t="s">
        <v>2507</v>
      </c>
      <c r="F1086" t="s">
        <v>11</v>
      </c>
      <c r="G1086" s="2">
        <v>44210.40662037037</v>
      </c>
    </row>
    <row r="1087" spans="1:7" ht="15" customHeight="1" x14ac:dyDescent="0.3">
      <c r="A1087">
        <v>1346985</v>
      </c>
      <c r="B1087" t="s">
        <v>95</v>
      </c>
      <c r="C1087" t="s">
        <v>601</v>
      </c>
      <c r="D1087" t="s">
        <v>2508</v>
      </c>
      <c r="E1087" s="1" t="s">
        <v>2509</v>
      </c>
      <c r="F1087" t="s">
        <v>11</v>
      </c>
      <c r="G1087" s="2">
        <v>44210.40289351852</v>
      </c>
    </row>
    <row r="1088" spans="1:7" ht="15" customHeight="1" x14ac:dyDescent="0.3">
      <c r="A1088">
        <v>1346980</v>
      </c>
      <c r="B1088" t="s">
        <v>191</v>
      </c>
      <c r="C1088" t="s">
        <v>2510</v>
      </c>
      <c r="D1088" t="s">
        <v>2511</v>
      </c>
      <c r="E1088" s="1" t="s">
        <v>2512</v>
      </c>
      <c r="F1088" t="s">
        <v>11</v>
      </c>
      <c r="G1088" s="2">
        <v>44210.400497685187</v>
      </c>
    </row>
    <row r="1089" spans="1:7" ht="15" customHeight="1" x14ac:dyDescent="0.3">
      <c r="A1089">
        <v>1346979</v>
      </c>
      <c r="B1089" t="s">
        <v>45</v>
      </c>
      <c r="C1089" t="s">
        <v>2513</v>
      </c>
      <c r="D1089" t="s">
        <v>2514</v>
      </c>
      <c r="E1089" t="s">
        <v>2515</v>
      </c>
      <c r="F1089" t="s">
        <v>11</v>
      </c>
      <c r="G1089" s="2">
        <v>44210.398587962962</v>
      </c>
    </row>
    <row r="1090" spans="1:7" ht="15" customHeight="1" x14ac:dyDescent="0.3">
      <c r="A1090">
        <v>1346976</v>
      </c>
      <c r="B1090" t="s">
        <v>1052</v>
      </c>
      <c r="C1090" t="s">
        <v>1053</v>
      </c>
      <c r="D1090" t="s">
        <v>2516</v>
      </c>
      <c r="E1090" s="1" t="s">
        <v>2517</v>
      </c>
      <c r="F1090" t="s">
        <v>11</v>
      </c>
      <c r="G1090" s="2">
        <v>44210.398217592592</v>
      </c>
    </row>
    <row r="1091" spans="1:7" ht="15" customHeight="1" x14ac:dyDescent="0.3">
      <c r="A1091">
        <v>1346972</v>
      </c>
      <c r="B1091" t="s">
        <v>53</v>
      </c>
      <c r="C1091" t="s">
        <v>54</v>
      </c>
      <c r="D1091" t="s">
        <v>2518</v>
      </c>
      <c r="E1091" s="1" t="s">
        <v>2519</v>
      </c>
      <c r="F1091" t="s">
        <v>11</v>
      </c>
      <c r="G1091" s="2">
        <v>44210.390081018515</v>
      </c>
    </row>
    <row r="1092" spans="1:7" ht="15" customHeight="1" x14ac:dyDescent="0.3">
      <c r="A1092">
        <v>1346967</v>
      </c>
      <c r="B1092" t="s">
        <v>20</v>
      </c>
      <c r="C1092" t="s">
        <v>136</v>
      </c>
      <c r="D1092" t="s">
        <v>2520</v>
      </c>
      <c r="E1092" s="1" t="s">
        <v>2521</v>
      </c>
      <c r="F1092" t="s">
        <v>11</v>
      </c>
      <c r="G1092" s="2">
        <v>44210.382638888892</v>
      </c>
    </row>
    <row r="1093" spans="1:7" ht="15" customHeight="1" x14ac:dyDescent="0.3">
      <c r="A1093">
        <v>1346966</v>
      </c>
      <c r="B1093" t="s">
        <v>32</v>
      </c>
      <c r="C1093" t="s">
        <v>2522</v>
      </c>
      <c r="D1093" t="s">
        <v>2523</v>
      </c>
      <c r="E1093" s="1" t="s">
        <v>2524</v>
      </c>
      <c r="F1093" t="s">
        <v>11</v>
      </c>
      <c r="G1093" s="2">
        <v>44210.382060185184</v>
      </c>
    </row>
    <row r="1094" spans="1:7" ht="15" customHeight="1" x14ac:dyDescent="0.3">
      <c r="A1094">
        <v>1346955</v>
      </c>
      <c r="B1094" t="s">
        <v>32</v>
      </c>
      <c r="C1094" t="s">
        <v>2522</v>
      </c>
      <c r="D1094" t="s">
        <v>2525</v>
      </c>
      <c r="E1094" s="1" t="s">
        <v>2526</v>
      </c>
      <c r="F1094" t="s">
        <v>11</v>
      </c>
      <c r="G1094" s="2">
        <v>44210.344375000001</v>
      </c>
    </row>
    <row r="1095" spans="1:7" ht="15" customHeight="1" x14ac:dyDescent="0.3">
      <c r="A1095">
        <v>1346947</v>
      </c>
      <c r="B1095" t="s">
        <v>49</v>
      </c>
      <c r="C1095" t="s">
        <v>2527</v>
      </c>
      <c r="D1095" t="s">
        <v>2528</v>
      </c>
      <c r="E1095" s="1" t="s">
        <v>2529</v>
      </c>
      <c r="F1095" t="s">
        <v>11</v>
      </c>
      <c r="G1095" s="2">
        <v>44210.336585648147</v>
      </c>
    </row>
    <row r="1096" spans="1:7" ht="15" customHeight="1" x14ac:dyDescent="0.3">
      <c r="A1096">
        <v>1346936</v>
      </c>
      <c r="B1096" t="s">
        <v>401</v>
      </c>
      <c r="C1096" t="s">
        <v>1402</v>
      </c>
      <c r="D1096" t="s">
        <v>2530</v>
      </c>
      <c r="E1096" s="1" t="s">
        <v>2531</v>
      </c>
      <c r="F1096" t="s">
        <v>11</v>
      </c>
      <c r="G1096" s="2">
        <v>44210.329837962963</v>
      </c>
    </row>
    <row r="1097" spans="1:7" ht="15" customHeight="1" x14ac:dyDescent="0.3">
      <c r="A1097">
        <v>1346929</v>
      </c>
      <c r="B1097" t="s">
        <v>74</v>
      </c>
      <c r="C1097" t="s">
        <v>1656</v>
      </c>
      <c r="D1097" t="s">
        <v>2532</v>
      </c>
      <c r="E1097" s="1" t="s">
        <v>2533</v>
      </c>
      <c r="F1097" t="s">
        <v>11</v>
      </c>
      <c r="G1097" s="2">
        <v>44210.31722222222</v>
      </c>
    </row>
    <row r="1098" spans="1:7" ht="15" customHeight="1" x14ac:dyDescent="0.3">
      <c r="A1098">
        <v>1346925</v>
      </c>
      <c r="B1098" t="s">
        <v>606</v>
      </c>
      <c r="C1098" t="s">
        <v>2534</v>
      </c>
      <c r="D1098" t="s">
        <v>2535</v>
      </c>
      <c r="E1098" s="1" t="s">
        <v>2536</v>
      </c>
      <c r="F1098" t="s">
        <v>11</v>
      </c>
      <c r="G1098" s="2">
        <v>44210.302951388891</v>
      </c>
    </row>
    <row r="1099" spans="1:7" ht="15" customHeight="1" x14ac:dyDescent="0.3">
      <c r="A1099">
        <v>1346811</v>
      </c>
      <c r="B1099" t="s">
        <v>2537</v>
      </c>
      <c r="C1099" t="s">
        <v>2538</v>
      </c>
      <c r="D1099" t="s">
        <v>1325</v>
      </c>
      <c r="E1099" s="1" t="s">
        <v>1326</v>
      </c>
      <c r="F1099" t="s">
        <v>1158</v>
      </c>
      <c r="G1099" s="2">
        <v>44210.0000462963</v>
      </c>
    </row>
    <row r="1100" spans="1:7" ht="15" customHeight="1" x14ac:dyDescent="0.3">
      <c r="A1100">
        <v>1346810</v>
      </c>
      <c r="B1100" t="s">
        <v>184</v>
      </c>
      <c r="C1100" t="s">
        <v>1428</v>
      </c>
      <c r="D1100" t="s">
        <v>1325</v>
      </c>
      <c r="E1100" s="1" t="s">
        <v>1326</v>
      </c>
      <c r="F1100" t="s">
        <v>1158</v>
      </c>
      <c r="G1100" s="2">
        <v>44210.000034722223</v>
      </c>
    </row>
    <row r="1101" spans="1:7" ht="15" customHeight="1" x14ac:dyDescent="0.3">
      <c r="A1101">
        <v>1346809</v>
      </c>
      <c r="B1101" t="s">
        <v>1236</v>
      </c>
      <c r="C1101" t="s">
        <v>1237</v>
      </c>
      <c r="D1101" t="s">
        <v>1429</v>
      </c>
      <c r="E1101" s="1" t="s">
        <v>1160</v>
      </c>
      <c r="F1101" t="s">
        <v>1158</v>
      </c>
      <c r="G1101" s="2">
        <v>44210.000023148146</v>
      </c>
    </row>
    <row r="1102" spans="1:7" ht="15" customHeight="1" x14ac:dyDescent="0.3">
      <c r="A1102">
        <v>1346698</v>
      </c>
      <c r="B1102" t="s">
        <v>74</v>
      </c>
      <c r="C1102" t="s">
        <v>75</v>
      </c>
      <c r="D1102" t="s">
        <v>2539</v>
      </c>
      <c r="E1102" s="1" t="s">
        <v>2540</v>
      </c>
      <c r="F1102" t="s">
        <v>11</v>
      </c>
      <c r="G1102" s="2">
        <v>44209.878125000003</v>
      </c>
    </row>
    <row r="1103" spans="1:7" ht="15" customHeight="1" x14ac:dyDescent="0.3">
      <c r="A1103">
        <v>1346679</v>
      </c>
      <c r="B1103" t="s">
        <v>36</v>
      </c>
      <c r="C1103" t="s">
        <v>700</v>
      </c>
      <c r="D1103" t="s">
        <v>2541</v>
      </c>
      <c r="E1103" s="1" t="s">
        <v>2542</v>
      </c>
      <c r="F1103" t="s">
        <v>24</v>
      </c>
      <c r="G1103" s="2">
        <v>44209.84851851852</v>
      </c>
    </row>
    <row r="1104" spans="1:7" ht="15" customHeight="1" x14ac:dyDescent="0.3">
      <c r="A1104">
        <v>1346659</v>
      </c>
      <c r="B1104" t="s">
        <v>7</v>
      </c>
      <c r="C1104" t="s">
        <v>107</v>
      </c>
      <c r="D1104" t="s">
        <v>2543</v>
      </c>
      <c r="E1104" s="1" t="s">
        <v>2544</v>
      </c>
      <c r="F1104" t="s">
        <v>11</v>
      </c>
      <c r="G1104" s="2">
        <v>44209.824560185189</v>
      </c>
    </row>
    <row r="1105" spans="1:7" ht="15" customHeight="1" x14ac:dyDescent="0.3">
      <c r="A1105">
        <v>1346576</v>
      </c>
      <c r="B1105" t="s">
        <v>36</v>
      </c>
      <c r="C1105" t="s">
        <v>752</v>
      </c>
      <c r="D1105" t="s">
        <v>2545</v>
      </c>
      <c r="E1105" s="1" t="s">
        <v>2546</v>
      </c>
      <c r="F1105" t="s">
        <v>24</v>
      </c>
      <c r="G1105" s="2">
        <v>44209.731527777774</v>
      </c>
    </row>
    <row r="1106" spans="1:7" ht="15" customHeight="1" x14ac:dyDescent="0.3">
      <c r="A1106">
        <v>1346573</v>
      </c>
      <c r="B1106" t="s">
        <v>177</v>
      </c>
      <c r="C1106" t="s">
        <v>178</v>
      </c>
      <c r="D1106" t="s">
        <v>2547</v>
      </c>
      <c r="E1106" s="1" t="s">
        <v>2548</v>
      </c>
      <c r="F1106" t="s">
        <v>24</v>
      </c>
      <c r="G1106" s="2">
        <v>44209.728194444448</v>
      </c>
    </row>
    <row r="1107" spans="1:7" ht="15" customHeight="1" x14ac:dyDescent="0.3">
      <c r="A1107">
        <v>1346561</v>
      </c>
      <c r="B1107" t="s">
        <v>20</v>
      </c>
      <c r="C1107" t="s">
        <v>136</v>
      </c>
      <c r="D1107" t="s">
        <v>2549</v>
      </c>
      <c r="E1107" s="1" t="s">
        <v>2550</v>
      </c>
      <c r="F1107" t="s">
        <v>11</v>
      </c>
      <c r="G1107" s="2">
        <v>44209.710543981484</v>
      </c>
    </row>
    <row r="1108" spans="1:7" ht="15" customHeight="1" x14ac:dyDescent="0.3">
      <c r="A1108">
        <v>1346550</v>
      </c>
      <c r="B1108" t="s">
        <v>7</v>
      </c>
      <c r="C1108" t="s">
        <v>158</v>
      </c>
      <c r="D1108" t="s">
        <v>737</v>
      </c>
      <c r="E1108" s="1" t="s">
        <v>2551</v>
      </c>
      <c r="F1108" t="s">
        <v>11</v>
      </c>
      <c r="G1108" s="2">
        <v>44209.69189814815</v>
      </c>
    </row>
    <row r="1109" spans="1:7" ht="15" customHeight="1" x14ac:dyDescent="0.3">
      <c r="A1109">
        <v>1346539</v>
      </c>
      <c r="B1109" t="s">
        <v>503</v>
      </c>
      <c r="D1109" t="s">
        <v>2552</v>
      </c>
      <c r="E1109" s="1" t="s">
        <v>2553</v>
      </c>
      <c r="F1109" t="s">
        <v>11</v>
      </c>
      <c r="G1109" s="2">
        <v>44209.664722222224</v>
      </c>
    </row>
    <row r="1110" spans="1:7" ht="15" customHeight="1" x14ac:dyDescent="0.3">
      <c r="A1110">
        <v>1346525</v>
      </c>
      <c r="B1110" t="s">
        <v>132</v>
      </c>
      <c r="C1110" t="s">
        <v>1072</v>
      </c>
      <c r="D1110" t="s">
        <v>2554</v>
      </c>
      <c r="E1110" s="1" t="s">
        <v>2555</v>
      </c>
      <c r="F1110" t="s">
        <v>11</v>
      </c>
      <c r="G1110" s="2">
        <v>44209.627962962964</v>
      </c>
    </row>
    <row r="1111" spans="1:7" ht="15" customHeight="1" x14ac:dyDescent="0.3">
      <c r="A1111">
        <v>1346518</v>
      </c>
      <c r="B1111" t="s">
        <v>53</v>
      </c>
      <c r="C1111" t="s">
        <v>54</v>
      </c>
      <c r="D1111" t="s">
        <v>2556</v>
      </c>
      <c r="E1111" s="1" t="s">
        <v>2557</v>
      </c>
      <c r="F1111" t="s">
        <v>11</v>
      </c>
      <c r="G1111" s="2">
        <v>44209.619456018518</v>
      </c>
    </row>
    <row r="1112" spans="1:7" ht="15" customHeight="1" x14ac:dyDescent="0.3">
      <c r="A1112">
        <v>1346512</v>
      </c>
      <c r="B1112" t="s">
        <v>813</v>
      </c>
      <c r="C1112" t="s">
        <v>814</v>
      </c>
      <c r="D1112" t="s">
        <v>2558</v>
      </c>
      <c r="E1112" s="1" t="s">
        <v>2559</v>
      </c>
      <c r="F1112" t="s">
        <v>24</v>
      </c>
      <c r="G1112" s="2">
        <v>44209.598113425927</v>
      </c>
    </row>
    <row r="1113" spans="1:7" ht="15" customHeight="1" x14ac:dyDescent="0.3">
      <c r="A1113">
        <v>1346511</v>
      </c>
      <c r="B1113" t="s">
        <v>503</v>
      </c>
      <c r="D1113" t="s">
        <v>2560</v>
      </c>
      <c r="E1113" s="1" t="s">
        <v>2561</v>
      </c>
      <c r="F1113" t="s">
        <v>11</v>
      </c>
      <c r="G1113" s="2">
        <v>44209.598078703704</v>
      </c>
    </row>
    <row r="1114" spans="1:7" ht="15" customHeight="1" x14ac:dyDescent="0.3">
      <c r="A1114">
        <v>1346497</v>
      </c>
      <c r="B1114" t="s">
        <v>36</v>
      </c>
      <c r="C1114" t="s">
        <v>2562</v>
      </c>
      <c r="D1114" t="s">
        <v>2563</v>
      </c>
      <c r="E1114" s="1" t="s">
        <v>2564</v>
      </c>
      <c r="F1114" t="s">
        <v>24</v>
      </c>
      <c r="G1114" s="2">
        <v>44209.576597222222</v>
      </c>
    </row>
    <row r="1115" spans="1:7" ht="15" customHeight="1" x14ac:dyDescent="0.3">
      <c r="A1115">
        <v>1346489</v>
      </c>
      <c r="B1115" t="s">
        <v>16</v>
      </c>
      <c r="C1115" t="s">
        <v>649</v>
      </c>
      <c r="D1115" t="s">
        <v>2565</v>
      </c>
      <c r="E1115" s="1" t="s">
        <v>2566</v>
      </c>
      <c r="F1115" t="s">
        <v>11</v>
      </c>
      <c r="G1115" s="2">
        <v>44209.561921296299</v>
      </c>
    </row>
    <row r="1116" spans="1:7" ht="15" customHeight="1" x14ac:dyDescent="0.3">
      <c r="A1116">
        <v>1346487</v>
      </c>
      <c r="B1116" t="s">
        <v>20</v>
      </c>
      <c r="C1116" t="s">
        <v>136</v>
      </c>
      <c r="D1116" t="s">
        <v>2567</v>
      </c>
      <c r="E1116" s="1" t="s">
        <v>2568</v>
      </c>
      <c r="F1116" t="s">
        <v>11</v>
      </c>
      <c r="G1116" s="2">
        <v>44209.554594907408</v>
      </c>
    </row>
    <row r="1117" spans="1:7" ht="15" customHeight="1" x14ac:dyDescent="0.3">
      <c r="A1117">
        <v>1346482</v>
      </c>
      <c r="B1117" t="s">
        <v>20</v>
      </c>
      <c r="C1117" t="s">
        <v>136</v>
      </c>
      <c r="D1117" t="s">
        <v>2569</v>
      </c>
      <c r="E1117" s="1" t="s">
        <v>2570</v>
      </c>
      <c r="F1117" t="s">
        <v>11</v>
      </c>
      <c r="G1117" s="2">
        <v>44209.547615740739</v>
      </c>
    </row>
    <row r="1118" spans="1:7" ht="15" customHeight="1" x14ac:dyDescent="0.3">
      <c r="A1118">
        <v>1346481</v>
      </c>
      <c r="B1118" t="s">
        <v>20</v>
      </c>
      <c r="C1118" t="s">
        <v>84</v>
      </c>
      <c r="D1118" t="s">
        <v>2571</v>
      </c>
      <c r="E1118" s="1" t="s">
        <v>2572</v>
      </c>
      <c r="F1118" t="s">
        <v>11</v>
      </c>
      <c r="G1118" s="2">
        <v>44209.544178240743</v>
      </c>
    </row>
    <row r="1119" spans="1:7" ht="15" customHeight="1" x14ac:dyDescent="0.3">
      <c r="A1119">
        <v>1346479</v>
      </c>
      <c r="B1119" t="s">
        <v>16</v>
      </c>
      <c r="C1119" t="s">
        <v>649</v>
      </c>
      <c r="D1119" t="s">
        <v>2573</v>
      </c>
      <c r="E1119" s="1" t="s">
        <v>2574</v>
      </c>
      <c r="F1119" t="s">
        <v>11</v>
      </c>
      <c r="G1119" s="2">
        <v>44209.536076388889</v>
      </c>
    </row>
    <row r="1120" spans="1:7" ht="15" customHeight="1" x14ac:dyDescent="0.3">
      <c r="A1120">
        <v>1346475</v>
      </c>
      <c r="B1120" t="s">
        <v>70</v>
      </c>
      <c r="C1120" t="s">
        <v>660</v>
      </c>
      <c r="D1120" t="s">
        <v>2575</v>
      </c>
      <c r="E1120" s="1" t="s">
        <v>2576</v>
      </c>
      <c r="F1120" t="s">
        <v>11</v>
      </c>
      <c r="G1120" s="2">
        <v>44209.527881944443</v>
      </c>
    </row>
    <row r="1121" spans="1:7" ht="15" customHeight="1" x14ac:dyDescent="0.3">
      <c r="A1121">
        <v>1346473</v>
      </c>
      <c r="B1121" t="s">
        <v>16</v>
      </c>
      <c r="C1121" t="s">
        <v>649</v>
      </c>
      <c r="D1121" t="s">
        <v>2577</v>
      </c>
      <c r="E1121" s="1" t="s">
        <v>2578</v>
      </c>
      <c r="F1121" t="s">
        <v>11</v>
      </c>
      <c r="G1121" s="2">
        <v>44209.523460648146</v>
      </c>
    </row>
    <row r="1122" spans="1:7" ht="15" customHeight="1" x14ac:dyDescent="0.3">
      <c r="A1122">
        <v>1346460</v>
      </c>
      <c r="B1122" t="s">
        <v>545</v>
      </c>
      <c r="C1122" t="s">
        <v>2579</v>
      </c>
      <c r="D1122" t="s">
        <v>2580</v>
      </c>
      <c r="E1122" s="1" t="s">
        <v>2581</v>
      </c>
      <c r="F1122" t="s">
        <v>24</v>
      </c>
      <c r="G1122" s="2">
        <v>44209.488344907404</v>
      </c>
    </row>
    <row r="1123" spans="1:7" ht="15" customHeight="1" x14ac:dyDescent="0.3">
      <c r="A1123">
        <v>1346457</v>
      </c>
      <c r="B1123" t="s">
        <v>53</v>
      </c>
      <c r="C1123" t="s">
        <v>2582</v>
      </c>
      <c r="D1123" t="s">
        <v>2583</v>
      </c>
      <c r="E1123" s="1" t="s">
        <v>2584</v>
      </c>
      <c r="F1123" t="s">
        <v>11</v>
      </c>
      <c r="G1123" s="2">
        <v>44209.484722222223</v>
      </c>
    </row>
    <row r="1124" spans="1:7" ht="15" customHeight="1" x14ac:dyDescent="0.3">
      <c r="A1124">
        <v>1346453</v>
      </c>
      <c r="B1124" t="s">
        <v>230</v>
      </c>
      <c r="C1124" t="s">
        <v>480</v>
      </c>
      <c r="D1124" t="s">
        <v>2585</v>
      </c>
      <c r="E1124" s="1" t="s">
        <v>2586</v>
      </c>
      <c r="F1124" t="s">
        <v>24</v>
      </c>
      <c r="G1124" s="2">
        <v>44209.46770833333</v>
      </c>
    </row>
    <row r="1125" spans="1:7" ht="15" customHeight="1" x14ac:dyDescent="0.3">
      <c r="A1125">
        <v>1346450</v>
      </c>
      <c r="B1125" t="s">
        <v>16</v>
      </c>
      <c r="C1125" t="s">
        <v>649</v>
      </c>
      <c r="D1125" t="s">
        <v>2587</v>
      </c>
      <c r="E1125" s="1" t="s">
        <v>2588</v>
      </c>
      <c r="F1125" t="s">
        <v>11</v>
      </c>
      <c r="G1125" s="2">
        <v>44209.465960648151</v>
      </c>
    </row>
    <row r="1126" spans="1:7" ht="15" customHeight="1" x14ac:dyDescent="0.3">
      <c r="A1126">
        <v>1346436</v>
      </c>
      <c r="B1126" t="s">
        <v>401</v>
      </c>
      <c r="C1126" t="s">
        <v>402</v>
      </c>
      <c r="D1126" t="s">
        <v>2589</v>
      </c>
      <c r="E1126" s="1" t="s">
        <v>2590</v>
      </c>
      <c r="F1126" t="s">
        <v>24</v>
      </c>
      <c r="G1126" s="2">
        <v>44209.456585648149</v>
      </c>
    </row>
    <row r="1127" spans="1:7" ht="15" customHeight="1" x14ac:dyDescent="0.3">
      <c r="A1127">
        <v>1346424</v>
      </c>
      <c r="B1127" t="s">
        <v>16</v>
      </c>
      <c r="C1127" t="s">
        <v>181</v>
      </c>
      <c r="D1127" t="s">
        <v>2591</v>
      </c>
      <c r="E1127" s="1" t="s">
        <v>2592</v>
      </c>
      <c r="F1127" t="s">
        <v>24</v>
      </c>
      <c r="G1127" s="2">
        <v>44209.438287037039</v>
      </c>
    </row>
    <row r="1128" spans="1:7" ht="15" customHeight="1" x14ac:dyDescent="0.3">
      <c r="A1128">
        <v>1346381</v>
      </c>
      <c r="B1128" t="s">
        <v>53</v>
      </c>
      <c r="C1128" t="s">
        <v>54</v>
      </c>
      <c r="D1128" t="s">
        <v>2593</v>
      </c>
      <c r="E1128" s="1" t="s">
        <v>2594</v>
      </c>
      <c r="F1128" t="s">
        <v>11</v>
      </c>
      <c r="G1128" s="2">
        <v>44209.415300925924</v>
      </c>
    </row>
    <row r="1129" spans="1:7" ht="15" customHeight="1" x14ac:dyDescent="0.3">
      <c r="A1129">
        <v>1346380</v>
      </c>
      <c r="B1129" t="s">
        <v>934</v>
      </c>
      <c r="C1129" t="s">
        <v>2595</v>
      </c>
      <c r="D1129" t="s">
        <v>2596</v>
      </c>
      <c r="E1129" s="1" t="s">
        <v>2597</v>
      </c>
      <c r="F1129" t="s">
        <v>11</v>
      </c>
      <c r="G1129" s="2">
        <v>44209.415034722224</v>
      </c>
    </row>
    <row r="1130" spans="1:7" ht="15" customHeight="1" x14ac:dyDescent="0.3">
      <c r="A1130">
        <v>1346377</v>
      </c>
      <c r="B1130" t="s">
        <v>157</v>
      </c>
      <c r="C1130" t="s">
        <v>627</v>
      </c>
      <c r="D1130" t="s">
        <v>2598</v>
      </c>
      <c r="E1130" s="1" t="s">
        <v>2599</v>
      </c>
      <c r="F1130" t="s">
        <v>24</v>
      </c>
      <c r="G1130" s="2">
        <v>44209.409930555557</v>
      </c>
    </row>
    <row r="1131" spans="1:7" ht="15" customHeight="1" x14ac:dyDescent="0.3">
      <c r="A1131">
        <v>1346374</v>
      </c>
      <c r="B1131" t="s">
        <v>2600</v>
      </c>
      <c r="C1131" t="s">
        <v>2601</v>
      </c>
      <c r="D1131" t="s">
        <v>2602</v>
      </c>
      <c r="E1131" s="1" t="s">
        <v>2603</v>
      </c>
      <c r="F1131" t="s">
        <v>11</v>
      </c>
      <c r="G1131" s="2">
        <v>44209.405173611114</v>
      </c>
    </row>
    <row r="1132" spans="1:7" ht="15" customHeight="1" x14ac:dyDescent="0.3">
      <c r="A1132">
        <v>1346366</v>
      </c>
      <c r="B1132" t="s">
        <v>32</v>
      </c>
      <c r="C1132" t="s">
        <v>33</v>
      </c>
      <c r="D1132" t="s">
        <v>2604</v>
      </c>
      <c r="E1132" s="1" t="s">
        <v>2605</v>
      </c>
      <c r="F1132" t="s">
        <v>11</v>
      </c>
      <c r="G1132" s="2">
        <v>44209.396087962959</v>
      </c>
    </row>
    <row r="1133" spans="1:7" ht="15" customHeight="1" x14ac:dyDescent="0.3">
      <c r="A1133">
        <v>1346359</v>
      </c>
      <c r="B1133" t="s">
        <v>20</v>
      </c>
      <c r="C1133" t="s">
        <v>136</v>
      </c>
      <c r="D1133" t="s">
        <v>2606</v>
      </c>
      <c r="E1133" s="1" t="s">
        <v>2607</v>
      </c>
      <c r="F1133" t="s">
        <v>11</v>
      </c>
      <c r="G1133" s="2">
        <v>44209.363796296297</v>
      </c>
    </row>
    <row r="1134" spans="1:7" ht="15" customHeight="1" x14ac:dyDescent="0.3">
      <c r="A1134">
        <v>1346358</v>
      </c>
      <c r="B1134" t="s">
        <v>301</v>
      </c>
      <c r="D1134" t="s">
        <v>2608</v>
      </c>
      <c r="E1134" s="1" t="s">
        <v>2609</v>
      </c>
      <c r="F1134" t="s">
        <v>11</v>
      </c>
      <c r="G1134" s="2">
        <v>44209.363310185188</v>
      </c>
    </row>
    <row r="1135" spans="1:7" ht="15" customHeight="1" x14ac:dyDescent="0.3">
      <c r="A1135">
        <v>1346338</v>
      </c>
      <c r="B1135" t="s">
        <v>473</v>
      </c>
      <c r="C1135" t="s">
        <v>1381</v>
      </c>
      <c r="D1135" t="s">
        <v>2610</v>
      </c>
      <c r="E1135" s="1" t="s">
        <v>2611</v>
      </c>
      <c r="F1135" t="s">
        <v>11</v>
      </c>
      <c r="G1135" s="2">
        <v>44209.32571759259</v>
      </c>
    </row>
    <row r="1136" spans="1:7" ht="15" customHeight="1" x14ac:dyDescent="0.3">
      <c r="A1136">
        <v>1346244</v>
      </c>
      <c r="B1136" t="s">
        <v>184</v>
      </c>
      <c r="C1136" t="s">
        <v>1069</v>
      </c>
      <c r="D1136" t="s">
        <v>1323</v>
      </c>
      <c r="E1136" t="s">
        <v>1324</v>
      </c>
      <c r="F1136" t="s">
        <v>1158</v>
      </c>
      <c r="G1136" s="2">
        <v>44209.000069444446</v>
      </c>
    </row>
    <row r="1137" spans="1:7" ht="15" customHeight="1" x14ac:dyDescent="0.3">
      <c r="A1137">
        <v>1346243</v>
      </c>
      <c r="B1137" t="s">
        <v>184</v>
      </c>
      <c r="C1137" t="s">
        <v>2612</v>
      </c>
      <c r="D1137" t="s">
        <v>2613</v>
      </c>
      <c r="E1137" s="1" t="s">
        <v>2614</v>
      </c>
      <c r="F1137" t="s">
        <v>1158</v>
      </c>
      <c r="G1137" s="2">
        <v>44209.000057870369</v>
      </c>
    </row>
    <row r="1138" spans="1:7" ht="15" customHeight="1" x14ac:dyDescent="0.3">
      <c r="A1138">
        <v>1346242</v>
      </c>
      <c r="B1138" t="s">
        <v>606</v>
      </c>
      <c r="C1138" t="s">
        <v>2534</v>
      </c>
      <c r="D1138" t="s">
        <v>1156</v>
      </c>
      <c r="E1138" s="1" t="s">
        <v>1157</v>
      </c>
      <c r="F1138" t="s">
        <v>1158</v>
      </c>
      <c r="G1138" s="2">
        <v>44209.0000462963</v>
      </c>
    </row>
    <row r="1139" spans="1:7" ht="15" customHeight="1" x14ac:dyDescent="0.3">
      <c r="A1139">
        <v>1346241</v>
      </c>
      <c r="B1139" t="s">
        <v>1918</v>
      </c>
      <c r="C1139" t="s">
        <v>2615</v>
      </c>
      <c r="D1139" t="s">
        <v>1156</v>
      </c>
      <c r="E1139" s="1" t="s">
        <v>1157</v>
      </c>
      <c r="F1139" t="s">
        <v>1158</v>
      </c>
      <c r="G1139" s="2">
        <v>44209.0000462963</v>
      </c>
    </row>
    <row r="1140" spans="1:7" ht="15" customHeight="1" x14ac:dyDescent="0.3">
      <c r="A1140">
        <v>1346240</v>
      </c>
      <c r="B1140" t="s">
        <v>2537</v>
      </c>
      <c r="C1140" t="s">
        <v>2538</v>
      </c>
      <c r="D1140" t="s">
        <v>1156</v>
      </c>
      <c r="E1140" s="1" t="s">
        <v>1157</v>
      </c>
      <c r="F1140" t="s">
        <v>1158</v>
      </c>
      <c r="G1140" s="2">
        <v>44209.000034722223</v>
      </c>
    </row>
    <row r="1141" spans="1:7" ht="15" customHeight="1" x14ac:dyDescent="0.3">
      <c r="A1141">
        <v>1346239</v>
      </c>
      <c r="B1141" t="s">
        <v>1639</v>
      </c>
      <c r="C1141" t="s">
        <v>2616</v>
      </c>
      <c r="D1141" t="s">
        <v>1429</v>
      </c>
      <c r="E1141" s="1" t="s">
        <v>1160</v>
      </c>
      <c r="F1141" t="s">
        <v>1158</v>
      </c>
      <c r="G1141" s="2">
        <v>44209.000023148146</v>
      </c>
    </row>
    <row r="1142" spans="1:7" ht="15" customHeight="1" x14ac:dyDescent="0.3">
      <c r="A1142">
        <v>1346061</v>
      </c>
      <c r="B1142" t="s">
        <v>545</v>
      </c>
      <c r="C1142" t="s">
        <v>2579</v>
      </c>
      <c r="D1142" t="s">
        <v>2617</v>
      </c>
      <c r="E1142" s="1" t="s">
        <v>2618</v>
      </c>
      <c r="F1142" t="s">
        <v>24</v>
      </c>
      <c r="G1142" s="2">
        <v>44208.796747685185</v>
      </c>
    </row>
    <row r="1143" spans="1:7" ht="15" customHeight="1" x14ac:dyDescent="0.3">
      <c r="A1143">
        <v>1345990</v>
      </c>
      <c r="B1143" t="s">
        <v>36</v>
      </c>
      <c r="C1143" t="s">
        <v>2199</v>
      </c>
      <c r="D1143" t="s">
        <v>2619</v>
      </c>
      <c r="E1143" s="1" t="s">
        <v>2620</v>
      </c>
      <c r="F1143" t="s">
        <v>24</v>
      </c>
      <c r="G1143" s="2">
        <v>44208.670127314814</v>
      </c>
    </row>
    <row r="1144" spans="1:7" ht="15" customHeight="1" x14ac:dyDescent="0.3">
      <c r="A1144">
        <v>1345987</v>
      </c>
      <c r="B1144" t="s">
        <v>2355</v>
      </c>
      <c r="D1144">
        <v>1345871</v>
      </c>
      <c r="E1144" s="1" t="s">
        <v>2621</v>
      </c>
      <c r="F1144" t="s">
        <v>11</v>
      </c>
      <c r="G1144" s="2">
        <v>44208.66814814815</v>
      </c>
    </row>
    <row r="1145" spans="1:7" ht="15" customHeight="1" x14ac:dyDescent="0.3">
      <c r="A1145">
        <v>1345984</v>
      </c>
      <c r="B1145" t="s">
        <v>36</v>
      </c>
      <c r="C1145" t="s">
        <v>2622</v>
      </c>
      <c r="D1145" t="s">
        <v>2623</v>
      </c>
      <c r="E1145" s="1" t="s">
        <v>2624</v>
      </c>
      <c r="F1145" t="s">
        <v>24</v>
      </c>
      <c r="G1145" s="2">
        <v>44208.664143518516</v>
      </c>
    </row>
    <row r="1146" spans="1:7" ht="15" customHeight="1" x14ac:dyDescent="0.3">
      <c r="A1146">
        <v>1345983</v>
      </c>
      <c r="B1146" t="s">
        <v>177</v>
      </c>
      <c r="C1146" t="s">
        <v>643</v>
      </c>
      <c r="D1146" t="s">
        <v>2625</v>
      </c>
      <c r="E1146" s="1" t="s">
        <v>2626</v>
      </c>
      <c r="F1146" t="s">
        <v>24</v>
      </c>
      <c r="G1146" s="2">
        <v>44208.663460648146</v>
      </c>
    </row>
    <row r="1147" spans="1:7" ht="15" customHeight="1" x14ac:dyDescent="0.3">
      <c r="A1147">
        <v>1345982</v>
      </c>
      <c r="B1147" t="s">
        <v>2627</v>
      </c>
      <c r="C1147" t="s">
        <v>2628</v>
      </c>
      <c r="D1147" t="s">
        <v>2629</v>
      </c>
      <c r="E1147" s="1" t="s">
        <v>2630</v>
      </c>
      <c r="F1147" t="s">
        <v>11</v>
      </c>
      <c r="G1147" s="2">
        <v>44208.662361111114</v>
      </c>
    </row>
    <row r="1148" spans="1:7" ht="15" customHeight="1" x14ac:dyDescent="0.3">
      <c r="A1148">
        <v>1345980</v>
      </c>
      <c r="B1148" t="s">
        <v>431</v>
      </c>
      <c r="C1148" t="s">
        <v>432</v>
      </c>
      <c r="D1148" t="s">
        <v>2631</v>
      </c>
      <c r="E1148" s="1" t="s">
        <v>2632</v>
      </c>
      <c r="F1148" t="s">
        <v>11</v>
      </c>
      <c r="G1148" s="2">
        <v>44208.658784722225</v>
      </c>
    </row>
    <row r="1149" spans="1:7" ht="15" customHeight="1" x14ac:dyDescent="0.3">
      <c r="A1149">
        <v>1345977</v>
      </c>
      <c r="B1149" t="s">
        <v>503</v>
      </c>
      <c r="D1149" t="s">
        <v>2633</v>
      </c>
      <c r="E1149" s="1" t="s">
        <v>2634</v>
      </c>
      <c r="F1149" t="s">
        <v>11</v>
      </c>
      <c r="G1149" s="2">
        <v>44208.65425925926</v>
      </c>
    </row>
    <row r="1150" spans="1:7" ht="15" customHeight="1" x14ac:dyDescent="0.3">
      <c r="A1150">
        <v>1345966</v>
      </c>
      <c r="B1150" t="s">
        <v>2635</v>
      </c>
      <c r="C1150" t="s">
        <v>2636</v>
      </c>
      <c r="D1150" t="s">
        <v>2637</v>
      </c>
      <c r="E1150" s="1" t="s">
        <v>2638</v>
      </c>
      <c r="F1150" t="s">
        <v>11</v>
      </c>
      <c r="G1150" s="2">
        <v>44208.635347222225</v>
      </c>
    </row>
    <row r="1151" spans="1:7" ht="15" customHeight="1" x14ac:dyDescent="0.3">
      <c r="A1151">
        <v>1345963</v>
      </c>
      <c r="B1151" t="s">
        <v>20</v>
      </c>
      <c r="C1151" t="s">
        <v>57</v>
      </c>
      <c r="D1151" t="s">
        <v>2639</v>
      </c>
      <c r="E1151" s="1" t="s">
        <v>2640</v>
      </c>
      <c r="F1151" t="s">
        <v>24</v>
      </c>
      <c r="G1151" s="2">
        <v>44208.633287037039</v>
      </c>
    </row>
    <row r="1152" spans="1:7" ht="15" customHeight="1" x14ac:dyDescent="0.3">
      <c r="A1152">
        <v>1345946</v>
      </c>
      <c r="B1152" t="s">
        <v>401</v>
      </c>
      <c r="C1152" t="s">
        <v>836</v>
      </c>
      <c r="D1152" t="s">
        <v>2641</v>
      </c>
      <c r="E1152" s="1" t="s">
        <v>2642</v>
      </c>
      <c r="F1152" t="s">
        <v>11</v>
      </c>
      <c r="G1152" s="2">
        <v>44208.620081018518</v>
      </c>
    </row>
    <row r="1153" spans="1:7" ht="15" customHeight="1" x14ac:dyDescent="0.3">
      <c r="A1153">
        <v>1345940</v>
      </c>
      <c r="B1153" t="s">
        <v>1052</v>
      </c>
      <c r="C1153" t="s">
        <v>1053</v>
      </c>
      <c r="D1153" t="s">
        <v>2643</v>
      </c>
      <c r="E1153" s="1" t="s">
        <v>2644</v>
      </c>
      <c r="F1153" t="s">
        <v>11</v>
      </c>
      <c r="G1153" s="2">
        <v>44208.618530092594</v>
      </c>
    </row>
    <row r="1154" spans="1:7" ht="15" customHeight="1" x14ac:dyDescent="0.3">
      <c r="A1154">
        <v>1345909</v>
      </c>
      <c r="B1154" t="s">
        <v>32</v>
      </c>
      <c r="C1154" t="s">
        <v>940</v>
      </c>
      <c r="D1154" t="s">
        <v>2645</v>
      </c>
      <c r="E1154" s="1" t="s">
        <v>2646</v>
      </c>
      <c r="F1154" t="s">
        <v>11</v>
      </c>
      <c r="G1154" s="2">
        <v>44208.600752314815</v>
      </c>
    </row>
    <row r="1155" spans="1:7" ht="15" customHeight="1" x14ac:dyDescent="0.3">
      <c r="A1155">
        <v>1345876</v>
      </c>
      <c r="B1155" t="s">
        <v>20</v>
      </c>
      <c r="C1155" t="s">
        <v>136</v>
      </c>
      <c r="D1155" t="s">
        <v>2647</v>
      </c>
      <c r="E1155" s="1" t="s">
        <v>2648</v>
      </c>
      <c r="F1155" t="s">
        <v>11</v>
      </c>
      <c r="G1155" s="2">
        <v>44208.555266203701</v>
      </c>
    </row>
    <row r="1156" spans="1:7" ht="15" customHeight="1" x14ac:dyDescent="0.3">
      <c r="A1156">
        <v>1345875</v>
      </c>
      <c r="B1156" t="s">
        <v>74</v>
      </c>
      <c r="C1156" t="s">
        <v>75</v>
      </c>
      <c r="D1156" t="s">
        <v>2649</v>
      </c>
      <c r="E1156" s="1" t="s">
        <v>2650</v>
      </c>
      <c r="F1156" t="s">
        <v>11</v>
      </c>
      <c r="G1156" s="2">
        <v>44208.5544212963</v>
      </c>
    </row>
    <row r="1157" spans="1:7" ht="15" customHeight="1" x14ac:dyDescent="0.3">
      <c r="A1157">
        <v>1345869</v>
      </c>
      <c r="B1157" t="s">
        <v>12</v>
      </c>
      <c r="C1157" t="s">
        <v>2651</v>
      </c>
      <c r="D1157" t="s">
        <v>2652</v>
      </c>
      <c r="E1157" s="1" t="s">
        <v>2653</v>
      </c>
      <c r="F1157" t="s">
        <v>11</v>
      </c>
      <c r="G1157" s="2">
        <v>44208.54414351852</v>
      </c>
    </row>
    <row r="1158" spans="1:7" ht="15" customHeight="1" x14ac:dyDescent="0.3">
      <c r="A1158">
        <v>1345864</v>
      </c>
      <c r="B1158" t="s">
        <v>177</v>
      </c>
      <c r="C1158" t="s">
        <v>178</v>
      </c>
      <c r="D1158" t="s">
        <v>2654</v>
      </c>
      <c r="E1158" s="1" t="s">
        <v>2655</v>
      </c>
      <c r="F1158" t="s">
        <v>11</v>
      </c>
      <c r="G1158" s="2">
        <v>44208.53564814815</v>
      </c>
    </row>
    <row r="1159" spans="1:7" ht="15" customHeight="1" x14ac:dyDescent="0.3">
      <c r="A1159">
        <v>1345857</v>
      </c>
      <c r="B1159" t="s">
        <v>157</v>
      </c>
      <c r="C1159" t="s">
        <v>1178</v>
      </c>
      <c r="D1159" t="s">
        <v>2656</v>
      </c>
      <c r="E1159" s="1" t="s">
        <v>2657</v>
      </c>
      <c r="F1159" t="s">
        <v>11</v>
      </c>
      <c r="G1159" s="2">
        <v>44208.520208333335</v>
      </c>
    </row>
    <row r="1160" spans="1:7" ht="15" customHeight="1" x14ac:dyDescent="0.3">
      <c r="A1160">
        <v>1345841</v>
      </c>
      <c r="B1160" t="s">
        <v>36</v>
      </c>
      <c r="C1160" t="s">
        <v>700</v>
      </c>
      <c r="D1160" t="s">
        <v>2658</v>
      </c>
      <c r="E1160" s="1" t="s">
        <v>2659</v>
      </c>
      <c r="F1160" t="s">
        <v>24</v>
      </c>
      <c r="G1160" s="2">
        <v>44208.473715277774</v>
      </c>
    </row>
    <row r="1161" spans="1:7" ht="15" customHeight="1" x14ac:dyDescent="0.3">
      <c r="A1161">
        <v>1345838</v>
      </c>
      <c r="B1161" t="s">
        <v>331</v>
      </c>
      <c r="C1161" t="s">
        <v>332</v>
      </c>
      <c r="D1161" t="s">
        <v>1411</v>
      </c>
      <c r="E1161" s="1" t="s">
        <v>2660</v>
      </c>
      <c r="F1161" t="s">
        <v>11</v>
      </c>
      <c r="G1161" s="2">
        <v>44208.470949074072</v>
      </c>
    </row>
    <row r="1162" spans="1:7" ht="15" customHeight="1" x14ac:dyDescent="0.3">
      <c r="A1162">
        <v>1345836</v>
      </c>
      <c r="B1162" t="s">
        <v>53</v>
      </c>
      <c r="C1162" t="s">
        <v>54</v>
      </c>
      <c r="D1162" t="s">
        <v>2661</v>
      </c>
      <c r="E1162" s="1" t="s">
        <v>2662</v>
      </c>
      <c r="F1162" t="s">
        <v>11</v>
      </c>
      <c r="G1162" s="2">
        <v>44208.466921296298</v>
      </c>
    </row>
    <row r="1163" spans="1:7" ht="15" customHeight="1" x14ac:dyDescent="0.3">
      <c r="A1163">
        <v>1345834</v>
      </c>
      <c r="B1163" t="s">
        <v>53</v>
      </c>
      <c r="C1163" t="s">
        <v>54</v>
      </c>
      <c r="D1163" t="s">
        <v>2663</v>
      </c>
      <c r="E1163" s="1" t="s">
        <v>2664</v>
      </c>
      <c r="F1163" t="s">
        <v>11</v>
      </c>
      <c r="G1163" s="2">
        <v>44208.465138888889</v>
      </c>
    </row>
    <row r="1164" spans="1:7" ht="15" customHeight="1" x14ac:dyDescent="0.3">
      <c r="A1164">
        <v>1345827</v>
      </c>
      <c r="B1164" t="s">
        <v>36</v>
      </c>
      <c r="C1164" t="s">
        <v>578</v>
      </c>
      <c r="D1164" t="s">
        <v>2665</v>
      </c>
      <c r="E1164" s="1" t="s">
        <v>2666</v>
      </c>
      <c r="F1164" t="s">
        <v>24</v>
      </c>
      <c r="G1164" s="2">
        <v>44208.449074074073</v>
      </c>
    </row>
    <row r="1165" spans="1:7" ht="15" customHeight="1" x14ac:dyDescent="0.3">
      <c r="A1165">
        <v>1345820</v>
      </c>
      <c r="B1165" t="s">
        <v>16</v>
      </c>
      <c r="C1165" t="s">
        <v>649</v>
      </c>
      <c r="D1165" t="s">
        <v>2667</v>
      </c>
      <c r="E1165" s="1" t="s">
        <v>2668</v>
      </c>
      <c r="F1165" t="s">
        <v>11</v>
      </c>
      <c r="G1165" s="2">
        <v>44208.431296296294</v>
      </c>
    </row>
    <row r="1166" spans="1:7" ht="15" customHeight="1" x14ac:dyDescent="0.3">
      <c r="A1166">
        <v>1345819</v>
      </c>
      <c r="B1166" t="s">
        <v>2669</v>
      </c>
      <c r="C1166" t="s">
        <v>2670</v>
      </c>
      <c r="D1166" t="s">
        <v>2671</v>
      </c>
      <c r="E1166" s="1" t="s">
        <v>2672</v>
      </c>
      <c r="F1166" t="s">
        <v>24</v>
      </c>
      <c r="G1166" s="2">
        <v>44208.429629629631</v>
      </c>
    </row>
    <row r="1167" spans="1:7" ht="15" customHeight="1" x14ac:dyDescent="0.3">
      <c r="A1167">
        <v>1345818</v>
      </c>
      <c r="B1167" t="s">
        <v>177</v>
      </c>
      <c r="C1167" t="s">
        <v>178</v>
      </c>
      <c r="D1167" t="s">
        <v>2673</v>
      </c>
      <c r="E1167" s="1" t="s">
        <v>2674</v>
      </c>
      <c r="F1167" t="s">
        <v>11</v>
      </c>
      <c r="G1167" s="2">
        <v>44208.429282407407</v>
      </c>
    </row>
    <row r="1168" spans="1:7" ht="15" customHeight="1" x14ac:dyDescent="0.3">
      <c r="A1168">
        <v>1345774</v>
      </c>
      <c r="B1168" t="s">
        <v>431</v>
      </c>
      <c r="C1168" t="s">
        <v>432</v>
      </c>
      <c r="D1168" t="s">
        <v>2675</v>
      </c>
      <c r="E1168" s="1" t="s">
        <v>2676</v>
      </c>
      <c r="F1168" t="s">
        <v>11</v>
      </c>
      <c r="G1168" s="2">
        <v>44208.405312499999</v>
      </c>
    </row>
    <row r="1169" spans="1:7" ht="15" customHeight="1" x14ac:dyDescent="0.3">
      <c r="A1169">
        <v>1345772</v>
      </c>
      <c r="B1169" t="s">
        <v>53</v>
      </c>
      <c r="C1169" t="s">
        <v>2677</v>
      </c>
      <c r="D1169" t="s">
        <v>2678</v>
      </c>
      <c r="E1169" s="1" t="s">
        <v>2679</v>
      </c>
      <c r="F1169" t="s">
        <v>24</v>
      </c>
      <c r="G1169" s="2">
        <v>44208.404293981483</v>
      </c>
    </row>
    <row r="1170" spans="1:7" ht="15" customHeight="1" x14ac:dyDescent="0.3">
      <c r="A1170">
        <v>1345767</v>
      </c>
      <c r="B1170" t="s">
        <v>87</v>
      </c>
      <c r="C1170" t="s">
        <v>997</v>
      </c>
      <c r="D1170" t="s">
        <v>2680</v>
      </c>
      <c r="E1170" s="1" t="s">
        <v>2681</v>
      </c>
      <c r="F1170" t="s">
        <v>11</v>
      </c>
      <c r="G1170" s="2">
        <v>44208.397256944445</v>
      </c>
    </row>
    <row r="1171" spans="1:7" ht="15" customHeight="1" x14ac:dyDescent="0.3">
      <c r="A1171">
        <v>1345750</v>
      </c>
      <c r="B1171" t="s">
        <v>2682</v>
      </c>
      <c r="C1171" t="s">
        <v>2683</v>
      </c>
      <c r="D1171" t="s">
        <v>2684</v>
      </c>
      <c r="E1171" s="1" t="s">
        <v>2685</v>
      </c>
      <c r="F1171" t="s">
        <v>11</v>
      </c>
      <c r="G1171" s="2">
        <v>44208.372615740744</v>
      </c>
    </row>
    <row r="1172" spans="1:7" ht="15" customHeight="1" x14ac:dyDescent="0.3">
      <c r="A1172">
        <v>1345743</v>
      </c>
      <c r="B1172" t="s">
        <v>606</v>
      </c>
      <c r="C1172" t="s">
        <v>2534</v>
      </c>
      <c r="D1172" t="s">
        <v>2535</v>
      </c>
      <c r="E1172" s="1" t="s">
        <v>2686</v>
      </c>
      <c r="F1172" t="s">
        <v>11</v>
      </c>
      <c r="G1172" s="2">
        <v>44208.353275462963</v>
      </c>
    </row>
    <row r="1173" spans="1:7" ht="15" customHeight="1" x14ac:dyDescent="0.3">
      <c r="A1173">
        <v>1345734</v>
      </c>
      <c r="B1173" t="s">
        <v>95</v>
      </c>
      <c r="C1173" t="s">
        <v>668</v>
      </c>
      <c r="D1173" t="s">
        <v>2687</v>
      </c>
      <c r="E1173" s="1" t="s">
        <v>2688</v>
      </c>
      <c r="F1173" t="s">
        <v>11</v>
      </c>
      <c r="G1173" s="2">
        <v>44208.338159722225</v>
      </c>
    </row>
    <row r="1174" spans="1:7" ht="15" customHeight="1" x14ac:dyDescent="0.3">
      <c r="A1174">
        <v>1345730</v>
      </c>
      <c r="B1174" t="s">
        <v>7</v>
      </c>
      <c r="C1174" t="s">
        <v>158</v>
      </c>
      <c r="D1174" t="s">
        <v>737</v>
      </c>
      <c r="E1174" s="1" t="s">
        <v>2689</v>
      </c>
      <c r="F1174" t="s">
        <v>11</v>
      </c>
      <c r="G1174" s="2">
        <v>44208.335162037038</v>
      </c>
    </row>
    <row r="1175" spans="1:7" ht="15" customHeight="1" x14ac:dyDescent="0.3">
      <c r="A1175">
        <v>1345651</v>
      </c>
      <c r="B1175" t="s">
        <v>431</v>
      </c>
      <c r="C1175" t="s">
        <v>432</v>
      </c>
      <c r="D1175" t="s">
        <v>1323</v>
      </c>
      <c r="E1175" t="s">
        <v>1324</v>
      </c>
      <c r="F1175" t="s">
        <v>1158</v>
      </c>
      <c r="G1175" s="2">
        <v>44208.0000462963</v>
      </c>
    </row>
    <row r="1176" spans="1:7" ht="15" customHeight="1" x14ac:dyDescent="0.3">
      <c r="A1176">
        <v>1345650</v>
      </c>
      <c r="B1176" t="s">
        <v>53</v>
      </c>
      <c r="C1176" t="s">
        <v>158</v>
      </c>
      <c r="D1176" t="s">
        <v>1429</v>
      </c>
      <c r="E1176" s="1" t="s">
        <v>1160</v>
      </c>
      <c r="F1176" t="s">
        <v>1158</v>
      </c>
      <c r="G1176" s="2">
        <v>44208.000023148146</v>
      </c>
    </row>
    <row r="1177" spans="1:7" ht="15" customHeight="1" x14ac:dyDescent="0.3">
      <c r="A1177">
        <v>1345444</v>
      </c>
      <c r="B1177" t="s">
        <v>53</v>
      </c>
      <c r="C1177" t="s">
        <v>54</v>
      </c>
      <c r="D1177" t="s">
        <v>2690</v>
      </c>
      <c r="E1177" s="1" t="s">
        <v>2691</v>
      </c>
      <c r="F1177" t="s">
        <v>11</v>
      </c>
      <c r="G1177" s="2">
        <v>44207.757268518515</v>
      </c>
    </row>
    <row r="1178" spans="1:7" ht="15" customHeight="1" x14ac:dyDescent="0.3">
      <c r="A1178">
        <v>1345410</v>
      </c>
      <c r="B1178" t="s">
        <v>473</v>
      </c>
      <c r="C1178" t="s">
        <v>2692</v>
      </c>
      <c r="D1178" t="s">
        <v>2693</v>
      </c>
      <c r="E1178" s="1" t="s">
        <v>2694</v>
      </c>
      <c r="F1178" t="s">
        <v>11</v>
      </c>
      <c r="G1178" s="2">
        <v>44207.72115740741</v>
      </c>
    </row>
    <row r="1179" spans="1:7" ht="15" customHeight="1" x14ac:dyDescent="0.3">
      <c r="A1179">
        <v>1345395</v>
      </c>
      <c r="B1179" t="s">
        <v>1684</v>
      </c>
      <c r="C1179" t="s">
        <v>2695</v>
      </c>
      <c r="D1179" t="s">
        <v>2696</v>
      </c>
      <c r="E1179" s="1" t="s">
        <v>2697</v>
      </c>
      <c r="F1179" t="s">
        <v>11</v>
      </c>
      <c r="G1179" s="2">
        <v>44207.696666666663</v>
      </c>
    </row>
    <row r="1180" spans="1:7" ht="15" customHeight="1" x14ac:dyDescent="0.3">
      <c r="A1180">
        <v>1345392</v>
      </c>
      <c r="B1180" t="s">
        <v>350</v>
      </c>
      <c r="C1180" t="s">
        <v>351</v>
      </c>
      <c r="D1180" t="s">
        <v>2698</v>
      </c>
      <c r="E1180" s="1" t="s">
        <v>2699</v>
      </c>
      <c r="F1180" t="s">
        <v>24</v>
      </c>
      <c r="G1180" s="2">
        <v>44207.687974537039</v>
      </c>
    </row>
    <row r="1181" spans="1:7" ht="15" customHeight="1" x14ac:dyDescent="0.3">
      <c r="A1181">
        <v>1345385</v>
      </c>
      <c r="B1181" t="s">
        <v>12</v>
      </c>
      <c r="C1181" t="s">
        <v>338</v>
      </c>
      <c r="D1181" t="s">
        <v>2700</v>
      </c>
      <c r="E1181" s="1" t="s">
        <v>2701</v>
      </c>
      <c r="F1181" t="s">
        <v>11</v>
      </c>
      <c r="G1181" s="2">
        <v>44207.673252314817</v>
      </c>
    </row>
    <row r="1182" spans="1:7" ht="15" customHeight="1" x14ac:dyDescent="0.3">
      <c r="A1182">
        <v>1345381</v>
      </c>
      <c r="B1182" t="s">
        <v>20</v>
      </c>
      <c r="C1182" t="s">
        <v>1342</v>
      </c>
      <c r="D1182" t="s">
        <v>2702</v>
      </c>
      <c r="E1182" s="1" t="s">
        <v>2703</v>
      </c>
      <c r="F1182" t="s">
        <v>24</v>
      </c>
      <c r="G1182" s="2">
        <v>44207.66909722222</v>
      </c>
    </row>
    <row r="1183" spans="1:7" ht="15" customHeight="1" x14ac:dyDescent="0.3">
      <c r="A1183">
        <v>1345368</v>
      </c>
      <c r="B1183" t="s">
        <v>70</v>
      </c>
      <c r="C1183" t="s">
        <v>2704</v>
      </c>
      <c r="D1183" t="s">
        <v>2705</v>
      </c>
      <c r="E1183" s="1" t="s">
        <v>2706</v>
      </c>
      <c r="F1183" t="s">
        <v>11</v>
      </c>
      <c r="G1183" s="2">
        <v>44207.633773148147</v>
      </c>
    </row>
    <row r="1184" spans="1:7" ht="15" customHeight="1" x14ac:dyDescent="0.3">
      <c r="A1184">
        <v>1345367</v>
      </c>
      <c r="B1184" t="s">
        <v>45</v>
      </c>
      <c r="C1184" t="s">
        <v>2707</v>
      </c>
      <c r="D1184" t="s">
        <v>2708</v>
      </c>
      <c r="E1184" s="1" t="s">
        <v>2709</v>
      </c>
      <c r="F1184" t="s">
        <v>24</v>
      </c>
      <c r="G1184" s="2">
        <v>44207.633229166669</v>
      </c>
    </row>
    <row r="1185" spans="1:7" ht="15" customHeight="1" x14ac:dyDescent="0.3">
      <c r="A1185">
        <v>1345354</v>
      </c>
      <c r="B1185" t="s">
        <v>401</v>
      </c>
      <c r="C1185" t="s">
        <v>836</v>
      </c>
      <c r="D1185" t="s">
        <v>2710</v>
      </c>
      <c r="E1185" s="1" t="s">
        <v>2711</v>
      </c>
      <c r="F1185" t="s">
        <v>11</v>
      </c>
      <c r="G1185" s="2">
        <v>44207.621689814812</v>
      </c>
    </row>
    <row r="1186" spans="1:7" ht="15" customHeight="1" x14ac:dyDescent="0.3">
      <c r="A1186">
        <v>1345351</v>
      </c>
      <c r="B1186" t="s">
        <v>16</v>
      </c>
      <c r="C1186" t="s">
        <v>2712</v>
      </c>
      <c r="D1186" t="s">
        <v>2713</v>
      </c>
      <c r="E1186" s="1" t="s">
        <v>2714</v>
      </c>
      <c r="F1186" t="s">
        <v>11</v>
      </c>
      <c r="G1186" s="2">
        <v>44207.612523148149</v>
      </c>
    </row>
    <row r="1187" spans="1:7" ht="15" customHeight="1" x14ac:dyDescent="0.3">
      <c r="A1187">
        <v>1345350</v>
      </c>
      <c r="B1187" t="s">
        <v>53</v>
      </c>
      <c r="C1187" t="s">
        <v>54</v>
      </c>
      <c r="D1187" t="s">
        <v>2715</v>
      </c>
      <c r="E1187" s="1" t="s">
        <v>2716</v>
      </c>
      <c r="F1187" t="s">
        <v>11</v>
      </c>
      <c r="G1187" s="2">
        <v>44207.608634259261</v>
      </c>
    </row>
    <row r="1188" spans="1:7" ht="15" customHeight="1" x14ac:dyDescent="0.3">
      <c r="A1188">
        <v>1345327</v>
      </c>
      <c r="B1188" t="s">
        <v>74</v>
      </c>
      <c r="C1188" t="s">
        <v>1374</v>
      </c>
      <c r="D1188" t="s">
        <v>2717</v>
      </c>
      <c r="E1188" s="1" t="s">
        <v>2718</v>
      </c>
      <c r="F1188" t="s">
        <v>11</v>
      </c>
      <c r="G1188" s="2">
        <v>44207.579513888886</v>
      </c>
    </row>
    <row r="1189" spans="1:7" ht="15" customHeight="1" x14ac:dyDescent="0.3">
      <c r="A1189">
        <v>1345318</v>
      </c>
      <c r="B1189" t="s">
        <v>222</v>
      </c>
      <c r="C1189" t="s">
        <v>681</v>
      </c>
      <c r="D1189" t="s">
        <v>2719</v>
      </c>
      <c r="E1189" s="1" t="s">
        <v>2720</v>
      </c>
      <c r="F1189" t="s">
        <v>24</v>
      </c>
      <c r="G1189" s="2">
        <v>44207.561307870368</v>
      </c>
    </row>
    <row r="1190" spans="1:7" ht="15" customHeight="1" x14ac:dyDescent="0.3">
      <c r="A1190">
        <v>1345317</v>
      </c>
      <c r="B1190" t="s">
        <v>503</v>
      </c>
      <c r="D1190" t="s">
        <v>2721</v>
      </c>
      <c r="E1190" s="1" t="s">
        <v>2722</v>
      </c>
      <c r="F1190" t="s">
        <v>11</v>
      </c>
      <c r="G1190" s="2">
        <v>44207.561157407406</v>
      </c>
    </row>
    <row r="1191" spans="1:7" ht="15" customHeight="1" x14ac:dyDescent="0.3">
      <c r="A1191">
        <v>1345316</v>
      </c>
      <c r="B1191" t="s">
        <v>2635</v>
      </c>
      <c r="C1191" t="s">
        <v>2636</v>
      </c>
      <c r="D1191" t="s">
        <v>2723</v>
      </c>
      <c r="E1191" s="1" t="s">
        <v>2724</v>
      </c>
      <c r="F1191" t="s">
        <v>11</v>
      </c>
      <c r="G1191" s="2">
        <v>44207.560798611114</v>
      </c>
    </row>
    <row r="1192" spans="1:7" ht="15" customHeight="1" x14ac:dyDescent="0.3">
      <c r="A1192">
        <v>1345308</v>
      </c>
      <c r="B1192" t="s">
        <v>12</v>
      </c>
      <c r="C1192" t="s">
        <v>1864</v>
      </c>
      <c r="D1192" t="s">
        <v>2725</v>
      </c>
      <c r="E1192" s="1" t="s">
        <v>2726</v>
      </c>
      <c r="F1192" t="s">
        <v>11</v>
      </c>
      <c r="G1192" s="2">
        <v>44207.545300925929</v>
      </c>
    </row>
    <row r="1193" spans="1:7" ht="15" customHeight="1" x14ac:dyDescent="0.3">
      <c r="A1193">
        <v>1345305</v>
      </c>
      <c r="B1193" t="s">
        <v>12</v>
      </c>
      <c r="C1193" t="s">
        <v>2727</v>
      </c>
      <c r="D1193" t="s">
        <v>2728</v>
      </c>
      <c r="E1193" s="1" t="s">
        <v>2729</v>
      </c>
      <c r="F1193" t="s">
        <v>11</v>
      </c>
      <c r="G1193" s="2">
        <v>44207.536076388889</v>
      </c>
    </row>
    <row r="1194" spans="1:7" ht="15" customHeight="1" x14ac:dyDescent="0.3">
      <c r="A1194">
        <v>1345295</v>
      </c>
      <c r="B1194" t="s">
        <v>7</v>
      </c>
      <c r="C1194" t="s">
        <v>789</v>
      </c>
      <c r="D1194" t="s">
        <v>2730</v>
      </c>
      <c r="E1194" s="1" t="s">
        <v>2731</v>
      </c>
      <c r="F1194" t="s">
        <v>24</v>
      </c>
      <c r="G1194" s="2">
        <v>44207.508402777778</v>
      </c>
    </row>
    <row r="1195" spans="1:7" ht="15" customHeight="1" x14ac:dyDescent="0.3">
      <c r="A1195">
        <v>1345293</v>
      </c>
      <c r="B1195" t="s">
        <v>2732</v>
      </c>
      <c r="C1195" t="s">
        <v>2733</v>
      </c>
      <c r="D1195" t="s">
        <v>2734</v>
      </c>
      <c r="E1195" s="1" t="s">
        <v>2735</v>
      </c>
      <c r="F1195" t="s">
        <v>24</v>
      </c>
      <c r="G1195" s="2">
        <v>44207.507638888892</v>
      </c>
    </row>
    <row r="1196" spans="1:7" ht="15" customHeight="1" x14ac:dyDescent="0.3">
      <c r="A1196">
        <v>1345286</v>
      </c>
      <c r="B1196" t="s">
        <v>435</v>
      </c>
      <c r="C1196" t="s">
        <v>436</v>
      </c>
      <c r="D1196" t="s">
        <v>2736</v>
      </c>
      <c r="E1196" s="1" t="s">
        <v>2737</v>
      </c>
      <c r="F1196" t="s">
        <v>11</v>
      </c>
      <c r="G1196" s="2">
        <v>44207.494745370372</v>
      </c>
    </row>
    <row r="1197" spans="1:7" ht="15" customHeight="1" x14ac:dyDescent="0.3">
      <c r="A1197">
        <v>1345284</v>
      </c>
      <c r="B1197" t="s">
        <v>12</v>
      </c>
      <c r="C1197" t="s">
        <v>1774</v>
      </c>
      <c r="D1197" t="s">
        <v>2738</v>
      </c>
      <c r="E1197" s="1" t="s">
        <v>2739</v>
      </c>
      <c r="F1197" t="s">
        <v>24</v>
      </c>
      <c r="G1197" s="2">
        <v>44207.481747685182</v>
      </c>
    </row>
    <row r="1198" spans="1:7" ht="15" customHeight="1" x14ac:dyDescent="0.3">
      <c r="A1198">
        <v>1345280</v>
      </c>
      <c r="B1198" t="s">
        <v>2740</v>
      </c>
      <c r="C1198" t="s">
        <v>2741</v>
      </c>
      <c r="D1198" t="s">
        <v>2742</v>
      </c>
      <c r="E1198" s="1" t="s">
        <v>2743</v>
      </c>
      <c r="F1198" t="s">
        <v>24</v>
      </c>
      <c r="G1198" s="2">
        <v>44207.478541666664</v>
      </c>
    </row>
    <row r="1199" spans="1:7" ht="15" customHeight="1" x14ac:dyDescent="0.3">
      <c r="A1199">
        <v>1345274</v>
      </c>
      <c r="B1199" t="s">
        <v>2744</v>
      </c>
      <c r="C1199" t="s">
        <v>2745</v>
      </c>
      <c r="D1199" t="s">
        <v>2746</v>
      </c>
      <c r="E1199" s="1" t="s">
        <v>2747</v>
      </c>
      <c r="F1199" t="s">
        <v>24</v>
      </c>
      <c r="G1199" s="2">
        <v>44207.469780092593</v>
      </c>
    </row>
    <row r="1200" spans="1:7" ht="15" customHeight="1" x14ac:dyDescent="0.3">
      <c r="A1200">
        <v>1345265</v>
      </c>
      <c r="B1200" t="s">
        <v>7</v>
      </c>
      <c r="C1200" t="s">
        <v>158</v>
      </c>
      <c r="D1200" t="s">
        <v>737</v>
      </c>
      <c r="E1200" s="1" t="s">
        <v>2748</v>
      </c>
      <c r="F1200" t="s">
        <v>11</v>
      </c>
      <c r="G1200" s="2">
        <v>44207.454432870371</v>
      </c>
    </row>
    <row r="1201" spans="1:7" ht="15" customHeight="1" x14ac:dyDescent="0.3">
      <c r="A1201">
        <v>1345256</v>
      </c>
      <c r="B1201" t="s">
        <v>16</v>
      </c>
      <c r="C1201" t="s">
        <v>2749</v>
      </c>
      <c r="D1201" t="s">
        <v>2750</v>
      </c>
      <c r="E1201" s="1" t="s">
        <v>2751</v>
      </c>
      <c r="F1201" t="s">
        <v>11</v>
      </c>
      <c r="G1201" s="2">
        <v>44207.437326388892</v>
      </c>
    </row>
    <row r="1202" spans="1:7" ht="15" customHeight="1" x14ac:dyDescent="0.3">
      <c r="A1202">
        <v>1345242</v>
      </c>
      <c r="B1202" t="s">
        <v>7</v>
      </c>
      <c r="C1202" t="s">
        <v>158</v>
      </c>
      <c r="D1202" t="s">
        <v>737</v>
      </c>
      <c r="E1202" s="1" t="s">
        <v>2752</v>
      </c>
      <c r="F1202" t="s">
        <v>11</v>
      </c>
      <c r="G1202" s="2">
        <v>44207.423206018517</v>
      </c>
    </row>
    <row r="1203" spans="1:7" ht="15" customHeight="1" x14ac:dyDescent="0.3">
      <c r="A1203">
        <v>1345241</v>
      </c>
      <c r="B1203" t="s">
        <v>36</v>
      </c>
      <c r="C1203" t="s">
        <v>343</v>
      </c>
      <c r="D1203" t="s">
        <v>2753</v>
      </c>
      <c r="E1203" s="1" t="s">
        <v>2754</v>
      </c>
      <c r="F1203" t="s">
        <v>24</v>
      </c>
      <c r="G1203" s="2">
        <v>44207.423078703701</v>
      </c>
    </row>
    <row r="1204" spans="1:7" ht="15" customHeight="1" x14ac:dyDescent="0.3">
      <c r="A1204">
        <v>1345239</v>
      </c>
      <c r="B1204" t="s">
        <v>1052</v>
      </c>
      <c r="C1204" t="s">
        <v>2755</v>
      </c>
      <c r="D1204" t="s">
        <v>2756</v>
      </c>
      <c r="E1204" s="1" t="s">
        <v>2757</v>
      </c>
      <c r="F1204" t="s">
        <v>24</v>
      </c>
      <c r="G1204" s="2">
        <v>44207.420393518521</v>
      </c>
    </row>
    <row r="1205" spans="1:7" ht="15" customHeight="1" x14ac:dyDescent="0.3">
      <c r="A1205">
        <v>1345208</v>
      </c>
      <c r="B1205" t="s">
        <v>16</v>
      </c>
      <c r="C1205" t="s">
        <v>2758</v>
      </c>
      <c r="D1205" t="s">
        <v>2759</v>
      </c>
      <c r="E1205" s="1" t="s">
        <v>2760</v>
      </c>
      <c r="F1205" t="s">
        <v>11</v>
      </c>
      <c r="G1205" s="2">
        <v>44207.411446759259</v>
      </c>
    </row>
    <row r="1206" spans="1:7" ht="15" customHeight="1" x14ac:dyDescent="0.3">
      <c r="A1206">
        <v>1345207</v>
      </c>
      <c r="B1206" t="s">
        <v>852</v>
      </c>
      <c r="C1206" t="s">
        <v>853</v>
      </c>
      <c r="D1206" t="s">
        <v>2761</v>
      </c>
      <c r="E1206" s="1" t="s">
        <v>2762</v>
      </c>
      <c r="F1206" t="s">
        <v>11</v>
      </c>
      <c r="G1206" s="2">
        <v>44207.411319444444</v>
      </c>
    </row>
    <row r="1207" spans="1:7" ht="15" customHeight="1" x14ac:dyDescent="0.3">
      <c r="A1207">
        <v>1345203</v>
      </c>
      <c r="B1207" t="s">
        <v>16</v>
      </c>
      <c r="C1207" t="s">
        <v>2758</v>
      </c>
      <c r="D1207" t="s">
        <v>2763</v>
      </c>
      <c r="E1207" s="1" t="s">
        <v>2760</v>
      </c>
      <c r="F1207" t="s">
        <v>11</v>
      </c>
      <c r="G1207" s="2">
        <v>44207.405023148145</v>
      </c>
    </row>
    <row r="1208" spans="1:7" ht="15" customHeight="1" x14ac:dyDescent="0.3">
      <c r="A1208">
        <v>1345195</v>
      </c>
      <c r="B1208" t="s">
        <v>540</v>
      </c>
      <c r="C1208" t="s">
        <v>2764</v>
      </c>
      <c r="D1208" t="s">
        <v>2765</v>
      </c>
      <c r="E1208" s="1" t="s">
        <v>2766</v>
      </c>
      <c r="F1208" t="s">
        <v>24</v>
      </c>
      <c r="G1208" s="2">
        <v>44207.397268518522</v>
      </c>
    </row>
    <row r="1209" spans="1:7" ht="15" customHeight="1" x14ac:dyDescent="0.3">
      <c r="A1209">
        <v>1345191</v>
      </c>
      <c r="B1209" t="s">
        <v>191</v>
      </c>
      <c r="C1209" t="s">
        <v>192</v>
      </c>
      <c r="D1209" t="s">
        <v>2767</v>
      </c>
      <c r="E1209" s="1" t="s">
        <v>2768</v>
      </c>
      <c r="F1209" t="s">
        <v>11</v>
      </c>
      <c r="G1209" s="2">
        <v>44207.388287037036</v>
      </c>
    </row>
    <row r="1210" spans="1:7" ht="15" customHeight="1" x14ac:dyDescent="0.3">
      <c r="A1210">
        <v>1345175</v>
      </c>
      <c r="B1210" t="s">
        <v>473</v>
      </c>
      <c r="C1210" t="s">
        <v>1381</v>
      </c>
      <c r="D1210" t="s">
        <v>2769</v>
      </c>
      <c r="E1210" s="1" t="s">
        <v>2770</v>
      </c>
      <c r="F1210" t="s">
        <v>11</v>
      </c>
      <c r="G1210" s="2">
        <v>44207.364664351851</v>
      </c>
    </row>
    <row r="1211" spans="1:7" ht="15" customHeight="1" x14ac:dyDescent="0.3">
      <c r="A1211">
        <v>1345173</v>
      </c>
      <c r="B1211" t="s">
        <v>32</v>
      </c>
      <c r="C1211" t="s">
        <v>2771</v>
      </c>
      <c r="D1211" t="s">
        <v>2772</v>
      </c>
      <c r="E1211" s="1" t="s">
        <v>2773</v>
      </c>
      <c r="F1211" t="s">
        <v>11</v>
      </c>
      <c r="G1211" s="2">
        <v>44207.357569444444</v>
      </c>
    </row>
    <row r="1212" spans="1:7" ht="15" customHeight="1" x14ac:dyDescent="0.3">
      <c r="A1212">
        <v>1345130</v>
      </c>
      <c r="B1212" t="s">
        <v>1052</v>
      </c>
      <c r="C1212" t="s">
        <v>1243</v>
      </c>
      <c r="D1212" t="s">
        <v>2774</v>
      </c>
      <c r="E1212" s="1" t="s">
        <v>2775</v>
      </c>
      <c r="F1212" t="s">
        <v>11</v>
      </c>
      <c r="G1212" s="2">
        <v>44207.327453703707</v>
      </c>
    </row>
    <row r="1213" spans="1:7" ht="15" customHeight="1" x14ac:dyDescent="0.3">
      <c r="A1213">
        <v>1345124</v>
      </c>
      <c r="B1213" t="s">
        <v>281</v>
      </c>
      <c r="C1213" t="s">
        <v>282</v>
      </c>
      <c r="D1213" t="s">
        <v>2776</v>
      </c>
      <c r="E1213" s="1" t="s">
        <v>2777</v>
      </c>
      <c r="F1213" t="s">
        <v>11</v>
      </c>
      <c r="G1213" s="2">
        <v>44207.319050925929</v>
      </c>
    </row>
    <row r="1214" spans="1:7" ht="15" customHeight="1" x14ac:dyDescent="0.3">
      <c r="A1214">
        <v>1345076</v>
      </c>
      <c r="B1214" t="s">
        <v>7</v>
      </c>
      <c r="C1214" t="s">
        <v>158</v>
      </c>
      <c r="D1214" t="s">
        <v>737</v>
      </c>
      <c r="E1214" s="1" t="s">
        <v>2778</v>
      </c>
      <c r="F1214" t="s">
        <v>11</v>
      </c>
      <c r="G1214" s="2">
        <v>44207.153703703705</v>
      </c>
    </row>
    <row r="1215" spans="1:7" ht="15" customHeight="1" x14ac:dyDescent="0.3">
      <c r="A1215">
        <v>1345049</v>
      </c>
      <c r="B1215" t="s">
        <v>95</v>
      </c>
      <c r="C1215" t="s">
        <v>601</v>
      </c>
      <c r="D1215" t="s">
        <v>602</v>
      </c>
      <c r="E1215" t="s">
        <v>603</v>
      </c>
      <c r="F1215" t="s">
        <v>188</v>
      </c>
      <c r="G1215" s="2">
        <v>44207.042094907411</v>
      </c>
    </row>
    <row r="1216" spans="1:7" ht="15" customHeight="1" x14ac:dyDescent="0.3">
      <c r="A1216">
        <v>1344984</v>
      </c>
      <c r="B1216" t="s">
        <v>12</v>
      </c>
      <c r="C1216" t="s">
        <v>1774</v>
      </c>
      <c r="D1216" t="s">
        <v>1323</v>
      </c>
      <c r="E1216" t="s">
        <v>1324</v>
      </c>
      <c r="F1216" t="s">
        <v>1158</v>
      </c>
      <c r="G1216" s="2">
        <v>44207.000057870369</v>
      </c>
    </row>
    <row r="1217" spans="1:7" ht="15" customHeight="1" x14ac:dyDescent="0.3">
      <c r="A1217">
        <v>1344983</v>
      </c>
      <c r="B1217" t="s">
        <v>746</v>
      </c>
      <c r="C1217" t="s">
        <v>1203</v>
      </c>
      <c r="D1217" t="s">
        <v>2779</v>
      </c>
      <c r="E1217" s="1" t="s">
        <v>2614</v>
      </c>
      <c r="F1217" t="s">
        <v>1158</v>
      </c>
      <c r="G1217" s="2">
        <v>44207.0000462963</v>
      </c>
    </row>
    <row r="1218" spans="1:7" ht="15" customHeight="1" x14ac:dyDescent="0.3">
      <c r="A1218">
        <v>1344982</v>
      </c>
      <c r="B1218" t="s">
        <v>184</v>
      </c>
      <c r="C1218" t="s">
        <v>1069</v>
      </c>
      <c r="D1218" t="s">
        <v>2613</v>
      </c>
      <c r="E1218" s="1" t="s">
        <v>2614</v>
      </c>
      <c r="F1218" t="s">
        <v>1158</v>
      </c>
      <c r="G1218" s="2">
        <v>44207.0000462963</v>
      </c>
    </row>
    <row r="1219" spans="1:7" ht="15" customHeight="1" x14ac:dyDescent="0.3">
      <c r="A1219">
        <v>1344981</v>
      </c>
      <c r="B1219" t="s">
        <v>2780</v>
      </c>
      <c r="C1219" t="s">
        <v>2781</v>
      </c>
      <c r="D1219" t="s">
        <v>1156</v>
      </c>
      <c r="E1219" s="1" t="s">
        <v>1157</v>
      </c>
      <c r="F1219" t="s">
        <v>1158</v>
      </c>
      <c r="G1219" s="2">
        <v>44207.000034722223</v>
      </c>
    </row>
    <row r="1220" spans="1:7" ht="15" customHeight="1" x14ac:dyDescent="0.3">
      <c r="A1220">
        <v>1344772</v>
      </c>
      <c r="B1220" t="s">
        <v>606</v>
      </c>
      <c r="C1220" t="s">
        <v>158</v>
      </c>
      <c r="D1220" t="s">
        <v>2782</v>
      </c>
      <c r="E1220" s="1" t="s">
        <v>2783</v>
      </c>
      <c r="F1220" t="s">
        <v>11</v>
      </c>
      <c r="G1220" s="2">
        <v>44206.602766203701</v>
      </c>
    </row>
    <row r="1221" spans="1:7" ht="15" customHeight="1" x14ac:dyDescent="0.3">
      <c r="A1221">
        <v>1344763</v>
      </c>
      <c r="B1221" t="s">
        <v>503</v>
      </c>
      <c r="D1221" t="s">
        <v>2776</v>
      </c>
      <c r="E1221" s="1" t="s">
        <v>2784</v>
      </c>
      <c r="F1221" t="s">
        <v>11</v>
      </c>
      <c r="G1221" s="2">
        <v>44206.545243055552</v>
      </c>
    </row>
    <row r="1222" spans="1:7" ht="15" customHeight="1" x14ac:dyDescent="0.3">
      <c r="A1222">
        <v>1344664</v>
      </c>
      <c r="B1222" t="s">
        <v>606</v>
      </c>
      <c r="C1222" t="s">
        <v>158</v>
      </c>
      <c r="D1222" t="s">
        <v>2785</v>
      </c>
      <c r="E1222" s="1" t="s">
        <v>2786</v>
      </c>
      <c r="F1222" t="s">
        <v>11</v>
      </c>
      <c r="G1222" s="2">
        <v>44206.104502314818</v>
      </c>
    </row>
    <row r="1223" spans="1:7" ht="15" customHeight="1" x14ac:dyDescent="0.3">
      <c r="A1223">
        <v>1344623</v>
      </c>
      <c r="B1223" t="s">
        <v>16</v>
      </c>
      <c r="C1223" t="s">
        <v>394</v>
      </c>
      <c r="D1223" t="s">
        <v>1429</v>
      </c>
      <c r="E1223" t="s">
        <v>1324</v>
      </c>
      <c r="F1223" t="s">
        <v>1158</v>
      </c>
      <c r="G1223" s="2">
        <v>44206.000081018516</v>
      </c>
    </row>
    <row r="1224" spans="1:7" ht="15" customHeight="1" x14ac:dyDescent="0.3">
      <c r="A1224">
        <v>1344622</v>
      </c>
      <c r="B1224" t="s">
        <v>70</v>
      </c>
      <c r="C1224" t="s">
        <v>369</v>
      </c>
      <c r="D1224" t="s">
        <v>1156</v>
      </c>
      <c r="E1224" s="1" t="s">
        <v>1157</v>
      </c>
      <c r="F1224" t="s">
        <v>1158</v>
      </c>
      <c r="G1224" s="2">
        <v>44206.000069444446</v>
      </c>
    </row>
    <row r="1225" spans="1:7" ht="15" customHeight="1" x14ac:dyDescent="0.3">
      <c r="A1225">
        <v>1344621</v>
      </c>
      <c r="B1225" t="s">
        <v>1013</v>
      </c>
      <c r="C1225" t="s">
        <v>1014</v>
      </c>
      <c r="D1225" t="s">
        <v>1429</v>
      </c>
      <c r="E1225" s="1" t="s">
        <v>1160</v>
      </c>
      <c r="F1225" t="s">
        <v>1158</v>
      </c>
      <c r="G1225" s="2">
        <v>44206.000057870369</v>
      </c>
    </row>
    <row r="1226" spans="1:7" ht="15" customHeight="1" x14ac:dyDescent="0.3">
      <c r="A1226">
        <v>1344620</v>
      </c>
      <c r="B1226" t="s">
        <v>1029</v>
      </c>
      <c r="C1226" t="s">
        <v>1030</v>
      </c>
      <c r="D1226" t="s">
        <v>2787</v>
      </c>
      <c r="E1226" s="1" t="s">
        <v>1160</v>
      </c>
      <c r="F1226" t="s">
        <v>1158</v>
      </c>
      <c r="G1226" s="2">
        <v>44206.000057870369</v>
      </c>
    </row>
    <row r="1227" spans="1:7" ht="15" customHeight="1" x14ac:dyDescent="0.3">
      <c r="A1227">
        <v>1344619</v>
      </c>
      <c r="B1227" t="s">
        <v>1029</v>
      </c>
      <c r="C1227" t="s">
        <v>1030</v>
      </c>
      <c r="D1227" t="s">
        <v>1429</v>
      </c>
      <c r="E1227" s="1" t="s">
        <v>1160</v>
      </c>
      <c r="F1227" t="s">
        <v>1158</v>
      </c>
      <c r="G1227" s="2">
        <v>44206.0000462963</v>
      </c>
    </row>
    <row r="1228" spans="1:7" ht="15" customHeight="1" x14ac:dyDescent="0.3">
      <c r="A1228">
        <v>1344618</v>
      </c>
      <c r="B1228" t="s">
        <v>53</v>
      </c>
      <c r="C1228" t="s">
        <v>158</v>
      </c>
      <c r="D1228" t="s">
        <v>1429</v>
      </c>
      <c r="E1228" s="1" t="s">
        <v>1160</v>
      </c>
      <c r="F1228" t="s">
        <v>1158</v>
      </c>
      <c r="G1228" s="2">
        <v>44206.0000462963</v>
      </c>
    </row>
    <row r="1229" spans="1:7" ht="15" customHeight="1" x14ac:dyDescent="0.3">
      <c r="A1229">
        <v>1344284</v>
      </c>
      <c r="B1229" t="s">
        <v>1013</v>
      </c>
      <c r="D1229" t="s">
        <v>2788</v>
      </c>
      <c r="E1229" s="1" t="s">
        <v>2789</v>
      </c>
      <c r="F1229" t="s">
        <v>11</v>
      </c>
      <c r="G1229" s="2">
        <v>44205.137048611112</v>
      </c>
    </row>
    <row r="1230" spans="1:7" ht="15" customHeight="1" x14ac:dyDescent="0.3">
      <c r="A1230">
        <v>1344236</v>
      </c>
      <c r="B1230" t="s">
        <v>74</v>
      </c>
      <c r="C1230" t="s">
        <v>2790</v>
      </c>
      <c r="D1230" t="s">
        <v>2791</v>
      </c>
      <c r="E1230" s="1" t="s">
        <v>2792</v>
      </c>
      <c r="F1230" t="s">
        <v>11</v>
      </c>
      <c r="G1230" s="2">
        <v>44205.050949074073</v>
      </c>
    </row>
    <row r="1231" spans="1:7" ht="15" customHeight="1" x14ac:dyDescent="0.3">
      <c r="A1231">
        <v>1344209</v>
      </c>
      <c r="B1231" t="s">
        <v>184</v>
      </c>
      <c r="C1231" t="s">
        <v>2793</v>
      </c>
      <c r="D1231" t="s">
        <v>1323</v>
      </c>
      <c r="E1231" t="s">
        <v>1324</v>
      </c>
      <c r="F1231" t="s">
        <v>1158</v>
      </c>
      <c r="G1231" s="2">
        <v>44205.000092592592</v>
      </c>
    </row>
    <row r="1232" spans="1:7" ht="15" customHeight="1" x14ac:dyDescent="0.3">
      <c r="A1232">
        <v>1344208</v>
      </c>
      <c r="B1232" t="s">
        <v>184</v>
      </c>
      <c r="C1232" t="s">
        <v>2793</v>
      </c>
      <c r="D1232" t="s">
        <v>1323</v>
      </c>
      <c r="E1232" t="s">
        <v>1324</v>
      </c>
      <c r="F1232" t="s">
        <v>1158</v>
      </c>
      <c r="G1232" s="2">
        <v>44205.000081018516</v>
      </c>
    </row>
    <row r="1233" spans="1:7" ht="15" customHeight="1" x14ac:dyDescent="0.3">
      <c r="A1233">
        <v>1344207</v>
      </c>
      <c r="B1233" t="s">
        <v>184</v>
      </c>
      <c r="C1233" t="s">
        <v>1428</v>
      </c>
      <c r="D1233" t="s">
        <v>1325</v>
      </c>
      <c r="E1233" s="1" t="s">
        <v>1326</v>
      </c>
      <c r="F1233" t="s">
        <v>1158</v>
      </c>
      <c r="G1233" s="2">
        <v>44205.000069444446</v>
      </c>
    </row>
    <row r="1234" spans="1:7" ht="15" customHeight="1" x14ac:dyDescent="0.3">
      <c r="A1234">
        <v>1343961</v>
      </c>
      <c r="B1234" t="s">
        <v>87</v>
      </c>
      <c r="C1234" t="s">
        <v>2794</v>
      </c>
      <c r="D1234" t="s">
        <v>2795</v>
      </c>
      <c r="E1234" s="1" t="s">
        <v>2796</v>
      </c>
      <c r="F1234" t="s">
        <v>24</v>
      </c>
      <c r="G1234" s="2">
        <v>44204.733275462961</v>
      </c>
    </row>
    <row r="1235" spans="1:7" ht="15" customHeight="1" x14ac:dyDescent="0.3">
      <c r="A1235">
        <v>1343930</v>
      </c>
      <c r="B1235" t="s">
        <v>16</v>
      </c>
      <c r="C1235" t="s">
        <v>2749</v>
      </c>
      <c r="D1235" t="s">
        <v>2797</v>
      </c>
      <c r="E1235" s="1" t="s">
        <v>2798</v>
      </c>
      <c r="F1235" t="s">
        <v>11</v>
      </c>
      <c r="G1235" s="2">
        <v>44204.668402777781</v>
      </c>
    </row>
    <row r="1236" spans="1:7" ht="15" customHeight="1" x14ac:dyDescent="0.3">
      <c r="A1236">
        <v>1343922</v>
      </c>
      <c r="B1236" t="s">
        <v>7</v>
      </c>
      <c r="C1236" t="s">
        <v>107</v>
      </c>
      <c r="D1236" t="s">
        <v>2799</v>
      </c>
      <c r="E1236" s="1" t="s">
        <v>2800</v>
      </c>
      <c r="F1236" t="s">
        <v>11</v>
      </c>
      <c r="G1236" s="2">
        <v>44204.646747685183</v>
      </c>
    </row>
    <row r="1237" spans="1:7" ht="15" customHeight="1" x14ac:dyDescent="0.3">
      <c r="A1237">
        <v>1343919</v>
      </c>
      <c r="B1237" t="s">
        <v>431</v>
      </c>
      <c r="C1237" t="s">
        <v>432</v>
      </c>
      <c r="D1237" t="s">
        <v>2801</v>
      </c>
      <c r="E1237" s="1" t="s">
        <v>2802</v>
      </c>
      <c r="F1237" t="s">
        <v>24</v>
      </c>
      <c r="G1237" s="2">
        <v>44204.631481481483</v>
      </c>
    </row>
    <row r="1238" spans="1:7" ht="15" customHeight="1" x14ac:dyDescent="0.3">
      <c r="A1238">
        <v>1343906</v>
      </c>
      <c r="B1238" t="s">
        <v>397</v>
      </c>
      <c r="C1238" t="s">
        <v>2803</v>
      </c>
      <c r="D1238">
        <v>1288042</v>
      </c>
      <c r="E1238" s="1" t="s">
        <v>2804</v>
      </c>
      <c r="F1238" t="s">
        <v>11</v>
      </c>
      <c r="G1238" s="2">
        <v>44204.59883101852</v>
      </c>
    </row>
    <row r="1239" spans="1:7" ht="15" customHeight="1" x14ac:dyDescent="0.3">
      <c r="A1239">
        <v>1343897</v>
      </c>
      <c r="B1239" t="s">
        <v>70</v>
      </c>
      <c r="C1239" t="s">
        <v>660</v>
      </c>
      <c r="D1239" t="s">
        <v>2805</v>
      </c>
      <c r="E1239" s="1" t="s">
        <v>2806</v>
      </c>
      <c r="F1239" t="s">
        <v>11</v>
      </c>
      <c r="G1239" s="2">
        <v>44204.576597222222</v>
      </c>
    </row>
    <row r="1240" spans="1:7" ht="15" customHeight="1" x14ac:dyDescent="0.3">
      <c r="A1240">
        <v>1343882</v>
      </c>
      <c r="B1240" t="s">
        <v>63</v>
      </c>
      <c r="C1240" t="s">
        <v>1524</v>
      </c>
      <c r="D1240" t="s">
        <v>2807</v>
      </c>
      <c r="E1240" s="1" t="s">
        <v>2808</v>
      </c>
      <c r="F1240" t="s">
        <v>11</v>
      </c>
      <c r="G1240" s="2">
        <v>44204.541134259256</v>
      </c>
    </row>
    <row r="1241" spans="1:7" ht="15" customHeight="1" x14ac:dyDescent="0.3">
      <c r="A1241">
        <v>1343875</v>
      </c>
      <c r="B1241" t="s">
        <v>177</v>
      </c>
      <c r="C1241" t="s">
        <v>178</v>
      </c>
      <c r="D1241" t="s">
        <v>2809</v>
      </c>
      <c r="E1241" s="1" t="s">
        <v>2810</v>
      </c>
      <c r="F1241" t="s">
        <v>11</v>
      </c>
      <c r="G1241" s="2">
        <v>44204.525821759256</v>
      </c>
    </row>
    <row r="1242" spans="1:7" ht="15" customHeight="1" x14ac:dyDescent="0.3">
      <c r="A1242">
        <v>1343866</v>
      </c>
      <c r="B1242" t="s">
        <v>63</v>
      </c>
      <c r="C1242" t="s">
        <v>1524</v>
      </c>
      <c r="D1242" t="s">
        <v>2811</v>
      </c>
      <c r="E1242" s="1" t="s">
        <v>2812</v>
      </c>
      <c r="F1242" t="s">
        <v>11</v>
      </c>
      <c r="G1242" s="2">
        <v>44204.499583333331</v>
      </c>
    </row>
    <row r="1243" spans="1:7" ht="15" customHeight="1" x14ac:dyDescent="0.3">
      <c r="A1243">
        <v>1343855</v>
      </c>
      <c r="B1243" t="s">
        <v>16</v>
      </c>
      <c r="C1243" t="s">
        <v>2405</v>
      </c>
      <c r="D1243" t="s">
        <v>2813</v>
      </c>
      <c r="E1243" s="1" t="s">
        <v>2814</v>
      </c>
      <c r="F1243" t="s">
        <v>11</v>
      </c>
      <c r="G1243" s="2">
        <v>44204.471898148149</v>
      </c>
    </row>
    <row r="1244" spans="1:7" ht="15" customHeight="1" x14ac:dyDescent="0.3">
      <c r="A1244">
        <v>1343844</v>
      </c>
      <c r="B1244" t="s">
        <v>45</v>
      </c>
      <c r="C1244" t="s">
        <v>1743</v>
      </c>
      <c r="D1244" t="s">
        <v>2815</v>
      </c>
      <c r="E1244" s="1" t="s">
        <v>2816</v>
      </c>
      <c r="F1244" t="s">
        <v>11</v>
      </c>
      <c r="G1244" s="2">
        <v>44204.440879629627</v>
      </c>
    </row>
    <row r="1245" spans="1:7" ht="15" customHeight="1" x14ac:dyDescent="0.3">
      <c r="A1245">
        <v>1343839</v>
      </c>
      <c r="B1245" t="s">
        <v>157</v>
      </c>
      <c r="C1245" t="s">
        <v>1178</v>
      </c>
      <c r="D1245" t="s">
        <v>2817</v>
      </c>
      <c r="E1245" s="1" t="s">
        <v>2818</v>
      </c>
      <c r="F1245" t="s">
        <v>11</v>
      </c>
      <c r="G1245" s="2">
        <v>44204.437106481484</v>
      </c>
    </row>
    <row r="1246" spans="1:7" ht="15" customHeight="1" x14ac:dyDescent="0.3">
      <c r="A1246">
        <v>1343838</v>
      </c>
      <c r="B1246" t="s">
        <v>214</v>
      </c>
      <c r="C1246" t="s">
        <v>215</v>
      </c>
      <c r="D1246" t="s">
        <v>2819</v>
      </c>
      <c r="E1246" s="1" t="s">
        <v>2820</v>
      </c>
      <c r="F1246" t="s">
        <v>11</v>
      </c>
      <c r="G1246" s="2">
        <v>44204.436863425923</v>
      </c>
    </row>
    <row r="1247" spans="1:7" ht="15" customHeight="1" x14ac:dyDescent="0.3">
      <c r="A1247">
        <v>1343802</v>
      </c>
      <c r="B1247" t="s">
        <v>157</v>
      </c>
      <c r="C1247" t="s">
        <v>414</v>
      </c>
      <c r="D1247" t="s">
        <v>2821</v>
      </c>
      <c r="E1247" s="1" t="s">
        <v>2822</v>
      </c>
      <c r="F1247" t="s">
        <v>11</v>
      </c>
      <c r="G1247" s="2">
        <v>44204.425208333334</v>
      </c>
    </row>
    <row r="1248" spans="1:7" ht="15" customHeight="1" x14ac:dyDescent="0.3">
      <c r="A1248">
        <v>1343799</v>
      </c>
      <c r="B1248" t="s">
        <v>32</v>
      </c>
      <c r="C1248" t="s">
        <v>2823</v>
      </c>
      <c r="D1248" t="s">
        <v>2824</v>
      </c>
      <c r="E1248" s="1" t="s">
        <v>2825</v>
      </c>
      <c r="F1248" t="s">
        <v>11</v>
      </c>
      <c r="G1248" s="2">
        <v>44204.423414351855</v>
      </c>
    </row>
    <row r="1249" spans="1:7" ht="15" customHeight="1" x14ac:dyDescent="0.3">
      <c r="A1249">
        <v>1343764</v>
      </c>
      <c r="B1249" t="s">
        <v>503</v>
      </c>
      <c r="D1249" t="s">
        <v>2826</v>
      </c>
      <c r="E1249" s="1" t="s">
        <v>2827</v>
      </c>
      <c r="F1249" t="s">
        <v>11</v>
      </c>
      <c r="G1249" s="2">
        <v>44204.401539351849</v>
      </c>
    </row>
    <row r="1250" spans="1:7" ht="15" customHeight="1" x14ac:dyDescent="0.3">
      <c r="A1250">
        <v>1343757</v>
      </c>
      <c r="B1250" t="s">
        <v>7</v>
      </c>
      <c r="C1250" t="s">
        <v>158</v>
      </c>
      <c r="D1250" t="s">
        <v>737</v>
      </c>
      <c r="E1250" s="1" t="s">
        <v>2828</v>
      </c>
      <c r="F1250" t="s">
        <v>11</v>
      </c>
      <c r="G1250" s="2">
        <v>44204.390520833331</v>
      </c>
    </row>
    <row r="1251" spans="1:7" ht="15" customHeight="1" x14ac:dyDescent="0.3">
      <c r="A1251">
        <v>1343736</v>
      </c>
      <c r="B1251" t="s">
        <v>982</v>
      </c>
      <c r="C1251" t="s">
        <v>1567</v>
      </c>
      <c r="D1251" t="s">
        <v>2829</v>
      </c>
      <c r="E1251" s="1" t="s">
        <v>2830</v>
      </c>
      <c r="F1251" t="s">
        <v>24</v>
      </c>
      <c r="G1251" s="2">
        <v>44204.353865740741</v>
      </c>
    </row>
    <row r="1252" spans="1:7" ht="15" customHeight="1" x14ac:dyDescent="0.3">
      <c r="A1252">
        <v>1343734</v>
      </c>
      <c r="B1252" t="s">
        <v>32</v>
      </c>
      <c r="C1252" t="s">
        <v>1257</v>
      </c>
      <c r="D1252" t="s">
        <v>2831</v>
      </c>
      <c r="E1252" s="1" t="s">
        <v>2832</v>
      </c>
      <c r="F1252" t="s">
        <v>11</v>
      </c>
      <c r="G1252" s="2">
        <v>44204.352349537039</v>
      </c>
    </row>
    <row r="1253" spans="1:7" ht="15" customHeight="1" x14ac:dyDescent="0.3">
      <c r="A1253">
        <v>1343731</v>
      </c>
      <c r="B1253" t="s">
        <v>32</v>
      </c>
      <c r="C1253" t="s">
        <v>1257</v>
      </c>
      <c r="D1253" t="s">
        <v>2833</v>
      </c>
      <c r="E1253" s="1" t="s">
        <v>2834</v>
      </c>
      <c r="F1253" t="s">
        <v>11</v>
      </c>
      <c r="G1253" s="2">
        <v>44204.343530092592</v>
      </c>
    </row>
    <row r="1254" spans="1:7" ht="15" customHeight="1" x14ac:dyDescent="0.3">
      <c r="A1254">
        <v>1343730</v>
      </c>
      <c r="B1254" t="s">
        <v>16</v>
      </c>
      <c r="C1254" t="s">
        <v>649</v>
      </c>
      <c r="D1254" t="s">
        <v>650</v>
      </c>
      <c r="E1254" s="1" t="s">
        <v>2835</v>
      </c>
      <c r="F1254" t="s">
        <v>11</v>
      </c>
      <c r="G1254" s="2">
        <v>44204.342685185184</v>
      </c>
    </row>
    <row r="1255" spans="1:7" ht="15" customHeight="1" x14ac:dyDescent="0.3">
      <c r="A1255">
        <v>1343716</v>
      </c>
      <c r="B1255" t="s">
        <v>350</v>
      </c>
      <c r="C1255" t="s">
        <v>2836</v>
      </c>
      <c r="D1255" t="s">
        <v>2837</v>
      </c>
      <c r="E1255" t="s">
        <v>2838</v>
      </c>
      <c r="F1255" t="s">
        <v>24</v>
      </c>
      <c r="G1255" s="2">
        <v>44204.325798611113</v>
      </c>
    </row>
    <row r="1256" spans="1:7" ht="15" customHeight="1" x14ac:dyDescent="0.3">
      <c r="A1256">
        <v>1343629</v>
      </c>
      <c r="B1256" t="s">
        <v>1639</v>
      </c>
      <c r="C1256" t="s">
        <v>2616</v>
      </c>
      <c r="D1256" t="s">
        <v>1323</v>
      </c>
      <c r="E1256" t="s">
        <v>1324</v>
      </c>
      <c r="F1256" t="s">
        <v>1158</v>
      </c>
      <c r="G1256" s="2">
        <v>44204.000104166669</v>
      </c>
    </row>
    <row r="1257" spans="1:7" ht="15" customHeight="1" x14ac:dyDescent="0.3">
      <c r="A1257">
        <v>1343628</v>
      </c>
      <c r="B1257" t="s">
        <v>184</v>
      </c>
      <c r="C1257" t="s">
        <v>1069</v>
      </c>
      <c r="D1257" t="s">
        <v>1325</v>
      </c>
      <c r="E1257" s="1" t="s">
        <v>1326</v>
      </c>
      <c r="F1257" t="s">
        <v>1158</v>
      </c>
      <c r="G1257" s="2">
        <v>44204.000092592592</v>
      </c>
    </row>
    <row r="1258" spans="1:7" ht="15" customHeight="1" x14ac:dyDescent="0.3">
      <c r="A1258">
        <v>1343627</v>
      </c>
      <c r="B1258" t="s">
        <v>184</v>
      </c>
      <c r="C1258" t="s">
        <v>1069</v>
      </c>
      <c r="D1258" t="s">
        <v>1325</v>
      </c>
      <c r="E1258" s="1" t="s">
        <v>1326</v>
      </c>
      <c r="F1258" t="s">
        <v>1158</v>
      </c>
      <c r="G1258" s="2">
        <v>44204.000092592592</v>
      </c>
    </row>
    <row r="1259" spans="1:7" ht="15" customHeight="1" x14ac:dyDescent="0.3">
      <c r="A1259">
        <v>1343626</v>
      </c>
      <c r="B1259" t="s">
        <v>184</v>
      </c>
      <c r="C1259" t="s">
        <v>1428</v>
      </c>
      <c r="D1259" t="s">
        <v>1325</v>
      </c>
      <c r="E1259" s="1" t="s">
        <v>1326</v>
      </c>
      <c r="F1259" t="s">
        <v>1158</v>
      </c>
      <c r="G1259" s="2">
        <v>44204.000081018516</v>
      </c>
    </row>
    <row r="1260" spans="1:7" ht="15" customHeight="1" x14ac:dyDescent="0.3">
      <c r="A1260">
        <v>1343625</v>
      </c>
      <c r="B1260" t="s">
        <v>1010</v>
      </c>
      <c r="C1260" t="s">
        <v>1011</v>
      </c>
      <c r="D1260" t="s">
        <v>1156</v>
      </c>
      <c r="E1260" s="1" t="s">
        <v>1157</v>
      </c>
      <c r="F1260" t="s">
        <v>1158</v>
      </c>
      <c r="G1260" s="2">
        <v>44204.000069444446</v>
      </c>
    </row>
    <row r="1261" spans="1:7" ht="15" customHeight="1" x14ac:dyDescent="0.3">
      <c r="A1261">
        <v>1343624</v>
      </c>
      <c r="B1261" t="s">
        <v>2839</v>
      </c>
      <c r="C1261" t="s">
        <v>2840</v>
      </c>
      <c r="D1261" t="s">
        <v>1156</v>
      </c>
      <c r="E1261" s="1" t="s">
        <v>1157</v>
      </c>
      <c r="F1261" t="s">
        <v>1158</v>
      </c>
      <c r="G1261" s="2">
        <v>44204.000069444446</v>
      </c>
    </row>
    <row r="1262" spans="1:7" ht="15" customHeight="1" x14ac:dyDescent="0.3">
      <c r="A1262">
        <v>1343623</v>
      </c>
      <c r="B1262" t="s">
        <v>1782</v>
      </c>
      <c r="C1262" t="s">
        <v>2841</v>
      </c>
      <c r="D1262" t="s">
        <v>1156</v>
      </c>
      <c r="E1262" s="1" t="s">
        <v>1157</v>
      </c>
      <c r="F1262" t="s">
        <v>1158</v>
      </c>
      <c r="G1262" s="2">
        <v>44204.000057870369</v>
      </c>
    </row>
    <row r="1263" spans="1:7" ht="15" customHeight="1" x14ac:dyDescent="0.3">
      <c r="A1263">
        <v>1343622</v>
      </c>
      <c r="B1263" t="s">
        <v>1021</v>
      </c>
      <c r="C1263" t="s">
        <v>1022</v>
      </c>
      <c r="D1263" t="s">
        <v>1156</v>
      </c>
      <c r="E1263" s="1" t="s">
        <v>1157</v>
      </c>
      <c r="F1263" t="s">
        <v>1158</v>
      </c>
      <c r="G1263" s="2">
        <v>44204.000057870369</v>
      </c>
    </row>
    <row r="1264" spans="1:7" ht="15" customHeight="1" x14ac:dyDescent="0.3">
      <c r="A1264">
        <v>1343621</v>
      </c>
      <c r="B1264" t="s">
        <v>290</v>
      </c>
      <c r="C1264" t="s">
        <v>308</v>
      </c>
      <c r="D1264" t="s">
        <v>1156</v>
      </c>
      <c r="E1264" s="1" t="s">
        <v>1157</v>
      </c>
      <c r="F1264" t="s">
        <v>1158</v>
      </c>
      <c r="G1264" s="2">
        <v>44204.0000462963</v>
      </c>
    </row>
    <row r="1265" spans="1:7" ht="15" customHeight="1" x14ac:dyDescent="0.3">
      <c r="A1265">
        <v>1343620</v>
      </c>
      <c r="B1265" t="s">
        <v>2842</v>
      </c>
      <c r="C1265" t="s">
        <v>2843</v>
      </c>
      <c r="D1265" t="s">
        <v>1156</v>
      </c>
      <c r="E1265" s="1" t="s">
        <v>1157</v>
      </c>
      <c r="F1265" t="s">
        <v>1158</v>
      </c>
      <c r="G1265" s="2">
        <v>44204.0000462963</v>
      </c>
    </row>
    <row r="1266" spans="1:7" ht="15" customHeight="1" x14ac:dyDescent="0.3">
      <c r="A1266">
        <v>1343619</v>
      </c>
      <c r="B1266" t="s">
        <v>2844</v>
      </c>
      <c r="C1266" t="s">
        <v>2845</v>
      </c>
      <c r="D1266" t="s">
        <v>1156</v>
      </c>
      <c r="E1266" s="1" t="s">
        <v>1157</v>
      </c>
      <c r="F1266" t="s">
        <v>1158</v>
      </c>
      <c r="G1266" s="2">
        <v>44204.0000462963</v>
      </c>
    </row>
    <row r="1267" spans="1:7" ht="15" customHeight="1" x14ac:dyDescent="0.3">
      <c r="A1267">
        <v>1343618</v>
      </c>
      <c r="B1267" t="s">
        <v>230</v>
      </c>
      <c r="C1267" t="s">
        <v>977</v>
      </c>
      <c r="D1267" t="s">
        <v>1429</v>
      </c>
      <c r="E1267" s="1" t="s">
        <v>1160</v>
      </c>
      <c r="F1267" t="s">
        <v>1158</v>
      </c>
      <c r="G1267" s="2">
        <v>44204.000034722223</v>
      </c>
    </row>
    <row r="1268" spans="1:7" ht="15" customHeight="1" x14ac:dyDescent="0.3">
      <c r="A1268">
        <v>1343617</v>
      </c>
      <c r="B1268" t="s">
        <v>139</v>
      </c>
      <c r="C1268" t="s">
        <v>2846</v>
      </c>
      <c r="D1268" t="s">
        <v>1429</v>
      </c>
      <c r="E1268" s="1" t="s">
        <v>1160</v>
      </c>
      <c r="F1268" t="s">
        <v>1158</v>
      </c>
      <c r="G1268" s="2">
        <v>44204.000023148146</v>
      </c>
    </row>
    <row r="1269" spans="1:7" ht="15" customHeight="1" x14ac:dyDescent="0.3">
      <c r="A1269">
        <v>1343494</v>
      </c>
      <c r="B1269" t="s">
        <v>53</v>
      </c>
      <c r="C1269" t="s">
        <v>54</v>
      </c>
      <c r="D1269" t="s">
        <v>2847</v>
      </c>
      <c r="E1269" s="1" t="s">
        <v>2848</v>
      </c>
      <c r="F1269" t="s">
        <v>11</v>
      </c>
      <c r="G1269" s="2">
        <v>44203.866689814815</v>
      </c>
    </row>
    <row r="1270" spans="1:7" ht="15" customHeight="1" x14ac:dyDescent="0.3">
      <c r="A1270">
        <v>1343419</v>
      </c>
      <c r="B1270" t="s">
        <v>150</v>
      </c>
      <c r="C1270" t="s">
        <v>1797</v>
      </c>
      <c r="D1270" t="s">
        <v>2849</v>
      </c>
      <c r="E1270" s="1" t="s">
        <v>2850</v>
      </c>
      <c r="F1270" t="s">
        <v>24</v>
      </c>
      <c r="G1270" s="2">
        <v>44203.770416666666</v>
      </c>
    </row>
    <row r="1271" spans="1:7" ht="15" customHeight="1" x14ac:dyDescent="0.3">
      <c r="A1271">
        <v>1343372</v>
      </c>
      <c r="B1271" t="s">
        <v>20</v>
      </c>
      <c r="C1271" t="s">
        <v>2851</v>
      </c>
      <c r="D1271" t="s">
        <v>2852</v>
      </c>
      <c r="E1271" s="1" t="s">
        <v>2853</v>
      </c>
      <c r="F1271" t="s">
        <v>24</v>
      </c>
      <c r="G1271" s="2">
        <v>44203.700856481482</v>
      </c>
    </row>
    <row r="1272" spans="1:7" ht="15" customHeight="1" x14ac:dyDescent="0.3">
      <c r="A1272">
        <v>1343367</v>
      </c>
      <c r="B1272" t="s">
        <v>157</v>
      </c>
      <c r="C1272" t="s">
        <v>2854</v>
      </c>
      <c r="D1272" t="s">
        <v>2855</v>
      </c>
      <c r="E1272" s="1" t="s">
        <v>2856</v>
      </c>
      <c r="F1272" t="s">
        <v>11</v>
      </c>
      <c r="G1272" s="2">
        <v>44203.688425925924</v>
      </c>
    </row>
    <row r="1273" spans="1:7" ht="15" customHeight="1" x14ac:dyDescent="0.3">
      <c r="A1273">
        <v>1343359</v>
      </c>
      <c r="B1273" t="s">
        <v>45</v>
      </c>
      <c r="C1273" t="s">
        <v>2857</v>
      </c>
      <c r="D1273" t="s">
        <v>2858</v>
      </c>
      <c r="E1273" s="1" t="s">
        <v>2859</v>
      </c>
      <c r="F1273" t="s">
        <v>11</v>
      </c>
      <c r="G1273" s="2">
        <v>44203.667233796295</v>
      </c>
    </row>
    <row r="1274" spans="1:7" ht="15" customHeight="1" x14ac:dyDescent="0.3">
      <c r="A1274">
        <v>1343358</v>
      </c>
      <c r="B1274" t="s">
        <v>45</v>
      </c>
      <c r="C1274" t="s">
        <v>354</v>
      </c>
      <c r="D1274" t="s">
        <v>2860</v>
      </c>
      <c r="E1274" s="1" t="s">
        <v>2861</v>
      </c>
      <c r="F1274" t="s">
        <v>11</v>
      </c>
      <c r="G1274" s="2">
        <v>44203.663993055554</v>
      </c>
    </row>
    <row r="1275" spans="1:7" ht="15" customHeight="1" x14ac:dyDescent="0.3">
      <c r="A1275">
        <v>1343356</v>
      </c>
      <c r="B1275" t="s">
        <v>852</v>
      </c>
      <c r="C1275" t="s">
        <v>853</v>
      </c>
      <c r="D1275">
        <v>1330905</v>
      </c>
      <c r="E1275" s="1" t="s">
        <v>2862</v>
      </c>
      <c r="F1275" t="s">
        <v>11</v>
      </c>
      <c r="G1275" s="2">
        <v>44203.662442129629</v>
      </c>
    </row>
    <row r="1276" spans="1:7" ht="15" customHeight="1" x14ac:dyDescent="0.3">
      <c r="A1276">
        <v>1343354</v>
      </c>
      <c r="B1276" t="s">
        <v>95</v>
      </c>
      <c r="C1276" t="s">
        <v>2863</v>
      </c>
      <c r="D1276" t="s">
        <v>2864</v>
      </c>
      <c r="E1276" s="1" t="s">
        <v>2865</v>
      </c>
      <c r="F1276" t="s">
        <v>11</v>
      </c>
      <c r="G1276" s="2">
        <v>44203.656481481485</v>
      </c>
    </row>
    <row r="1277" spans="1:7" ht="15" customHeight="1" x14ac:dyDescent="0.3">
      <c r="A1277">
        <v>1343336</v>
      </c>
      <c r="B1277" t="s">
        <v>157</v>
      </c>
      <c r="C1277" t="s">
        <v>414</v>
      </c>
      <c r="D1277" t="s">
        <v>2866</v>
      </c>
      <c r="E1277" s="1" t="s">
        <v>2867</v>
      </c>
      <c r="F1277" t="s">
        <v>11</v>
      </c>
      <c r="G1277" s="2">
        <v>44203.632569444446</v>
      </c>
    </row>
    <row r="1278" spans="1:7" ht="15" customHeight="1" x14ac:dyDescent="0.3">
      <c r="A1278">
        <v>1343333</v>
      </c>
      <c r="B1278" t="s">
        <v>281</v>
      </c>
      <c r="C1278" t="s">
        <v>282</v>
      </c>
      <c r="D1278" t="s">
        <v>2776</v>
      </c>
      <c r="E1278" s="1" t="s">
        <v>2868</v>
      </c>
      <c r="F1278" t="s">
        <v>11</v>
      </c>
      <c r="G1278" s="2">
        <v>44203.626666666663</v>
      </c>
    </row>
    <row r="1279" spans="1:7" ht="15" customHeight="1" x14ac:dyDescent="0.3">
      <c r="A1279">
        <v>1343331</v>
      </c>
      <c r="B1279" t="s">
        <v>118</v>
      </c>
      <c r="C1279" t="s">
        <v>200</v>
      </c>
      <c r="D1279" t="s">
        <v>2869</v>
      </c>
      <c r="E1279" s="1" t="s">
        <v>2870</v>
      </c>
      <c r="F1279" t="s">
        <v>11</v>
      </c>
      <c r="G1279" s="2">
        <v>44203.622696759259</v>
      </c>
    </row>
    <row r="1280" spans="1:7" ht="15" customHeight="1" x14ac:dyDescent="0.3">
      <c r="A1280">
        <v>1343326</v>
      </c>
      <c r="B1280" t="s">
        <v>16</v>
      </c>
      <c r="C1280" t="s">
        <v>181</v>
      </c>
      <c r="D1280" t="s">
        <v>2871</v>
      </c>
      <c r="E1280" s="1" t="s">
        <v>2872</v>
      </c>
      <c r="F1280" t="s">
        <v>24</v>
      </c>
      <c r="G1280" s="2">
        <v>44203.60733796296</v>
      </c>
    </row>
    <row r="1281" spans="1:7" ht="15" customHeight="1" x14ac:dyDescent="0.3">
      <c r="A1281">
        <v>1343296</v>
      </c>
      <c r="B1281" t="s">
        <v>45</v>
      </c>
      <c r="C1281" t="s">
        <v>1743</v>
      </c>
      <c r="D1281" t="s">
        <v>2873</v>
      </c>
      <c r="E1281" s="1" t="s">
        <v>2874</v>
      </c>
      <c r="F1281" t="s">
        <v>11</v>
      </c>
      <c r="G1281" s="2">
        <v>44203.515127314815</v>
      </c>
    </row>
    <row r="1282" spans="1:7" ht="15" customHeight="1" x14ac:dyDescent="0.3">
      <c r="A1282">
        <v>1343274</v>
      </c>
      <c r="B1282" t="s">
        <v>157</v>
      </c>
      <c r="C1282" t="s">
        <v>1740</v>
      </c>
      <c r="D1282" t="s">
        <v>2875</v>
      </c>
      <c r="E1282" s="1" t="s">
        <v>2876</v>
      </c>
      <c r="F1282" t="s">
        <v>11</v>
      </c>
      <c r="G1282" s="2">
        <v>44203.501273148147</v>
      </c>
    </row>
    <row r="1283" spans="1:7" ht="15" customHeight="1" x14ac:dyDescent="0.3">
      <c r="A1283">
        <v>1343266</v>
      </c>
      <c r="B1283" t="s">
        <v>74</v>
      </c>
      <c r="C1283" t="s">
        <v>75</v>
      </c>
      <c r="D1283" t="s">
        <v>2877</v>
      </c>
      <c r="E1283" s="1" t="s">
        <v>2878</v>
      </c>
      <c r="F1283" t="s">
        <v>24</v>
      </c>
      <c r="G1283" s="2">
        <v>44203.486076388886</v>
      </c>
    </row>
    <row r="1284" spans="1:7" ht="15" customHeight="1" x14ac:dyDescent="0.3">
      <c r="A1284">
        <v>1343256</v>
      </c>
      <c r="B1284" t="s">
        <v>32</v>
      </c>
      <c r="C1284" t="s">
        <v>33</v>
      </c>
      <c r="D1284" t="s">
        <v>2879</v>
      </c>
      <c r="E1284" s="1" t="s">
        <v>2880</v>
      </c>
      <c r="F1284" t="s">
        <v>11</v>
      </c>
      <c r="G1284" s="2">
        <v>44203.459085648145</v>
      </c>
    </row>
    <row r="1285" spans="1:7" ht="15" customHeight="1" x14ac:dyDescent="0.3">
      <c r="A1285">
        <v>1343253</v>
      </c>
      <c r="B1285" t="s">
        <v>473</v>
      </c>
      <c r="C1285" t="s">
        <v>1381</v>
      </c>
      <c r="D1285" t="s">
        <v>2881</v>
      </c>
      <c r="E1285" s="1" t="s">
        <v>2882</v>
      </c>
      <c r="F1285" t="s">
        <v>11</v>
      </c>
      <c r="G1285" s="2">
        <v>44203.454131944447</v>
      </c>
    </row>
    <row r="1286" spans="1:7" ht="15" customHeight="1" x14ac:dyDescent="0.3">
      <c r="A1286">
        <v>1343246</v>
      </c>
      <c r="B1286" t="s">
        <v>36</v>
      </c>
      <c r="C1286" t="s">
        <v>822</v>
      </c>
      <c r="D1286" t="s">
        <v>2883</v>
      </c>
      <c r="E1286" s="1" t="s">
        <v>2884</v>
      </c>
      <c r="F1286" t="s">
        <v>24</v>
      </c>
      <c r="G1286" s="2">
        <v>44203.431226851855</v>
      </c>
    </row>
    <row r="1287" spans="1:7" ht="15" customHeight="1" x14ac:dyDescent="0.3">
      <c r="A1287">
        <v>1343182</v>
      </c>
      <c r="B1287" t="s">
        <v>49</v>
      </c>
      <c r="C1287" t="s">
        <v>1469</v>
      </c>
      <c r="D1287" t="s">
        <v>2885</v>
      </c>
      <c r="E1287" s="1" t="s">
        <v>2886</v>
      </c>
      <c r="F1287" t="s">
        <v>11</v>
      </c>
      <c r="G1287" s="2">
        <v>44203.415462962963</v>
      </c>
    </row>
    <row r="1288" spans="1:7" ht="15" customHeight="1" x14ac:dyDescent="0.3">
      <c r="A1288">
        <v>1343180</v>
      </c>
      <c r="B1288" t="s">
        <v>7</v>
      </c>
      <c r="C1288" t="s">
        <v>158</v>
      </c>
      <c r="D1288" t="s">
        <v>737</v>
      </c>
      <c r="E1288" s="1" t="s">
        <v>2887</v>
      </c>
      <c r="F1288" t="s">
        <v>11</v>
      </c>
      <c r="G1288" s="2">
        <v>44203.402314814812</v>
      </c>
    </row>
    <row r="1289" spans="1:7" ht="15" customHeight="1" x14ac:dyDescent="0.3">
      <c r="A1289">
        <v>1343179</v>
      </c>
      <c r="B1289" t="s">
        <v>7</v>
      </c>
      <c r="C1289" t="s">
        <v>158</v>
      </c>
      <c r="D1289" t="s">
        <v>737</v>
      </c>
      <c r="E1289" s="1" t="s">
        <v>2888</v>
      </c>
      <c r="F1289" t="s">
        <v>11</v>
      </c>
      <c r="G1289" s="2">
        <v>44203.401597222219</v>
      </c>
    </row>
    <row r="1290" spans="1:7" ht="15" customHeight="1" x14ac:dyDescent="0.3">
      <c r="A1290">
        <v>1343178</v>
      </c>
      <c r="B1290" t="s">
        <v>12</v>
      </c>
      <c r="C1290" t="s">
        <v>2889</v>
      </c>
      <c r="D1290" t="s">
        <v>2890</v>
      </c>
      <c r="E1290" s="1" t="s">
        <v>2891</v>
      </c>
      <c r="F1290" t="s">
        <v>11</v>
      </c>
      <c r="G1290" s="2">
        <v>44203.400173611109</v>
      </c>
    </row>
    <row r="1291" spans="1:7" ht="15" customHeight="1" x14ac:dyDescent="0.3">
      <c r="A1291">
        <v>1343177</v>
      </c>
      <c r="B1291" t="s">
        <v>7</v>
      </c>
      <c r="C1291" t="s">
        <v>158</v>
      </c>
      <c r="D1291" t="s">
        <v>737</v>
      </c>
      <c r="E1291" s="1" t="s">
        <v>2892</v>
      </c>
      <c r="F1291" t="s">
        <v>11</v>
      </c>
      <c r="G1291" s="2">
        <v>44203.398831018516</v>
      </c>
    </row>
    <row r="1292" spans="1:7" ht="15" customHeight="1" x14ac:dyDescent="0.3">
      <c r="A1292">
        <v>1343169</v>
      </c>
      <c r="B1292" t="s">
        <v>49</v>
      </c>
      <c r="C1292" t="s">
        <v>798</v>
      </c>
      <c r="D1292" t="s">
        <v>2893</v>
      </c>
      <c r="E1292" s="1" t="s">
        <v>2894</v>
      </c>
      <c r="F1292" t="s">
        <v>11</v>
      </c>
      <c r="G1292" s="2">
        <v>44203.392430555556</v>
      </c>
    </row>
    <row r="1293" spans="1:7" ht="15" customHeight="1" x14ac:dyDescent="0.3">
      <c r="A1293">
        <v>1343154</v>
      </c>
      <c r="B1293" t="s">
        <v>218</v>
      </c>
      <c r="C1293" t="s">
        <v>219</v>
      </c>
      <c r="D1293" t="s">
        <v>2895</v>
      </c>
      <c r="E1293" s="1" t="s">
        <v>2896</v>
      </c>
      <c r="F1293" t="s">
        <v>11</v>
      </c>
      <c r="G1293" s="2">
        <v>44203.376712962963</v>
      </c>
    </row>
    <row r="1294" spans="1:7" ht="15" customHeight="1" x14ac:dyDescent="0.3">
      <c r="A1294">
        <v>1343153</v>
      </c>
      <c r="B1294" t="s">
        <v>95</v>
      </c>
      <c r="C1294" t="s">
        <v>668</v>
      </c>
      <c r="D1294" t="s">
        <v>2897</v>
      </c>
      <c r="E1294" s="1" t="s">
        <v>2898</v>
      </c>
      <c r="F1294" t="s">
        <v>24</v>
      </c>
      <c r="G1294" s="2">
        <v>44203.376168981478</v>
      </c>
    </row>
    <row r="1295" spans="1:7" ht="15" customHeight="1" x14ac:dyDescent="0.3">
      <c r="A1295">
        <v>1343134</v>
      </c>
      <c r="B1295" t="s">
        <v>281</v>
      </c>
      <c r="C1295" t="s">
        <v>282</v>
      </c>
      <c r="D1295" t="s">
        <v>2899</v>
      </c>
      <c r="E1295" s="1" t="s">
        <v>2900</v>
      </c>
      <c r="F1295" t="s">
        <v>11</v>
      </c>
      <c r="G1295" s="2">
        <v>44203.351979166669</v>
      </c>
    </row>
    <row r="1296" spans="1:7" ht="15" customHeight="1" x14ac:dyDescent="0.3">
      <c r="A1296">
        <v>1343129</v>
      </c>
      <c r="B1296" t="s">
        <v>95</v>
      </c>
      <c r="C1296" t="s">
        <v>2901</v>
      </c>
      <c r="D1296" t="s">
        <v>2902</v>
      </c>
      <c r="E1296" s="1" t="s">
        <v>2903</v>
      </c>
      <c r="F1296" t="s">
        <v>11</v>
      </c>
      <c r="G1296" s="2">
        <v>44203.348321759258</v>
      </c>
    </row>
    <row r="1297" spans="1:7" ht="15" customHeight="1" x14ac:dyDescent="0.3">
      <c r="A1297">
        <v>1343128</v>
      </c>
      <c r="B1297" t="s">
        <v>335</v>
      </c>
      <c r="C1297" t="s">
        <v>2904</v>
      </c>
      <c r="D1297" t="s">
        <v>2905</v>
      </c>
      <c r="E1297" s="1" t="s">
        <v>2906</v>
      </c>
      <c r="F1297" t="s">
        <v>11</v>
      </c>
      <c r="G1297" s="2">
        <v>44203.345486111109</v>
      </c>
    </row>
    <row r="1298" spans="1:7" ht="15" customHeight="1" x14ac:dyDescent="0.3">
      <c r="A1298">
        <v>1343127</v>
      </c>
      <c r="B1298" t="s">
        <v>95</v>
      </c>
      <c r="C1298" t="s">
        <v>2148</v>
      </c>
      <c r="D1298" t="s">
        <v>2907</v>
      </c>
      <c r="E1298" s="1" t="s">
        <v>2908</v>
      </c>
      <c r="F1298" t="s">
        <v>11</v>
      </c>
      <c r="G1298" s="2">
        <v>44203.345462962963</v>
      </c>
    </row>
    <row r="1299" spans="1:7" ht="15" customHeight="1" x14ac:dyDescent="0.3">
      <c r="A1299">
        <v>1343125</v>
      </c>
      <c r="B1299" t="s">
        <v>746</v>
      </c>
      <c r="C1299" t="s">
        <v>2909</v>
      </c>
      <c r="D1299" t="s">
        <v>2910</v>
      </c>
      <c r="E1299" s="1" t="s">
        <v>2911</v>
      </c>
      <c r="F1299" t="s">
        <v>24</v>
      </c>
      <c r="G1299" s="2">
        <v>44203.342569444445</v>
      </c>
    </row>
    <row r="1300" spans="1:7" ht="15" customHeight="1" x14ac:dyDescent="0.3">
      <c r="A1300">
        <v>1343114</v>
      </c>
      <c r="B1300" t="s">
        <v>95</v>
      </c>
      <c r="C1300" t="s">
        <v>2912</v>
      </c>
      <c r="D1300" t="s">
        <v>2913</v>
      </c>
      <c r="E1300" s="1" t="s">
        <v>2914</v>
      </c>
      <c r="F1300" t="s">
        <v>11</v>
      </c>
      <c r="G1300" s="2">
        <v>44203.33384259259</v>
      </c>
    </row>
    <row r="1301" spans="1:7" ht="15" customHeight="1" x14ac:dyDescent="0.3">
      <c r="A1301">
        <v>1343106</v>
      </c>
      <c r="B1301" t="s">
        <v>16</v>
      </c>
      <c r="C1301" t="s">
        <v>649</v>
      </c>
      <c r="D1301" t="s">
        <v>921</v>
      </c>
      <c r="E1301" s="1" t="s">
        <v>2915</v>
      </c>
      <c r="F1301" t="s">
        <v>11</v>
      </c>
      <c r="G1301" s="2">
        <v>44203.294583333336</v>
      </c>
    </row>
    <row r="1302" spans="1:7" ht="15" customHeight="1" x14ac:dyDescent="0.3">
      <c r="A1302">
        <v>1343088</v>
      </c>
      <c r="B1302" t="s">
        <v>503</v>
      </c>
      <c r="D1302" t="s">
        <v>943</v>
      </c>
      <c r="E1302" s="1" t="s">
        <v>2916</v>
      </c>
      <c r="F1302" t="s">
        <v>11</v>
      </c>
      <c r="G1302" s="2">
        <v>44203.155289351853</v>
      </c>
    </row>
    <row r="1303" spans="1:7" ht="15" customHeight="1" x14ac:dyDescent="0.3">
      <c r="A1303">
        <v>1343063</v>
      </c>
      <c r="B1303" t="s">
        <v>384</v>
      </c>
      <c r="C1303" t="s">
        <v>385</v>
      </c>
      <c r="D1303" t="s">
        <v>2917</v>
      </c>
      <c r="E1303" s="1" t="s">
        <v>2918</v>
      </c>
      <c r="F1303" t="s">
        <v>11</v>
      </c>
      <c r="G1303" s="2">
        <v>44203.084444444445</v>
      </c>
    </row>
    <row r="1304" spans="1:7" ht="15" customHeight="1" x14ac:dyDescent="0.3">
      <c r="A1304">
        <v>1343018</v>
      </c>
      <c r="B1304" t="s">
        <v>2919</v>
      </c>
      <c r="C1304" t="s">
        <v>2920</v>
      </c>
      <c r="D1304" t="s">
        <v>2921</v>
      </c>
      <c r="E1304" t="s">
        <v>1324</v>
      </c>
      <c r="F1304" t="s">
        <v>1158</v>
      </c>
      <c r="G1304" s="2">
        <v>44203.0000462963</v>
      </c>
    </row>
    <row r="1305" spans="1:7" ht="15" customHeight="1" x14ac:dyDescent="0.3">
      <c r="A1305">
        <v>1343017</v>
      </c>
      <c r="B1305" t="s">
        <v>7</v>
      </c>
      <c r="C1305" t="s">
        <v>2922</v>
      </c>
      <c r="D1305" t="s">
        <v>1156</v>
      </c>
      <c r="E1305" s="1" t="s">
        <v>1157</v>
      </c>
      <c r="F1305" t="s">
        <v>1158</v>
      </c>
      <c r="G1305" s="2">
        <v>44203.000034722223</v>
      </c>
    </row>
    <row r="1306" spans="1:7" ht="15" customHeight="1" x14ac:dyDescent="0.3">
      <c r="A1306">
        <v>1343016</v>
      </c>
      <c r="B1306" t="s">
        <v>813</v>
      </c>
      <c r="C1306" t="s">
        <v>814</v>
      </c>
      <c r="D1306" t="s">
        <v>1429</v>
      </c>
      <c r="E1306" s="1" t="s">
        <v>1160</v>
      </c>
      <c r="F1306" t="s">
        <v>1158</v>
      </c>
      <c r="G1306" s="2">
        <v>44203.000034722223</v>
      </c>
    </row>
    <row r="1307" spans="1:7" ht="15" customHeight="1" x14ac:dyDescent="0.3">
      <c r="A1307">
        <v>1343015</v>
      </c>
      <c r="B1307" t="s">
        <v>53</v>
      </c>
      <c r="C1307" t="s">
        <v>158</v>
      </c>
      <c r="D1307" t="s">
        <v>1429</v>
      </c>
      <c r="E1307" s="1" t="s">
        <v>1160</v>
      </c>
      <c r="F1307" t="s">
        <v>1158</v>
      </c>
      <c r="G1307" s="2">
        <v>44203.000023148146</v>
      </c>
    </row>
    <row r="1308" spans="1:7" ht="15" customHeight="1" x14ac:dyDescent="0.3">
      <c r="A1308">
        <v>1342902</v>
      </c>
      <c r="B1308" t="s">
        <v>25</v>
      </c>
      <c r="C1308" t="s">
        <v>2026</v>
      </c>
      <c r="D1308" t="s">
        <v>2923</v>
      </c>
      <c r="E1308" s="1" t="s">
        <v>2924</v>
      </c>
      <c r="F1308" t="s">
        <v>11</v>
      </c>
      <c r="G1308" s="2">
        <v>44202.878854166665</v>
      </c>
    </row>
    <row r="1309" spans="1:7" ht="15" customHeight="1" x14ac:dyDescent="0.3">
      <c r="A1309">
        <v>1342750</v>
      </c>
      <c r="B1309" t="s">
        <v>53</v>
      </c>
      <c r="C1309" t="s">
        <v>2925</v>
      </c>
      <c r="D1309" t="s">
        <v>2926</v>
      </c>
      <c r="E1309" s="1" t="s">
        <v>2927</v>
      </c>
      <c r="F1309" t="s">
        <v>11</v>
      </c>
      <c r="G1309" s="2">
        <v>44202.657141203701</v>
      </c>
    </row>
    <row r="1310" spans="1:7" ht="15" customHeight="1" x14ac:dyDescent="0.3">
      <c r="A1310">
        <v>1342749</v>
      </c>
      <c r="B1310" t="s">
        <v>53</v>
      </c>
      <c r="C1310" t="s">
        <v>2928</v>
      </c>
      <c r="D1310" t="s">
        <v>2929</v>
      </c>
      <c r="E1310" s="1" t="s">
        <v>2930</v>
      </c>
      <c r="F1310" t="s">
        <v>11</v>
      </c>
      <c r="G1310" s="2">
        <v>44202.656898148147</v>
      </c>
    </row>
    <row r="1311" spans="1:7" ht="15" customHeight="1" x14ac:dyDescent="0.3">
      <c r="A1311">
        <v>1342745</v>
      </c>
      <c r="B1311" t="s">
        <v>503</v>
      </c>
      <c r="D1311" t="s">
        <v>2931</v>
      </c>
      <c r="E1311" s="1" t="s">
        <v>2932</v>
      </c>
      <c r="F1311" t="s">
        <v>11</v>
      </c>
      <c r="G1311" s="2">
        <v>44202.649733796294</v>
      </c>
    </row>
    <row r="1312" spans="1:7" ht="15" customHeight="1" x14ac:dyDescent="0.3">
      <c r="A1312">
        <v>1342744</v>
      </c>
      <c r="B1312" t="s">
        <v>53</v>
      </c>
      <c r="C1312" t="s">
        <v>2928</v>
      </c>
      <c r="D1312" t="s">
        <v>2933</v>
      </c>
      <c r="E1312" s="1" t="s">
        <v>2934</v>
      </c>
      <c r="F1312" t="s">
        <v>11</v>
      </c>
      <c r="G1312" s="2">
        <v>44202.648969907408</v>
      </c>
    </row>
    <row r="1313" spans="1:7" ht="15" customHeight="1" x14ac:dyDescent="0.3">
      <c r="A1313">
        <v>1342735</v>
      </c>
      <c r="B1313" t="s">
        <v>157</v>
      </c>
      <c r="C1313" t="s">
        <v>414</v>
      </c>
      <c r="D1313" t="s">
        <v>2935</v>
      </c>
      <c r="E1313" s="1" t="s">
        <v>2936</v>
      </c>
      <c r="F1313" t="s">
        <v>11</v>
      </c>
      <c r="G1313" s="2">
        <v>44202.631666666668</v>
      </c>
    </row>
    <row r="1314" spans="1:7" ht="15" customHeight="1" x14ac:dyDescent="0.3">
      <c r="A1314">
        <v>1342729</v>
      </c>
      <c r="B1314" t="s">
        <v>32</v>
      </c>
      <c r="C1314" t="s">
        <v>33</v>
      </c>
      <c r="D1314" t="s">
        <v>2937</v>
      </c>
      <c r="E1314" s="1" t="s">
        <v>2938</v>
      </c>
      <c r="F1314" t="s">
        <v>11</v>
      </c>
      <c r="G1314" s="2">
        <v>44202.619270833333</v>
      </c>
    </row>
    <row r="1315" spans="1:7" ht="15" customHeight="1" x14ac:dyDescent="0.3">
      <c r="A1315">
        <v>1342718</v>
      </c>
      <c r="B1315" t="s">
        <v>184</v>
      </c>
      <c r="D1315" t="s">
        <v>2939</v>
      </c>
      <c r="E1315" s="1" t="s">
        <v>2940</v>
      </c>
      <c r="F1315" t="s">
        <v>11</v>
      </c>
      <c r="G1315" s="2">
        <v>44202.593101851853</v>
      </c>
    </row>
    <row r="1316" spans="1:7" ht="15" customHeight="1" x14ac:dyDescent="0.3">
      <c r="A1316">
        <v>1342716</v>
      </c>
      <c r="B1316" t="s">
        <v>431</v>
      </c>
      <c r="C1316" t="s">
        <v>432</v>
      </c>
      <c r="D1316" t="s">
        <v>2941</v>
      </c>
      <c r="E1316" s="1" t="s">
        <v>2942</v>
      </c>
      <c r="F1316" t="s">
        <v>11</v>
      </c>
      <c r="G1316" s="2">
        <v>44202.585277777776</v>
      </c>
    </row>
    <row r="1317" spans="1:7" ht="15" customHeight="1" x14ac:dyDescent="0.3">
      <c r="A1317">
        <v>1342704</v>
      </c>
      <c r="B1317" t="s">
        <v>157</v>
      </c>
      <c r="C1317" t="s">
        <v>414</v>
      </c>
      <c r="D1317" t="s">
        <v>2943</v>
      </c>
      <c r="E1317" s="1" t="s">
        <v>2944</v>
      </c>
      <c r="F1317" t="s">
        <v>11</v>
      </c>
      <c r="G1317" s="2">
        <v>44202.560312499998</v>
      </c>
    </row>
    <row r="1318" spans="1:7" ht="15" customHeight="1" x14ac:dyDescent="0.3">
      <c r="A1318">
        <v>1342695</v>
      </c>
      <c r="B1318" t="s">
        <v>157</v>
      </c>
      <c r="C1318" t="s">
        <v>627</v>
      </c>
      <c r="D1318" t="s">
        <v>2945</v>
      </c>
      <c r="E1318" s="1" t="s">
        <v>2946</v>
      </c>
      <c r="F1318" t="s">
        <v>24</v>
      </c>
      <c r="G1318" s="2">
        <v>44202.548402777778</v>
      </c>
    </row>
    <row r="1319" spans="1:7" ht="15" customHeight="1" x14ac:dyDescent="0.3">
      <c r="A1319">
        <v>1342690</v>
      </c>
      <c r="B1319" t="s">
        <v>410</v>
      </c>
      <c r="C1319" t="s">
        <v>411</v>
      </c>
      <c r="D1319" t="s">
        <v>2947</v>
      </c>
      <c r="E1319" s="1" t="s">
        <v>2948</v>
      </c>
      <c r="F1319" t="s">
        <v>11</v>
      </c>
      <c r="G1319" s="2">
        <v>44202.540868055556</v>
      </c>
    </row>
    <row r="1320" spans="1:7" ht="15" customHeight="1" x14ac:dyDescent="0.3">
      <c r="A1320">
        <v>1342675</v>
      </c>
      <c r="B1320" t="s">
        <v>157</v>
      </c>
      <c r="C1320" t="s">
        <v>2949</v>
      </c>
      <c r="D1320" t="s">
        <v>2950</v>
      </c>
      <c r="E1320" s="1" t="s">
        <v>2951</v>
      </c>
      <c r="F1320" t="s">
        <v>11</v>
      </c>
      <c r="G1320" s="2">
        <v>44202.529120370367</v>
      </c>
    </row>
    <row r="1321" spans="1:7" ht="15" customHeight="1" x14ac:dyDescent="0.3">
      <c r="A1321">
        <v>1342670</v>
      </c>
      <c r="B1321" t="s">
        <v>74</v>
      </c>
      <c r="C1321" t="s">
        <v>2952</v>
      </c>
      <c r="D1321" t="s">
        <v>2953</v>
      </c>
      <c r="E1321" s="1" t="s">
        <v>2954</v>
      </c>
      <c r="F1321" t="s">
        <v>11</v>
      </c>
      <c r="G1321" s="2">
        <v>44202.51834490741</v>
      </c>
    </row>
    <row r="1322" spans="1:7" ht="15" customHeight="1" x14ac:dyDescent="0.3">
      <c r="A1322">
        <v>1342657</v>
      </c>
      <c r="B1322" t="s">
        <v>184</v>
      </c>
      <c r="D1322" t="s">
        <v>2955</v>
      </c>
      <c r="E1322" s="1" t="s">
        <v>2956</v>
      </c>
      <c r="F1322" t="s">
        <v>11</v>
      </c>
      <c r="G1322" s="2">
        <v>44202.470416666663</v>
      </c>
    </row>
    <row r="1323" spans="1:7" ht="15" customHeight="1" x14ac:dyDescent="0.3">
      <c r="A1323">
        <v>1342652</v>
      </c>
      <c r="B1323" t="s">
        <v>214</v>
      </c>
      <c r="C1323" t="s">
        <v>215</v>
      </c>
      <c r="D1323" t="s">
        <v>2957</v>
      </c>
      <c r="E1323" s="1" t="s">
        <v>2958</v>
      </c>
      <c r="F1323" t="s">
        <v>11</v>
      </c>
      <c r="G1323" s="2">
        <v>44202.463055555556</v>
      </c>
    </row>
    <row r="1324" spans="1:7" ht="15" customHeight="1" x14ac:dyDescent="0.3">
      <c r="A1324">
        <v>1342646</v>
      </c>
      <c r="B1324" t="s">
        <v>7</v>
      </c>
      <c r="C1324" t="s">
        <v>158</v>
      </c>
      <c r="D1324" t="s">
        <v>737</v>
      </c>
      <c r="E1324" s="1" t="s">
        <v>2959</v>
      </c>
      <c r="F1324" t="s">
        <v>11</v>
      </c>
      <c r="G1324" s="2">
        <v>44202.458541666667</v>
      </c>
    </row>
    <row r="1325" spans="1:7" ht="15" customHeight="1" x14ac:dyDescent="0.3">
      <c r="A1325">
        <v>1342645</v>
      </c>
      <c r="B1325" t="s">
        <v>157</v>
      </c>
      <c r="C1325" t="s">
        <v>1178</v>
      </c>
      <c r="D1325" t="s">
        <v>2960</v>
      </c>
      <c r="E1325" s="1" t="s">
        <v>2961</v>
      </c>
      <c r="F1325" t="s">
        <v>11</v>
      </c>
      <c r="G1325" s="2">
        <v>44202.456574074073</v>
      </c>
    </row>
    <row r="1326" spans="1:7" ht="15" customHeight="1" x14ac:dyDescent="0.3">
      <c r="A1326">
        <v>1342639</v>
      </c>
      <c r="B1326" t="s">
        <v>431</v>
      </c>
      <c r="C1326" t="s">
        <v>432</v>
      </c>
      <c r="D1326" t="s">
        <v>2962</v>
      </c>
      <c r="E1326" s="1" t="s">
        <v>2963</v>
      </c>
      <c r="F1326" t="s">
        <v>11</v>
      </c>
      <c r="G1326" s="2">
        <v>44202.44972222222</v>
      </c>
    </row>
    <row r="1327" spans="1:7" ht="15" customHeight="1" x14ac:dyDescent="0.3">
      <c r="A1327">
        <v>1342637</v>
      </c>
      <c r="B1327" t="s">
        <v>7</v>
      </c>
      <c r="C1327" t="s">
        <v>158</v>
      </c>
      <c r="D1327" t="s">
        <v>737</v>
      </c>
      <c r="E1327" s="1" t="s">
        <v>2964</v>
      </c>
      <c r="F1327" t="s">
        <v>11</v>
      </c>
      <c r="G1327" s="2">
        <v>44202.449594907404</v>
      </c>
    </row>
    <row r="1328" spans="1:7" ht="15" customHeight="1" x14ac:dyDescent="0.3">
      <c r="A1328">
        <v>1342635</v>
      </c>
      <c r="B1328" t="s">
        <v>431</v>
      </c>
      <c r="C1328" t="s">
        <v>432</v>
      </c>
      <c r="D1328" t="s">
        <v>2965</v>
      </c>
      <c r="E1328" s="1" t="s">
        <v>2966</v>
      </c>
      <c r="F1328" t="s">
        <v>11</v>
      </c>
      <c r="G1328" s="2">
        <v>44202.447928240741</v>
      </c>
    </row>
    <row r="1329" spans="1:7" ht="15" customHeight="1" x14ac:dyDescent="0.3">
      <c r="A1329">
        <v>1342633</v>
      </c>
      <c r="B1329" t="s">
        <v>157</v>
      </c>
      <c r="C1329" t="s">
        <v>414</v>
      </c>
      <c r="D1329" t="s">
        <v>2967</v>
      </c>
      <c r="E1329" s="1" t="s">
        <v>2968</v>
      </c>
      <c r="F1329" t="s">
        <v>11</v>
      </c>
      <c r="G1329" s="2">
        <v>44202.444953703707</v>
      </c>
    </row>
    <row r="1330" spans="1:7" ht="15" customHeight="1" x14ac:dyDescent="0.3">
      <c r="A1330">
        <v>1342626</v>
      </c>
      <c r="B1330" t="s">
        <v>36</v>
      </c>
      <c r="C1330" t="s">
        <v>2969</v>
      </c>
      <c r="D1330" t="s">
        <v>2970</v>
      </c>
      <c r="E1330" s="1" t="s">
        <v>2971</v>
      </c>
      <c r="F1330" t="s">
        <v>24</v>
      </c>
      <c r="G1330" s="2">
        <v>44202.441099537034</v>
      </c>
    </row>
    <row r="1331" spans="1:7" ht="15" customHeight="1" x14ac:dyDescent="0.3">
      <c r="A1331">
        <v>1342623</v>
      </c>
      <c r="B1331" t="s">
        <v>74</v>
      </c>
      <c r="C1331" t="s">
        <v>1374</v>
      </c>
      <c r="D1331" t="s">
        <v>2972</v>
      </c>
      <c r="E1331" s="1" t="s">
        <v>2973</v>
      </c>
      <c r="F1331" t="s">
        <v>11</v>
      </c>
      <c r="G1331" s="2">
        <v>44202.436180555553</v>
      </c>
    </row>
    <row r="1332" spans="1:7" ht="15" customHeight="1" x14ac:dyDescent="0.3">
      <c r="A1332">
        <v>1342619</v>
      </c>
      <c r="B1332" t="s">
        <v>139</v>
      </c>
      <c r="C1332" t="s">
        <v>2846</v>
      </c>
      <c r="D1332" t="s">
        <v>2974</v>
      </c>
      <c r="E1332" s="1" t="s">
        <v>2975</v>
      </c>
      <c r="F1332" t="s">
        <v>11</v>
      </c>
      <c r="G1332" s="2">
        <v>44202.429814814815</v>
      </c>
    </row>
    <row r="1333" spans="1:7" ht="15" customHeight="1" x14ac:dyDescent="0.3">
      <c r="A1333">
        <v>1342617</v>
      </c>
      <c r="B1333" t="s">
        <v>553</v>
      </c>
      <c r="C1333" t="s">
        <v>951</v>
      </c>
      <c r="D1333" t="s">
        <v>2976</v>
      </c>
      <c r="E1333" s="1" t="s">
        <v>2977</v>
      </c>
      <c r="F1333" t="s">
        <v>11</v>
      </c>
      <c r="G1333" s="2">
        <v>44202.426168981481</v>
      </c>
    </row>
    <row r="1334" spans="1:7" ht="15" customHeight="1" x14ac:dyDescent="0.3">
      <c r="A1334">
        <v>1342554</v>
      </c>
      <c r="B1334" t="s">
        <v>2978</v>
      </c>
      <c r="C1334" t="s">
        <v>2979</v>
      </c>
      <c r="D1334" t="s">
        <v>2980</v>
      </c>
      <c r="E1334" s="1" t="s">
        <v>2981</v>
      </c>
      <c r="F1334" t="s">
        <v>11</v>
      </c>
      <c r="G1334" s="2">
        <v>44202.400185185186</v>
      </c>
    </row>
    <row r="1335" spans="1:7" ht="15" customHeight="1" x14ac:dyDescent="0.3">
      <c r="A1335">
        <v>1342552</v>
      </c>
      <c r="B1335" t="s">
        <v>157</v>
      </c>
      <c r="C1335" t="s">
        <v>158</v>
      </c>
      <c r="D1335" t="s">
        <v>2982</v>
      </c>
      <c r="E1335" s="1" t="s">
        <v>2983</v>
      </c>
      <c r="F1335" t="s">
        <v>24</v>
      </c>
      <c r="G1335" s="2">
        <v>44202.399548611109</v>
      </c>
    </row>
    <row r="1336" spans="1:7" ht="15" customHeight="1" x14ac:dyDescent="0.3">
      <c r="A1336">
        <v>1342518</v>
      </c>
      <c r="B1336" t="s">
        <v>503</v>
      </c>
      <c r="D1336" t="s">
        <v>2984</v>
      </c>
      <c r="E1336" s="1" t="s">
        <v>2985</v>
      </c>
      <c r="F1336" t="s">
        <v>11</v>
      </c>
      <c r="G1336" s="2">
        <v>44202.36173611111</v>
      </c>
    </row>
    <row r="1337" spans="1:7" ht="15" customHeight="1" x14ac:dyDescent="0.3">
      <c r="A1337">
        <v>1342509</v>
      </c>
      <c r="B1337" t="s">
        <v>7</v>
      </c>
      <c r="C1337" t="s">
        <v>158</v>
      </c>
      <c r="D1337" t="s">
        <v>2986</v>
      </c>
      <c r="E1337" s="1" t="s">
        <v>2987</v>
      </c>
      <c r="F1337" t="s">
        <v>11</v>
      </c>
      <c r="G1337" s="2">
        <v>44202.349224537036</v>
      </c>
    </row>
    <row r="1338" spans="1:7" ht="15" customHeight="1" x14ac:dyDescent="0.3">
      <c r="A1338">
        <v>1342508</v>
      </c>
      <c r="B1338" t="s">
        <v>614</v>
      </c>
      <c r="C1338" t="s">
        <v>2489</v>
      </c>
      <c r="D1338" t="s">
        <v>2988</v>
      </c>
      <c r="E1338" s="1" t="s">
        <v>2989</v>
      </c>
      <c r="F1338" t="s">
        <v>11</v>
      </c>
      <c r="G1338" s="2">
        <v>44202.347777777781</v>
      </c>
    </row>
    <row r="1339" spans="1:7" ht="15" customHeight="1" x14ac:dyDescent="0.3">
      <c r="A1339">
        <v>1342504</v>
      </c>
      <c r="B1339" t="s">
        <v>87</v>
      </c>
      <c r="C1339" t="s">
        <v>2990</v>
      </c>
      <c r="D1339" t="s">
        <v>2991</v>
      </c>
      <c r="E1339" s="1" t="s">
        <v>2992</v>
      </c>
      <c r="F1339" t="s">
        <v>11</v>
      </c>
      <c r="G1339" s="2">
        <v>44202.341851851852</v>
      </c>
    </row>
    <row r="1340" spans="1:7" ht="15" customHeight="1" x14ac:dyDescent="0.3">
      <c r="A1340">
        <v>1342500</v>
      </c>
      <c r="B1340" t="s">
        <v>25</v>
      </c>
      <c r="C1340" t="s">
        <v>2026</v>
      </c>
      <c r="D1340" t="s">
        <v>2993</v>
      </c>
      <c r="E1340" s="1" t="s">
        <v>2994</v>
      </c>
      <c r="F1340" t="s">
        <v>11</v>
      </c>
      <c r="G1340" s="2">
        <v>44202.339363425926</v>
      </c>
    </row>
    <row r="1341" spans="1:7" ht="15" customHeight="1" x14ac:dyDescent="0.3">
      <c r="A1341">
        <v>1342498</v>
      </c>
      <c r="B1341" t="s">
        <v>32</v>
      </c>
      <c r="C1341" t="s">
        <v>2522</v>
      </c>
      <c r="D1341" t="s">
        <v>2995</v>
      </c>
      <c r="E1341" s="1" t="s">
        <v>2996</v>
      </c>
      <c r="F1341" t="s">
        <v>11</v>
      </c>
      <c r="G1341" s="2">
        <v>44202.336157407408</v>
      </c>
    </row>
    <row r="1342" spans="1:7" ht="15" customHeight="1" x14ac:dyDescent="0.3">
      <c r="A1342">
        <v>1342488</v>
      </c>
      <c r="B1342" t="s">
        <v>7</v>
      </c>
      <c r="C1342" t="s">
        <v>158</v>
      </c>
      <c r="D1342" t="s">
        <v>737</v>
      </c>
      <c r="E1342" s="1" t="s">
        <v>2997</v>
      </c>
      <c r="F1342" t="s">
        <v>11</v>
      </c>
      <c r="G1342" s="2">
        <v>44202.332824074074</v>
      </c>
    </row>
    <row r="1343" spans="1:7" ht="15" customHeight="1" x14ac:dyDescent="0.3">
      <c r="A1343">
        <v>1342480</v>
      </c>
      <c r="B1343" t="s">
        <v>7</v>
      </c>
      <c r="C1343" t="s">
        <v>158</v>
      </c>
      <c r="D1343" t="s">
        <v>737</v>
      </c>
      <c r="E1343" s="1" t="s">
        <v>2998</v>
      </c>
      <c r="F1343" t="s">
        <v>11</v>
      </c>
      <c r="G1343" s="2">
        <v>44202.306446759256</v>
      </c>
    </row>
    <row r="1344" spans="1:7" ht="15" customHeight="1" x14ac:dyDescent="0.3">
      <c r="A1344">
        <v>1342419</v>
      </c>
      <c r="B1344" t="s">
        <v>7</v>
      </c>
      <c r="C1344" t="s">
        <v>158</v>
      </c>
      <c r="D1344" t="s">
        <v>737</v>
      </c>
      <c r="E1344" s="1" t="s">
        <v>2999</v>
      </c>
      <c r="F1344" t="s">
        <v>11</v>
      </c>
      <c r="G1344" s="2">
        <v>44202.024537037039</v>
      </c>
    </row>
    <row r="1345" spans="1:7" ht="15" customHeight="1" x14ac:dyDescent="0.3">
      <c r="A1345">
        <v>1342405</v>
      </c>
      <c r="B1345" t="s">
        <v>2844</v>
      </c>
      <c r="C1345" t="s">
        <v>3000</v>
      </c>
      <c r="D1345" t="s">
        <v>1325</v>
      </c>
      <c r="E1345" s="1" t="s">
        <v>1326</v>
      </c>
      <c r="F1345" t="s">
        <v>1158</v>
      </c>
      <c r="G1345" s="2">
        <v>44202.000057870369</v>
      </c>
    </row>
    <row r="1346" spans="1:7" ht="15" customHeight="1" x14ac:dyDescent="0.3">
      <c r="A1346">
        <v>1342404</v>
      </c>
      <c r="B1346" t="s">
        <v>7</v>
      </c>
      <c r="C1346" t="s">
        <v>2922</v>
      </c>
      <c r="D1346" t="s">
        <v>3001</v>
      </c>
      <c r="E1346" s="1" t="s">
        <v>1157</v>
      </c>
      <c r="F1346" t="s">
        <v>1158</v>
      </c>
      <c r="G1346" s="2">
        <v>44202.0000462963</v>
      </c>
    </row>
    <row r="1347" spans="1:7" ht="15" customHeight="1" x14ac:dyDescent="0.3">
      <c r="A1347">
        <v>1342403</v>
      </c>
      <c r="B1347" t="s">
        <v>3002</v>
      </c>
      <c r="C1347" t="s">
        <v>3003</v>
      </c>
      <c r="D1347" t="s">
        <v>1429</v>
      </c>
      <c r="E1347" s="1" t="s">
        <v>1160</v>
      </c>
      <c r="F1347" t="s">
        <v>1158</v>
      </c>
      <c r="G1347" s="2">
        <v>44202.0000462963</v>
      </c>
    </row>
    <row r="1348" spans="1:7" ht="15" customHeight="1" x14ac:dyDescent="0.3">
      <c r="A1348">
        <v>1342402</v>
      </c>
      <c r="B1348" t="s">
        <v>3002</v>
      </c>
      <c r="C1348" t="s">
        <v>3003</v>
      </c>
      <c r="D1348" t="s">
        <v>1429</v>
      </c>
      <c r="E1348" s="1" t="s">
        <v>1160</v>
      </c>
      <c r="F1348" t="s">
        <v>1158</v>
      </c>
      <c r="G1348" s="2">
        <v>44202.000034722223</v>
      </c>
    </row>
    <row r="1349" spans="1:7" ht="15" customHeight="1" x14ac:dyDescent="0.3">
      <c r="A1349">
        <v>1342399</v>
      </c>
      <c r="B1349" t="s">
        <v>7</v>
      </c>
      <c r="C1349" t="s">
        <v>158</v>
      </c>
      <c r="D1349" t="s">
        <v>737</v>
      </c>
      <c r="E1349" s="1" t="s">
        <v>3004</v>
      </c>
      <c r="F1349" t="s">
        <v>11</v>
      </c>
      <c r="G1349" s="2">
        <v>44201.991840277777</v>
      </c>
    </row>
    <row r="1350" spans="1:7" ht="15" customHeight="1" x14ac:dyDescent="0.3">
      <c r="A1350">
        <v>1342083</v>
      </c>
      <c r="B1350" t="s">
        <v>2130</v>
      </c>
      <c r="C1350" t="s">
        <v>2131</v>
      </c>
      <c r="D1350" t="s">
        <v>3005</v>
      </c>
      <c r="E1350" s="1" t="s">
        <v>3006</v>
      </c>
      <c r="F1350" t="s">
        <v>24</v>
      </c>
      <c r="G1350" s="2">
        <v>44201.652754629627</v>
      </c>
    </row>
    <row r="1351" spans="1:7" ht="15" customHeight="1" x14ac:dyDescent="0.3">
      <c r="A1351">
        <v>1342065</v>
      </c>
      <c r="B1351" t="s">
        <v>95</v>
      </c>
      <c r="C1351" t="s">
        <v>3007</v>
      </c>
      <c r="D1351" t="s">
        <v>3008</v>
      </c>
      <c r="E1351" s="1" t="s">
        <v>3009</v>
      </c>
      <c r="F1351" t="s">
        <v>24</v>
      </c>
      <c r="G1351" s="2">
        <v>44201.617430555554</v>
      </c>
    </row>
    <row r="1352" spans="1:7" ht="15" customHeight="1" x14ac:dyDescent="0.3">
      <c r="A1352">
        <v>1342059</v>
      </c>
      <c r="B1352" t="s">
        <v>95</v>
      </c>
      <c r="C1352" t="s">
        <v>2148</v>
      </c>
      <c r="D1352" t="s">
        <v>3010</v>
      </c>
      <c r="E1352" s="1" t="s">
        <v>2908</v>
      </c>
      <c r="F1352" t="s">
        <v>11</v>
      </c>
      <c r="G1352" s="2">
        <v>44201.61377314815</v>
      </c>
    </row>
    <row r="1353" spans="1:7" ht="15" customHeight="1" x14ac:dyDescent="0.3">
      <c r="A1353">
        <v>1342055</v>
      </c>
      <c r="B1353" t="s">
        <v>118</v>
      </c>
      <c r="C1353" t="s">
        <v>3011</v>
      </c>
      <c r="D1353" t="s">
        <v>3012</v>
      </c>
      <c r="E1353" s="1" t="s">
        <v>3013</v>
      </c>
      <c r="F1353" t="s">
        <v>11</v>
      </c>
      <c r="G1353" s="2">
        <v>44201.608124999999</v>
      </c>
    </row>
    <row r="1354" spans="1:7" ht="15" customHeight="1" x14ac:dyDescent="0.3">
      <c r="A1354">
        <v>1342047</v>
      </c>
      <c r="B1354" t="s">
        <v>53</v>
      </c>
      <c r="C1354" t="s">
        <v>54</v>
      </c>
      <c r="D1354" t="s">
        <v>3014</v>
      </c>
      <c r="E1354" s="1" t="s">
        <v>2716</v>
      </c>
      <c r="F1354" t="s">
        <v>11</v>
      </c>
      <c r="G1354" s="2">
        <v>44201.595150462963</v>
      </c>
    </row>
    <row r="1355" spans="1:7" ht="15" customHeight="1" x14ac:dyDescent="0.3">
      <c r="A1355">
        <v>1342045</v>
      </c>
      <c r="B1355" t="s">
        <v>473</v>
      </c>
      <c r="C1355" t="s">
        <v>3015</v>
      </c>
      <c r="D1355" t="s">
        <v>3016</v>
      </c>
      <c r="E1355" s="1" t="s">
        <v>3017</v>
      </c>
      <c r="F1355" t="s">
        <v>11</v>
      </c>
      <c r="G1355" s="2">
        <v>44201.587604166663</v>
      </c>
    </row>
    <row r="1356" spans="1:7" ht="15" customHeight="1" x14ac:dyDescent="0.3">
      <c r="A1356">
        <v>1342032</v>
      </c>
      <c r="B1356" t="s">
        <v>477</v>
      </c>
      <c r="C1356" t="s">
        <v>512</v>
      </c>
      <c r="D1356" t="s">
        <v>3018</v>
      </c>
      <c r="E1356" s="1" t="s">
        <v>3019</v>
      </c>
      <c r="F1356" t="s">
        <v>11</v>
      </c>
      <c r="G1356" s="2">
        <v>44201.550115740742</v>
      </c>
    </row>
    <row r="1357" spans="1:7" ht="15" customHeight="1" x14ac:dyDescent="0.3">
      <c r="A1357">
        <v>1342024</v>
      </c>
      <c r="B1357" t="s">
        <v>70</v>
      </c>
      <c r="C1357" t="s">
        <v>660</v>
      </c>
      <c r="D1357" t="s">
        <v>3020</v>
      </c>
      <c r="E1357" s="1" t="s">
        <v>3021</v>
      </c>
      <c r="F1357" t="s">
        <v>11</v>
      </c>
      <c r="G1357" s="2">
        <v>44201.53429398148</v>
      </c>
    </row>
    <row r="1358" spans="1:7" ht="15" customHeight="1" x14ac:dyDescent="0.3">
      <c r="A1358">
        <v>1342019</v>
      </c>
      <c r="B1358" t="s">
        <v>281</v>
      </c>
      <c r="C1358" t="s">
        <v>3022</v>
      </c>
      <c r="D1358" t="s">
        <v>3023</v>
      </c>
      <c r="E1358" s="1" t="s">
        <v>3024</v>
      </c>
      <c r="F1358" t="s">
        <v>11</v>
      </c>
      <c r="G1358" s="2">
        <v>44201.530775462961</v>
      </c>
    </row>
    <row r="1359" spans="1:7" ht="15" customHeight="1" x14ac:dyDescent="0.3">
      <c r="A1359">
        <v>1342018</v>
      </c>
      <c r="B1359" t="s">
        <v>749</v>
      </c>
      <c r="C1359" t="s">
        <v>1041</v>
      </c>
      <c r="D1359" t="s">
        <v>3025</v>
      </c>
      <c r="E1359" s="1" t="s">
        <v>3026</v>
      </c>
      <c r="F1359" t="s">
        <v>11</v>
      </c>
      <c r="G1359" s="2">
        <v>44201.529108796298</v>
      </c>
    </row>
    <row r="1360" spans="1:7" ht="15" customHeight="1" x14ac:dyDescent="0.3">
      <c r="A1360">
        <v>1342015</v>
      </c>
      <c r="B1360" t="s">
        <v>3027</v>
      </c>
      <c r="C1360" t="s">
        <v>3028</v>
      </c>
      <c r="D1360" t="s">
        <v>2721</v>
      </c>
      <c r="E1360" s="1" t="s">
        <v>3029</v>
      </c>
      <c r="F1360" t="s">
        <v>24</v>
      </c>
      <c r="G1360" s="2">
        <v>44201.517314814817</v>
      </c>
    </row>
    <row r="1361" spans="1:7" ht="15" customHeight="1" x14ac:dyDescent="0.3">
      <c r="A1361">
        <v>1342008</v>
      </c>
      <c r="B1361" t="s">
        <v>36</v>
      </c>
      <c r="C1361" t="s">
        <v>2387</v>
      </c>
      <c r="D1361" t="s">
        <v>3030</v>
      </c>
      <c r="E1361" s="1" t="s">
        <v>3031</v>
      </c>
      <c r="F1361" t="s">
        <v>24</v>
      </c>
      <c r="G1361" s="2">
        <v>44201.508599537039</v>
      </c>
    </row>
    <row r="1362" spans="1:7" ht="15" customHeight="1" x14ac:dyDescent="0.3">
      <c r="A1362">
        <v>1342000</v>
      </c>
      <c r="B1362" t="s">
        <v>230</v>
      </c>
      <c r="C1362" t="s">
        <v>158</v>
      </c>
      <c r="D1362" t="s">
        <v>3032</v>
      </c>
      <c r="E1362" s="1" t="s">
        <v>3033</v>
      </c>
      <c r="F1362" t="s">
        <v>24</v>
      </c>
      <c r="G1362" s="2">
        <v>44201.498136574075</v>
      </c>
    </row>
    <row r="1363" spans="1:7" ht="15" customHeight="1" x14ac:dyDescent="0.3">
      <c r="A1363">
        <v>1341997</v>
      </c>
      <c r="B1363" t="s">
        <v>36</v>
      </c>
      <c r="C1363" t="s">
        <v>2387</v>
      </c>
      <c r="D1363" t="s">
        <v>3034</v>
      </c>
      <c r="E1363" s="1" t="s">
        <v>3035</v>
      </c>
      <c r="F1363" t="s">
        <v>24</v>
      </c>
      <c r="G1363" s="2">
        <v>44201.494710648149</v>
      </c>
    </row>
    <row r="1364" spans="1:7" ht="15" customHeight="1" x14ac:dyDescent="0.3">
      <c r="A1364">
        <v>1341996</v>
      </c>
      <c r="B1364" t="s">
        <v>230</v>
      </c>
      <c r="C1364" t="s">
        <v>158</v>
      </c>
      <c r="D1364" t="s">
        <v>3036</v>
      </c>
      <c r="E1364" s="1" t="s">
        <v>3037</v>
      </c>
      <c r="F1364" t="s">
        <v>24</v>
      </c>
      <c r="G1364" s="2">
        <v>44201.492326388892</v>
      </c>
    </row>
    <row r="1365" spans="1:7" ht="15" customHeight="1" x14ac:dyDescent="0.3">
      <c r="A1365">
        <v>1341991</v>
      </c>
      <c r="B1365" t="s">
        <v>230</v>
      </c>
      <c r="C1365" t="s">
        <v>158</v>
      </c>
      <c r="D1365" t="s">
        <v>3038</v>
      </c>
      <c r="E1365" s="1" t="s">
        <v>3039</v>
      </c>
      <c r="F1365" t="s">
        <v>24</v>
      </c>
      <c r="G1365" s="2">
        <v>44201.487928240742</v>
      </c>
    </row>
    <row r="1366" spans="1:7" ht="15" customHeight="1" x14ac:dyDescent="0.3">
      <c r="A1366">
        <v>1341987</v>
      </c>
      <c r="B1366" t="s">
        <v>191</v>
      </c>
      <c r="C1366" t="s">
        <v>192</v>
      </c>
      <c r="D1366" t="s">
        <v>3040</v>
      </c>
      <c r="E1366" s="1" t="s">
        <v>3041</v>
      </c>
      <c r="F1366" t="s">
        <v>11</v>
      </c>
      <c r="G1366" s="2">
        <v>44201.482199074075</v>
      </c>
    </row>
    <row r="1367" spans="1:7" ht="15" customHeight="1" x14ac:dyDescent="0.3">
      <c r="A1367">
        <v>1341977</v>
      </c>
      <c r="B1367" t="s">
        <v>157</v>
      </c>
      <c r="C1367" t="s">
        <v>1188</v>
      </c>
      <c r="D1367" t="s">
        <v>3042</v>
      </c>
      <c r="E1367" s="1" t="s">
        <v>3043</v>
      </c>
      <c r="F1367" t="s">
        <v>24</v>
      </c>
      <c r="G1367" s="2">
        <v>44201.468217592592</v>
      </c>
    </row>
    <row r="1368" spans="1:7" ht="15" customHeight="1" x14ac:dyDescent="0.3">
      <c r="A1368">
        <v>1341965</v>
      </c>
      <c r="B1368" t="s">
        <v>32</v>
      </c>
      <c r="C1368" t="s">
        <v>33</v>
      </c>
      <c r="D1368" t="s">
        <v>3044</v>
      </c>
      <c r="E1368" s="1" t="s">
        <v>3045</v>
      </c>
      <c r="F1368" t="s">
        <v>11</v>
      </c>
      <c r="G1368" s="2">
        <v>44201.447997685187</v>
      </c>
    </row>
    <row r="1369" spans="1:7" ht="15" customHeight="1" x14ac:dyDescent="0.3">
      <c r="A1369">
        <v>1341959</v>
      </c>
      <c r="B1369" t="s">
        <v>297</v>
      </c>
      <c r="C1369" t="s">
        <v>3046</v>
      </c>
      <c r="D1369" t="s">
        <v>3047</v>
      </c>
      <c r="E1369" s="1" t="s">
        <v>3048</v>
      </c>
      <c r="F1369" t="s">
        <v>11</v>
      </c>
      <c r="G1369" s="2">
        <v>44201.445277777777</v>
      </c>
    </row>
    <row r="1370" spans="1:7" ht="15" customHeight="1" x14ac:dyDescent="0.3">
      <c r="A1370">
        <v>1341952</v>
      </c>
      <c r="B1370" t="s">
        <v>3049</v>
      </c>
      <c r="C1370" t="s">
        <v>3050</v>
      </c>
      <c r="D1370" t="s">
        <v>3051</v>
      </c>
      <c r="E1370" s="1" t="s">
        <v>3052</v>
      </c>
      <c r="F1370" t="s">
        <v>188</v>
      </c>
      <c r="G1370" s="2">
        <v>44201.440497685187</v>
      </c>
    </row>
    <row r="1371" spans="1:7" ht="15" customHeight="1" x14ac:dyDescent="0.3">
      <c r="A1371">
        <v>1341941</v>
      </c>
      <c r="B1371" t="s">
        <v>431</v>
      </c>
      <c r="C1371" t="s">
        <v>3053</v>
      </c>
      <c r="D1371" t="s">
        <v>3054</v>
      </c>
      <c r="E1371" s="1" t="s">
        <v>3055</v>
      </c>
      <c r="F1371" t="s">
        <v>11</v>
      </c>
      <c r="G1371" s="2">
        <v>44201.419074074074</v>
      </c>
    </row>
    <row r="1372" spans="1:7" ht="15" customHeight="1" x14ac:dyDescent="0.3">
      <c r="A1372">
        <v>1341912</v>
      </c>
      <c r="B1372" t="s">
        <v>503</v>
      </c>
      <c r="D1372" t="s">
        <v>3056</v>
      </c>
      <c r="E1372" s="1" t="s">
        <v>3057</v>
      </c>
      <c r="F1372" t="s">
        <v>11</v>
      </c>
      <c r="G1372" s="2">
        <v>44201.414270833331</v>
      </c>
    </row>
    <row r="1373" spans="1:7" ht="15" customHeight="1" x14ac:dyDescent="0.3">
      <c r="A1373">
        <v>1341910</v>
      </c>
      <c r="B1373" t="s">
        <v>503</v>
      </c>
      <c r="D1373" t="s">
        <v>3058</v>
      </c>
      <c r="E1373" s="1" t="s">
        <v>3059</v>
      </c>
      <c r="F1373" t="s">
        <v>11</v>
      </c>
      <c r="G1373" s="2">
        <v>44201.413553240738</v>
      </c>
    </row>
    <row r="1374" spans="1:7" ht="15" customHeight="1" x14ac:dyDescent="0.3">
      <c r="A1374">
        <v>1341889</v>
      </c>
      <c r="B1374" t="s">
        <v>32</v>
      </c>
      <c r="C1374" t="s">
        <v>158</v>
      </c>
      <c r="D1374" t="s">
        <v>3060</v>
      </c>
      <c r="E1374" s="1" t="s">
        <v>3061</v>
      </c>
      <c r="F1374" t="s">
        <v>11</v>
      </c>
      <c r="G1374" s="2">
        <v>44201.405046296299</v>
      </c>
    </row>
    <row r="1375" spans="1:7" ht="15" customHeight="1" x14ac:dyDescent="0.3">
      <c r="A1375">
        <v>1341860</v>
      </c>
      <c r="B1375" t="s">
        <v>7</v>
      </c>
      <c r="C1375" t="s">
        <v>3062</v>
      </c>
      <c r="D1375" t="s">
        <v>3063</v>
      </c>
      <c r="E1375" s="1" t="s">
        <v>3064</v>
      </c>
      <c r="F1375" t="s">
        <v>11</v>
      </c>
      <c r="G1375" s="2">
        <v>44201.389988425923</v>
      </c>
    </row>
    <row r="1376" spans="1:7" ht="15" customHeight="1" x14ac:dyDescent="0.3">
      <c r="A1376">
        <v>1341853</v>
      </c>
      <c r="B1376" t="s">
        <v>20</v>
      </c>
      <c r="C1376" t="s">
        <v>2177</v>
      </c>
      <c r="D1376" t="s">
        <v>3065</v>
      </c>
      <c r="E1376" s="1" t="s">
        <v>3066</v>
      </c>
      <c r="F1376" t="s">
        <v>11</v>
      </c>
      <c r="G1376" s="2">
        <v>44201.381435185183</v>
      </c>
    </row>
    <row r="1377" spans="1:7" ht="15" customHeight="1" x14ac:dyDescent="0.3">
      <c r="A1377">
        <v>1341850</v>
      </c>
      <c r="B1377" t="s">
        <v>16</v>
      </c>
      <c r="C1377" t="s">
        <v>181</v>
      </c>
      <c r="D1377" t="s">
        <v>3067</v>
      </c>
      <c r="E1377" s="1" t="s">
        <v>3068</v>
      </c>
      <c r="F1377" t="s">
        <v>11</v>
      </c>
      <c r="G1377" s="2">
        <v>44201.376446759263</v>
      </c>
    </row>
    <row r="1378" spans="1:7" ht="15" customHeight="1" x14ac:dyDescent="0.3">
      <c r="A1378">
        <v>1341839</v>
      </c>
      <c r="B1378" t="s">
        <v>20</v>
      </c>
      <c r="C1378" t="s">
        <v>136</v>
      </c>
      <c r="D1378" t="s">
        <v>3069</v>
      </c>
      <c r="E1378" s="1" t="s">
        <v>3070</v>
      </c>
      <c r="F1378" t="s">
        <v>11</v>
      </c>
      <c r="G1378" s="2">
        <v>44201.363159722219</v>
      </c>
    </row>
    <row r="1379" spans="1:7" ht="15" customHeight="1" x14ac:dyDescent="0.3">
      <c r="A1379">
        <v>1341827</v>
      </c>
      <c r="B1379" t="s">
        <v>318</v>
      </c>
      <c r="C1379" t="s">
        <v>3071</v>
      </c>
      <c r="D1379" t="s">
        <v>3072</v>
      </c>
      <c r="E1379" s="1" t="s">
        <v>3073</v>
      </c>
      <c r="F1379" t="s">
        <v>11</v>
      </c>
      <c r="G1379" s="2">
        <v>44201.341944444444</v>
      </c>
    </row>
    <row r="1380" spans="1:7" ht="15" customHeight="1" x14ac:dyDescent="0.3">
      <c r="A1380">
        <v>1341748</v>
      </c>
      <c r="B1380" t="s">
        <v>36</v>
      </c>
      <c r="C1380" t="s">
        <v>700</v>
      </c>
      <c r="D1380" t="s">
        <v>3074</v>
      </c>
      <c r="E1380" s="1" t="s">
        <v>3075</v>
      </c>
      <c r="F1380" t="s">
        <v>24</v>
      </c>
      <c r="G1380" s="2">
        <v>44201.303113425929</v>
      </c>
    </row>
    <row r="1381" spans="1:7" ht="15" customHeight="1" x14ac:dyDescent="0.3">
      <c r="A1381">
        <v>1341743</v>
      </c>
      <c r="B1381" t="s">
        <v>36</v>
      </c>
      <c r="C1381" t="s">
        <v>2019</v>
      </c>
      <c r="D1381" t="s">
        <v>3076</v>
      </c>
      <c r="E1381" s="1" t="s">
        <v>3077</v>
      </c>
      <c r="F1381" t="s">
        <v>24</v>
      </c>
      <c r="G1381" s="2">
        <v>44201.299837962964</v>
      </c>
    </row>
    <row r="1382" spans="1:7" ht="15" customHeight="1" x14ac:dyDescent="0.3">
      <c r="A1382">
        <v>1341624</v>
      </c>
      <c r="B1382" t="s">
        <v>331</v>
      </c>
      <c r="C1382" t="s">
        <v>3078</v>
      </c>
      <c r="D1382" t="s">
        <v>3079</v>
      </c>
      <c r="E1382" t="s">
        <v>1324</v>
      </c>
      <c r="F1382" t="s">
        <v>1158</v>
      </c>
      <c r="G1382" s="2">
        <v>44201.0000462963</v>
      </c>
    </row>
    <row r="1383" spans="1:7" ht="15" customHeight="1" x14ac:dyDescent="0.3">
      <c r="A1383">
        <v>1341623</v>
      </c>
      <c r="B1383" t="s">
        <v>1052</v>
      </c>
      <c r="C1383" t="s">
        <v>1053</v>
      </c>
      <c r="D1383" t="s">
        <v>1429</v>
      </c>
      <c r="E1383" s="1" t="s">
        <v>1160</v>
      </c>
      <c r="F1383" t="s">
        <v>1158</v>
      </c>
      <c r="G1383" s="2">
        <v>44201.000023148146</v>
      </c>
    </row>
    <row r="1384" spans="1:7" ht="15" customHeight="1" x14ac:dyDescent="0.3">
      <c r="A1384">
        <v>1341355</v>
      </c>
      <c r="B1384" t="s">
        <v>7</v>
      </c>
      <c r="C1384" t="s">
        <v>158</v>
      </c>
      <c r="D1384" t="s">
        <v>737</v>
      </c>
      <c r="E1384" s="1" t="s">
        <v>3080</v>
      </c>
      <c r="F1384" t="s">
        <v>11</v>
      </c>
      <c r="G1384" s="2">
        <v>44200.716145833336</v>
      </c>
    </row>
    <row r="1385" spans="1:7" ht="15" customHeight="1" x14ac:dyDescent="0.3">
      <c r="A1385">
        <v>1341326</v>
      </c>
      <c r="B1385" t="s">
        <v>87</v>
      </c>
      <c r="C1385" t="s">
        <v>3081</v>
      </c>
      <c r="D1385" t="s">
        <v>3082</v>
      </c>
      <c r="E1385" s="1" t="s">
        <v>3083</v>
      </c>
      <c r="F1385" t="s">
        <v>11</v>
      </c>
      <c r="G1385" s="2">
        <v>44200.689062500001</v>
      </c>
    </row>
    <row r="1386" spans="1:7" ht="15" customHeight="1" x14ac:dyDescent="0.3">
      <c r="A1386">
        <v>1341325</v>
      </c>
      <c r="B1386" t="s">
        <v>7</v>
      </c>
      <c r="C1386" t="s">
        <v>107</v>
      </c>
      <c r="D1386" t="s">
        <v>3084</v>
      </c>
      <c r="E1386" s="1" t="s">
        <v>3085</v>
      </c>
      <c r="F1386" t="s">
        <v>11</v>
      </c>
      <c r="G1386" s="2">
        <v>44200.687754629631</v>
      </c>
    </row>
    <row r="1387" spans="1:7" ht="15" customHeight="1" x14ac:dyDescent="0.3">
      <c r="A1387">
        <v>1341318</v>
      </c>
      <c r="B1387" t="s">
        <v>20</v>
      </c>
      <c r="C1387" t="s">
        <v>565</v>
      </c>
      <c r="D1387" t="s">
        <v>3086</v>
      </c>
      <c r="E1387" s="1" t="s">
        <v>3087</v>
      </c>
      <c r="F1387" t="s">
        <v>24</v>
      </c>
      <c r="G1387" s="2">
        <v>44200.679872685185</v>
      </c>
    </row>
    <row r="1388" spans="1:7" ht="15" customHeight="1" x14ac:dyDescent="0.3">
      <c r="A1388">
        <v>1341310</v>
      </c>
      <c r="B1388" t="s">
        <v>1013</v>
      </c>
      <c r="C1388" t="s">
        <v>1014</v>
      </c>
      <c r="D1388" t="s">
        <v>3088</v>
      </c>
      <c r="E1388" s="1" t="s">
        <v>3089</v>
      </c>
      <c r="F1388" t="s">
        <v>11</v>
      </c>
      <c r="G1388" s="2">
        <v>44200.67015046296</v>
      </c>
    </row>
    <row r="1389" spans="1:7" ht="15" customHeight="1" x14ac:dyDescent="0.3">
      <c r="A1389">
        <v>1341302</v>
      </c>
      <c r="B1389" t="s">
        <v>7</v>
      </c>
      <c r="C1389" t="s">
        <v>3090</v>
      </c>
      <c r="D1389" t="s">
        <v>3091</v>
      </c>
      <c r="E1389" s="1" t="s">
        <v>3092</v>
      </c>
      <c r="F1389" t="s">
        <v>24</v>
      </c>
      <c r="G1389" s="2">
        <v>44200.664050925923</v>
      </c>
    </row>
    <row r="1390" spans="1:7" ht="15" customHeight="1" x14ac:dyDescent="0.3">
      <c r="A1390">
        <v>1341301</v>
      </c>
      <c r="B1390" t="s">
        <v>503</v>
      </c>
      <c r="D1390" t="s">
        <v>3093</v>
      </c>
      <c r="E1390" s="1" t="s">
        <v>3094</v>
      </c>
      <c r="F1390" t="s">
        <v>11</v>
      </c>
      <c r="G1390" s="2">
        <v>44200.663993055554</v>
      </c>
    </row>
    <row r="1391" spans="1:7" ht="15" customHeight="1" x14ac:dyDescent="0.3">
      <c r="A1391">
        <v>1341291</v>
      </c>
      <c r="B1391" t="s">
        <v>545</v>
      </c>
      <c r="C1391" t="s">
        <v>1769</v>
      </c>
      <c r="D1391" t="s">
        <v>3095</v>
      </c>
      <c r="E1391" s="1" t="s">
        <v>3096</v>
      </c>
      <c r="F1391" t="s">
        <v>11</v>
      </c>
      <c r="G1391" s="2">
        <v>44200.652546296296</v>
      </c>
    </row>
    <row r="1392" spans="1:7" ht="15" customHeight="1" x14ac:dyDescent="0.3">
      <c r="A1392">
        <v>1341270</v>
      </c>
      <c r="B1392" t="s">
        <v>70</v>
      </c>
      <c r="C1392" t="s">
        <v>660</v>
      </c>
      <c r="D1392" t="s">
        <v>3097</v>
      </c>
      <c r="E1392" s="1" t="s">
        <v>3098</v>
      </c>
      <c r="F1392" t="s">
        <v>11</v>
      </c>
      <c r="G1392" s="2">
        <v>44200.623854166668</v>
      </c>
    </row>
    <row r="1393" spans="1:7" ht="15" customHeight="1" x14ac:dyDescent="0.3">
      <c r="A1393">
        <v>1341262</v>
      </c>
      <c r="B1393" t="s">
        <v>3099</v>
      </c>
      <c r="C1393" t="s">
        <v>3100</v>
      </c>
      <c r="D1393" t="s">
        <v>3101</v>
      </c>
      <c r="E1393" s="1" t="s">
        <v>3102</v>
      </c>
      <c r="F1393" t="s">
        <v>24</v>
      </c>
      <c r="G1393" s="2">
        <v>44200.612083333333</v>
      </c>
    </row>
    <row r="1394" spans="1:7" ht="15" customHeight="1" x14ac:dyDescent="0.3">
      <c r="A1394">
        <v>1341250</v>
      </c>
      <c r="B1394" t="s">
        <v>184</v>
      </c>
      <c r="D1394" t="s">
        <v>3103</v>
      </c>
      <c r="E1394" s="1" t="s">
        <v>3104</v>
      </c>
      <c r="F1394" t="s">
        <v>11</v>
      </c>
      <c r="G1394" s="2">
        <v>44200.5859837963</v>
      </c>
    </row>
    <row r="1395" spans="1:7" ht="15" customHeight="1" x14ac:dyDescent="0.3">
      <c r="A1395">
        <v>1341244</v>
      </c>
      <c r="B1395" t="s">
        <v>63</v>
      </c>
      <c r="C1395" t="s">
        <v>1524</v>
      </c>
      <c r="D1395" t="s">
        <v>3105</v>
      </c>
      <c r="E1395" s="1" t="s">
        <v>3106</v>
      </c>
      <c r="F1395" t="s">
        <v>11</v>
      </c>
      <c r="G1395" s="2">
        <v>44200.572395833333</v>
      </c>
    </row>
    <row r="1396" spans="1:7" ht="15" customHeight="1" x14ac:dyDescent="0.3">
      <c r="A1396">
        <v>1341242</v>
      </c>
      <c r="B1396" t="s">
        <v>12</v>
      </c>
      <c r="C1396" t="s">
        <v>2346</v>
      </c>
      <c r="D1396" t="s">
        <v>3107</v>
      </c>
      <c r="E1396" s="1" t="s">
        <v>3108</v>
      </c>
      <c r="F1396" t="s">
        <v>11</v>
      </c>
      <c r="G1396" s="2">
        <v>44200.568379629629</v>
      </c>
    </row>
    <row r="1397" spans="1:7" ht="15" customHeight="1" x14ac:dyDescent="0.3">
      <c r="A1397">
        <v>1341215</v>
      </c>
      <c r="B1397" t="s">
        <v>1137</v>
      </c>
      <c r="C1397" t="s">
        <v>3109</v>
      </c>
      <c r="D1397" t="s">
        <v>3110</v>
      </c>
      <c r="E1397" s="1" t="s">
        <v>3111</v>
      </c>
      <c r="F1397" t="s">
        <v>11</v>
      </c>
      <c r="G1397" s="2">
        <v>44200.537708333337</v>
      </c>
    </row>
    <row r="1398" spans="1:7" ht="15" customHeight="1" x14ac:dyDescent="0.3">
      <c r="A1398">
        <v>1341214</v>
      </c>
      <c r="B1398" t="s">
        <v>1038</v>
      </c>
      <c r="C1398" t="s">
        <v>1039</v>
      </c>
      <c r="D1398" t="s">
        <v>3112</v>
      </c>
      <c r="E1398" s="1" t="s">
        <v>3113</v>
      </c>
      <c r="F1398" t="s">
        <v>11</v>
      </c>
      <c r="G1398" s="2">
        <v>44200.537465277775</v>
      </c>
    </row>
    <row r="1399" spans="1:7" ht="15" customHeight="1" x14ac:dyDescent="0.3">
      <c r="A1399">
        <v>1341207</v>
      </c>
      <c r="B1399" t="s">
        <v>489</v>
      </c>
      <c r="C1399" t="s">
        <v>3114</v>
      </c>
      <c r="D1399" t="s">
        <v>3115</v>
      </c>
      <c r="E1399" s="1" t="s">
        <v>3116</v>
      </c>
      <c r="F1399" t="s">
        <v>11</v>
      </c>
      <c r="G1399" s="2">
        <v>44200.530243055553</v>
      </c>
    </row>
    <row r="1400" spans="1:7" ht="15" customHeight="1" x14ac:dyDescent="0.3">
      <c r="A1400">
        <v>1341199</v>
      </c>
      <c r="B1400" t="s">
        <v>2635</v>
      </c>
      <c r="C1400" t="s">
        <v>2636</v>
      </c>
      <c r="D1400" t="s">
        <v>3117</v>
      </c>
      <c r="E1400" s="1" t="s">
        <v>3118</v>
      </c>
      <c r="F1400" t="s">
        <v>11</v>
      </c>
      <c r="G1400" s="2">
        <v>44200.517141203702</v>
      </c>
    </row>
    <row r="1401" spans="1:7" ht="15" customHeight="1" x14ac:dyDescent="0.3">
      <c r="A1401">
        <v>1341188</v>
      </c>
      <c r="B1401" t="s">
        <v>435</v>
      </c>
      <c r="C1401" t="s">
        <v>436</v>
      </c>
      <c r="D1401" t="s">
        <v>3119</v>
      </c>
      <c r="E1401" s="1" t="s">
        <v>3120</v>
      </c>
      <c r="F1401" t="s">
        <v>11</v>
      </c>
      <c r="G1401" s="2">
        <v>44200.497708333336</v>
      </c>
    </row>
    <row r="1402" spans="1:7" ht="15" customHeight="1" x14ac:dyDescent="0.3">
      <c r="A1402">
        <v>1341181</v>
      </c>
      <c r="B1402" t="s">
        <v>12</v>
      </c>
      <c r="C1402" t="s">
        <v>2727</v>
      </c>
      <c r="D1402" t="s">
        <v>3121</v>
      </c>
      <c r="E1402" s="1" t="s">
        <v>3122</v>
      </c>
      <c r="F1402" t="s">
        <v>24</v>
      </c>
      <c r="G1402" s="2">
        <v>44200.494432870371</v>
      </c>
    </row>
    <row r="1403" spans="1:7" ht="15" customHeight="1" x14ac:dyDescent="0.3">
      <c r="A1403">
        <v>1341180</v>
      </c>
      <c r="B1403" t="s">
        <v>53</v>
      </c>
      <c r="C1403" t="s">
        <v>54</v>
      </c>
      <c r="D1403" t="s">
        <v>3123</v>
      </c>
      <c r="E1403" s="1" t="s">
        <v>3124</v>
      </c>
      <c r="F1403" t="s">
        <v>11</v>
      </c>
      <c r="G1403" s="2">
        <v>44200.492962962962</v>
      </c>
    </row>
    <row r="1404" spans="1:7" ht="15" customHeight="1" x14ac:dyDescent="0.3">
      <c r="A1404">
        <v>1341175</v>
      </c>
      <c r="B1404" t="s">
        <v>746</v>
      </c>
      <c r="C1404" t="s">
        <v>3125</v>
      </c>
      <c r="D1404" t="s">
        <v>3126</v>
      </c>
      <c r="E1404" s="1" t="s">
        <v>3127</v>
      </c>
      <c r="F1404" t="s">
        <v>11</v>
      </c>
      <c r="G1404" s="2">
        <v>44200.489548611113</v>
      </c>
    </row>
    <row r="1405" spans="1:7" ht="15" customHeight="1" x14ac:dyDescent="0.3">
      <c r="A1405">
        <v>1341154</v>
      </c>
      <c r="B1405" t="s">
        <v>746</v>
      </c>
      <c r="C1405" t="s">
        <v>1982</v>
      </c>
      <c r="D1405" t="s">
        <v>3128</v>
      </c>
      <c r="E1405" s="1" t="s">
        <v>3129</v>
      </c>
      <c r="F1405" t="s">
        <v>11</v>
      </c>
      <c r="G1405" s="2">
        <v>44200.466296296298</v>
      </c>
    </row>
    <row r="1406" spans="1:7" ht="15" customHeight="1" x14ac:dyDescent="0.3">
      <c r="A1406">
        <v>1341152</v>
      </c>
      <c r="B1406" t="s">
        <v>16</v>
      </c>
      <c r="C1406" t="s">
        <v>1217</v>
      </c>
      <c r="D1406" t="s">
        <v>3130</v>
      </c>
      <c r="E1406" s="1" t="s">
        <v>3131</v>
      </c>
      <c r="F1406" t="s">
        <v>11</v>
      </c>
      <c r="G1406" s="2">
        <v>44200.461678240739</v>
      </c>
    </row>
    <row r="1407" spans="1:7" ht="15" customHeight="1" x14ac:dyDescent="0.3">
      <c r="A1407">
        <v>1341151</v>
      </c>
      <c r="B1407" t="s">
        <v>7</v>
      </c>
      <c r="C1407" t="s">
        <v>158</v>
      </c>
      <c r="D1407" t="s">
        <v>737</v>
      </c>
      <c r="E1407" s="1" t="s">
        <v>3132</v>
      </c>
      <c r="F1407" t="s">
        <v>11</v>
      </c>
      <c r="G1407" s="2">
        <v>44200.459872685184</v>
      </c>
    </row>
    <row r="1408" spans="1:7" ht="15" customHeight="1" x14ac:dyDescent="0.3">
      <c r="A1408">
        <v>1341150</v>
      </c>
      <c r="B1408" t="s">
        <v>7</v>
      </c>
      <c r="C1408" t="s">
        <v>158</v>
      </c>
      <c r="D1408" t="s">
        <v>737</v>
      </c>
      <c r="E1408" s="1" t="s">
        <v>3133</v>
      </c>
      <c r="F1408" t="s">
        <v>11</v>
      </c>
      <c r="G1408" s="2">
        <v>44200.459282407406</v>
      </c>
    </row>
    <row r="1409" spans="1:7" ht="15" customHeight="1" x14ac:dyDescent="0.3">
      <c r="A1409">
        <v>1341148</v>
      </c>
      <c r="B1409" t="s">
        <v>7</v>
      </c>
      <c r="C1409" t="s">
        <v>158</v>
      </c>
      <c r="D1409" t="s">
        <v>737</v>
      </c>
      <c r="E1409" s="1" t="s">
        <v>3134</v>
      </c>
      <c r="F1409" t="s">
        <v>11</v>
      </c>
      <c r="G1409" s="2">
        <v>44200.458784722221</v>
      </c>
    </row>
    <row r="1410" spans="1:7" ht="15" customHeight="1" x14ac:dyDescent="0.3">
      <c r="A1410">
        <v>1341143</v>
      </c>
      <c r="B1410" t="s">
        <v>157</v>
      </c>
      <c r="C1410" t="s">
        <v>3135</v>
      </c>
      <c r="D1410" t="s">
        <v>2769</v>
      </c>
      <c r="E1410" s="1" t="s">
        <v>3136</v>
      </c>
      <c r="F1410" t="s">
        <v>11</v>
      </c>
      <c r="G1410" s="2">
        <v>44200.446377314816</v>
      </c>
    </row>
    <row r="1411" spans="1:7" ht="15" customHeight="1" x14ac:dyDescent="0.3">
      <c r="A1411">
        <v>1341132</v>
      </c>
      <c r="B1411" t="s">
        <v>503</v>
      </c>
      <c r="D1411" t="s">
        <v>3137</v>
      </c>
      <c r="E1411" s="1" t="s">
        <v>3138</v>
      </c>
      <c r="F1411" t="s">
        <v>11</v>
      </c>
      <c r="G1411" s="2">
        <v>44200.443206018521</v>
      </c>
    </row>
    <row r="1412" spans="1:7" ht="15" customHeight="1" x14ac:dyDescent="0.3">
      <c r="A1412">
        <v>1341115</v>
      </c>
      <c r="B1412" t="s">
        <v>20</v>
      </c>
      <c r="C1412" t="s">
        <v>3139</v>
      </c>
      <c r="D1412" t="s">
        <v>3140</v>
      </c>
      <c r="E1412" s="1" t="s">
        <v>3141</v>
      </c>
      <c r="F1412" t="s">
        <v>11</v>
      </c>
      <c r="G1412" s="2">
        <v>44200.427824074075</v>
      </c>
    </row>
    <row r="1413" spans="1:7" ht="15" customHeight="1" x14ac:dyDescent="0.3">
      <c r="A1413">
        <v>1341107</v>
      </c>
      <c r="B1413" t="s">
        <v>16</v>
      </c>
      <c r="C1413" t="s">
        <v>3142</v>
      </c>
      <c r="D1413" t="s">
        <v>3143</v>
      </c>
      <c r="E1413" s="1" t="s">
        <v>3144</v>
      </c>
      <c r="F1413" t="s">
        <v>24</v>
      </c>
      <c r="G1413" s="2">
        <v>44200.422476851854</v>
      </c>
    </row>
    <row r="1414" spans="1:7" ht="15" customHeight="1" x14ac:dyDescent="0.3">
      <c r="A1414">
        <v>1341041</v>
      </c>
      <c r="B1414" t="s">
        <v>1275</v>
      </c>
      <c r="C1414" t="s">
        <v>1276</v>
      </c>
      <c r="D1414" t="s">
        <v>3145</v>
      </c>
      <c r="E1414" s="1" t="s">
        <v>3146</v>
      </c>
      <c r="F1414" t="s">
        <v>11</v>
      </c>
      <c r="G1414" s="2">
        <v>44200.401053240741</v>
      </c>
    </row>
    <row r="1415" spans="1:7" ht="15" customHeight="1" x14ac:dyDescent="0.3">
      <c r="A1415">
        <v>1341025</v>
      </c>
      <c r="B1415" t="s">
        <v>16</v>
      </c>
      <c r="C1415" t="s">
        <v>2749</v>
      </c>
      <c r="D1415" t="s">
        <v>3147</v>
      </c>
      <c r="E1415" s="1" t="s">
        <v>3148</v>
      </c>
      <c r="F1415" t="s">
        <v>11</v>
      </c>
      <c r="G1415" s="2">
        <v>44200.396284722221</v>
      </c>
    </row>
    <row r="1416" spans="1:7" ht="15" customHeight="1" x14ac:dyDescent="0.3">
      <c r="A1416">
        <v>1341017</v>
      </c>
      <c r="B1416" t="s">
        <v>20</v>
      </c>
      <c r="C1416" t="s">
        <v>101</v>
      </c>
      <c r="D1416" t="s">
        <v>3149</v>
      </c>
      <c r="E1416" s="1" t="s">
        <v>3150</v>
      </c>
      <c r="F1416" t="s">
        <v>11</v>
      </c>
      <c r="G1416" s="2">
        <v>44200.39166666667</v>
      </c>
    </row>
    <row r="1417" spans="1:7" ht="15" customHeight="1" x14ac:dyDescent="0.3">
      <c r="A1417">
        <v>1341016</v>
      </c>
      <c r="B1417" t="s">
        <v>36</v>
      </c>
      <c r="C1417" t="s">
        <v>2199</v>
      </c>
      <c r="D1417" t="s">
        <v>3151</v>
      </c>
      <c r="E1417" s="1" t="s">
        <v>3152</v>
      </c>
      <c r="F1417" t="s">
        <v>11</v>
      </c>
      <c r="G1417" s="2">
        <v>44200.390127314815</v>
      </c>
    </row>
    <row r="1418" spans="1:7" ht="15" customHeight="1" x14ac:dyDescent="0.3">
      <c r="A1418">
        <v>1340986</v>
      </c>
      <c r="B1418" t="s">
        <v>157</v>
      </c>
      <c r="C1418" t="s">
        <v>3153</v>
      </c>
      <c r="D1418" t="s">
        <v>3154</v>
      </c>
      <c r="E1418" s="1" t="s">
        <v>3155</v>
      </c>
      <c r="F1418" t="s">
        <v>11</v>
      </c>
      <c r="G1418" s="2">
        <v>44200.363310185188</v>
      </c>
    </row>
    <row r="1419" spans="1:7" ht="15" customHeight="1" x14ac:dyDescent="0.3">
      <c r="A1419">
        <v>1340977</v>
      </c>
      <c r="B1419" t="s">
        <v>16</v>
      </c>
      <c r="C1419" t="s">
        <v>394</v>
      </c>
      <c r="D1419" t="s">
        <v>3156</v>
      </c>
      <c r="E1419" s="1" t="s">
        <v>3157</v>
      </c>
      <c r="F1419" t="s">
        <v>11</v>
      </c>
      <c r="G1419" s="2">
        <v>44200.3590625</v>
      </c>
    </row>
    <row r="1420" spans="1:7" ht="15" customHeight="1" x14ac:dyDescent="0.3">
      <c r="A1420">
        <v>1340976</v>
      </c>
      <c r="B1420" t="s">
        <v>16</v>
      </c>
      <c r="C1420" t="s">
        <v>3158</v>
      </c>
      <c r="D1420" t="s">
        <v>3159</v>
      </c>
      <c r="E1420" s="1" t="s">
        <v>3160</v>
      </c>
      <c r="F1420" t="s">
        <v>11</v>
      </c>
      <c r="G1420" s="2">
        <v>44200.357997685183</v>
      </c>
    </row>
    <row r="1421" spans="1:7" ht="15" customHeight="1" x14ac:dyDescent="0.3">
      <c r="A1421">
        <v>1340967</v>
      </c>
      <c r="B1421" t="s">
        <v>95</v>
      </c>
      <c r="C1421" t="s">
        <v>129</v>
      </c>
      <c r="D1421" t="s">
        <v>3161</v>
      </c>
      <c r="E1421" s="1" t="s">
        <v>3162</v>
      </c>
      <c r="F1421" t="s">
        <v>11</v>
      </c>
      <c r="G1421" s="2">
        <v>44200.349641203706</v>
      </c>
    </row>
    <row r="1422" spans="1:7" ht="15" customHeight="1" x14ac:dyDescent="0.3">
      <c r="A1422">
        <v>1340876</v>
      </c>
      <c r="B1422" t="s">
        <v>36</v>
      </c>
      <c r="C1422" t="s">
        <v>3163</v>
      </c>
      <c r="D1422" t="s">
        <v>3164</v>
      </c>
      <c r="E1422" s="1" t="s">
        <v>3165</v>
      </c>
      <c r="F1422" t="s">
        <v>24</v>
      </c>
      <c r="G1422" s="2">
        <v>44200.32912037037</v>
      </c>
    </row>
    <row r="1423" spans="1:7" ht="15" customHeight="1" x14ac:dyDescent="0.3">
      <c r="A1423">
        <v>1340863</v>
      </c>
      <c r="B1423" t="s">
        <v>32</v>
      </c>
      <c r="C1423" t="s">
        <v>1257</v>
      </c>
      <c r="D1423" t="s">
        <v>3166</v>
      </c>
      <c r="E1423" s="1" t="s">
        <v>3167</v>
      </c>
      <c r="F1423" t="s">
        <v>24</v>
      </c>
      <c r="G1423" s="2">
        <v>44200.304652777777</v>
      </c>
    </row>
    <row r="1424" spans="1:7" ht="15" customHeight="1" x14ac:dyDescent="0.3">
      <c r="A1424">
        <v>1340860</v>
      </c>
      <c r="B1424" t="s">
        <v>32</v>
      </c>
      <c r="C1424" t="s">
        <v>1257</v>
      </c>
      <c r="D1424" t="s">
        <v>3168</v>
      </c>
      <c r="E1424" s="1" t="s">
        <v>3169</v>
      </c>
      <c r="F1424" t="s">
        <v>24</v>
      </c>
      <c r="G1424" s="2">
        <v>44200.299421296295</v>
      </c>
    </row>
    <row r="1425" spans="1:7" ht="15" customHeight="1" x14ac:dyDescent="0.3">
      <c r="A1425">
        <v>1340705</v>
      </c>
      <c r="B1425" t="s">
        <v>95</v>
      </c>
      <c r="C1425" t="s">
        <v>668</v>
      </c>
      <c r="D1425" t="s">
        <v>1323</v>
      </c>
      <c r="E1425" t="s">
        <v>1324</v>
      </c>
      <c r="F1425" t="s">
        <v>1158</v>
      </c>
      <c r="G1425" s="2">
        <v>44200.0000462963</v>
      </c>
    </row>
    <row r="1426" spans="1:7" ht="15" customHeight="1" x14ac:dyDescent="0.3">
      <c r="A1426">
        <v>1340704</v>
      </c>
      <c r="B1426" t="s">
        <v>95</v>
      </c>
      <c r="C1426" t="s">
        <v>668</v>
      </c>
      <c r="D1426" t="s">
        <v>3170</v>
      </c>
      <c r="E1426" s="1" t="s">
        <v>1326</v>
      </c>
      <c r="F1426" t="s">
        <v>1158</v>
      </c>
      <c r="G1426" s="2">
        <v>44200.000034722223</v>
      </c>
    </row>
    <row r="1427" spans="1:7" ht="15" customHeight="1" x14ac:dyDescent="0.3">
      <c r="A1427">
        <v>1340703</v>
      </c>
      <c r="B1427" t="s">
        <v>95</v>
      </c>
      <c r="C1427" t="s">
        <v>668</v>
      </c>
      <c r="D1427" t="s">
        <v>1156</v>
      </c>
      <c r="E1427" s="1" t="s">
        <v>1157</v>
      </c>
      <c r="F1427" t="s">
        <v>1158</v>
      </c>
      <c r="G1427" s="2">
        <v>44200.000034722223</v>
      </c>
    </row>
    <row r="1428" spans="1:7" ht="15" customHeight="1" x14ac:dyDescent="0.3">
      <c r="A1428">
        <v>1340702</v>
      </c>
      <c r="B1428" t="s">
        <v>70</v>
      </c>
      <c r="C1428" t="s">
        <v>369</v>
      </c>
      <c r="D1428" t="s">
        <v>1429</v>
      </c>
      <c r="E1428" s="1" t="s">
        <v>1160</v>
      </c>
      <c r="F1428" t="s">
        <v>1158</v>
      </c>
      <c r="G1428" s="2">
        <v>44200.000023148146</v>
      </c>
    </row>
    <row r="1429" spans="1:7" ht="15" customHeight="1" x14ac:dyDescent="0.3">
      <c r="A1429">
        <v>1340410</v>
      </c>
      <c r="B1429" t="s">
        <v>95</v>
      </c>
      <c r="D1429" t="s">
        <v>3171</v>
      </c>
      <c r="E1429" s="1" t="s">
        <v>3172</v>
      </c>
      <c r="F1429" t="s">
        <v>11</v>
      </c>
      <c r="G1429" s="2">
        <v>44199.418738425928</v>
      </c>
    </row>
    <row r="1430" spans="1:7" ht="15" customHeight="1" x14ac:dyDescent="0.3">
      <c r="A1430">
        <v>1340187</v>
      </c>
      <c r="B1430" t="s">
        <v>1574</v>
      </c>
      <c r="C1430" t="s">
        <v>1575</v>
      </c>
      <c r="D1430" t="s">
        <v>3173</v>
      </c>
      <c r="E1430" t="s">
        <v>1324</v>
      </c>
      <c r="F1430" t="s">
        <v>1158</v>
      </c>
      <c r="G1430" s="2">
        <v>44199.000173611108</v>
      </c>
    </row>
    <row r="1431" spans="1:7" ht="15" customHeight="1" x14ac:dyDescent="0.3">
      <c r="A1431">
        <v>1340186</v>
      </c>
      <c r="B1431" t="s">
        <v>184</v>
      </c>
      <c r="C1431" t="s">
        <v>1069</v>
      </c>
      <c r="D1431" t="s">
        <v>1325</v>
      </c>
      <c r="E1431" s="1" t="s">
        <v>1326</v>
      </c>
      <c r="F1431" t="s">
        <v>1158</v>
      </c>
      <c r="G1431" s="2">
        <v>44199.000162037039</v>
      </c>
    </row>
    <row r="1432" spans="1:7" ht="15" customHeight="1" x14ac:dyDescent="0.3">
      <c r="A1432">
        <v>1340185</v>
      </c>
      <c r="B1432" t="s">
        <v>184</v>
      </c>
      <c r="C1432" t="s">
        <v>1069</v>
      </c>
      <c r="D1432" t="s">
        <v>1325</v>
      </c>
      <c r="E1432" s="1" t="s">
        <v>1326</v>
      </c>
      <c r="F1432" t="s">
        <v>1158</v>
      </c>
      <c r="G1432" s="2">
        <v>44199.000162037039</v>
      </c>
    </row>
    <row r="1433" spans="1:7" ht="15" customHeight="1" x14ac:dyDescent="0.3">
      <c r="A1433">
        <v>1340184</v>
      </c>
      <c r="B1433" t="s">
        <v>184</v>
      </c>
      <c r="C1433" t="s">
        <v>1069</v>
      </c>
      <c r="D1433" t="s">
        <v>1325</v>
      </c>
      <c r="E1433" s="1" t="s">
        <v>1326</v>
      </c>
      <c r="F1433" t="s">
        <v>1158</v>
      </c>
      <c r="G1433" s="2">
        <v>44199.000150462962</v>
      </c>
    </row>
    <row r="1434" spans="1:7" ht="15" customHeight="1" x14ac:dyDescent="0.3">
      <c r="A1434">
        <v>1340183</v>
      </c>
      <c r="B1434" t="s">
        <v>184</v>
      </c>
      <c r="C1434" t="s">
        <v>1069</v>
      </c>
      <c r="D1434" t="s">
        <v>1325</v>
      </c>
      <c r="E1434" s="1" t="s">
        <v>1326</v>
      </c>
      <c r="F1434" t="s">
        <v>1158</v>
      </c>
      <c r="G1434" s="2">
        <v>44199.000150462962</v>
      </c>
    </row>
    <row r="1435" spans="1:7" ht="15" customHeight="1" x14ac:dyDescent="0.3">
      <c r="A1435">
        <v>1340182</v>
      </c>
      <c r="B1435" t="s">
        <v>184</v>
      </c>
      <c r="C1435" t="s">
        <v>1069</v>
      </c>
      <c r="D1435" t="s">
        <v>1325</v>
      </c>
      <c r="E1435" s="1" t="s">
        <v>1326</v>
      </c>
      <c r="F1435" t="s">
        <v>1158</v>
      </c>
      <c r="G1435" s="2">
        <v>44199.000138888892</v>
      </c>
    </row>
    <row r="1436" spans="1:7" ht="15" customHeight="1" x14ac:dyDescent="0.3">
      <c r="A1436">
        <v>1340181</v>
      </c>
      <c r="B1436" t="s">
        <v>184</v>
      </c>
      <c r="C1436" t="s">
        <v>1069</v>
      </c>
      <c r="D1436" t="s">
        <v>1325</v>
      </c>
      <c r="E1436" s="1" t="s">
        <v>1326</v>
      </c>
      <c r="F1436" t="s">
        <v>1158</v>
      </c>
      <c r="G1436" s="2">
        <v>44199.000138888892</v>
      </c>
    </row>
    <row r="1437" spans="1:7" ht="15" customHeight="1" x14ac:dyDescent="0.3">
      <c r="A1437">
        <v>1340180</v>
      </c>
      <c r="B1437" t="s">
        <v>184</v>
      </c>
      <c r="C1437" t="s">
        <v>1069</v>
      </c>
      <c r="D1437" t="s">
        <v>1325</v>
      </c>
      <c r="E1437" s="1" t="s">
        <v>1326</v>
      </c>
      <c r="F1437" t="s">
        <v>1158</v>
      </c>
      <c r="G1437" s="2">
        <v>44199.000127314815</v>
      </c>
    </row>
    <row r="1438" spans="1:7" ht="15" customHeight="1" x14ac:dyDescent="0.3">
      <c r="A1438">
        <v>1340179</v>
      </c>
      <c r="B1438" t="s">
        <v>184</v>
      </c>
      <c r="C1438" t="s">
        <v>1069</v>
      </c>
      <c r="D1438" t="s">
        <v>1325</v>
      </c>
      <c r="E1438" s="1" t="s">
        <v>1326</v>
      </c>
      <c r="F1438" t="s">
        <v>1158</v>
      </c>
      <c r="G1438" s="2">
        <v>44199.000127314815</v>
      </c>
    </row>
    <row r="1439" spans="1:7" ht="15" customHeight="1" x14ac:dyDescent="0.3">
      <c r="A1439">
        <v>1340178</v>
      </c>
      <c r="B1439" t="s">
        <v>184</v>
      </c>
      <c r="C1439" t="s">
        <v>1069</v>
      </c>
      <c r="D1439" t="s">
        <v>1325</v>
      </c>
      <c r="E1439" s="1" t="s">
        <v>1326</v>
      </c>
      <c r="F1439" t="s">
        <v>1158</v>
      </c>
      <c r="G1439" s="2">
        <v>44199.000115740739</v>
      </c>
    </row>
    <row r="1440" spans="1:7" ht="15" customHeight="1" x14ac:dyDescent="0.3">
      <c r="A1440">
        <v>1340177</v>
      </c>
      <c r="B1440" t="s">
        <v>184</v>
      </c>
      <c r="C1440" t="s">
        <v>1069</v>
      </c>
      <c r="D1440" t="s">
        <v>1325</v>
      </c>
      <c r="E1440" s="1" t="s">
        <v>1326</v>
      </c>
      <c r="F1440" t="s">
        <v>1158</v>
      </c>
      <c r="G1440" s="2">
        <v>44199.000115740739</v>
      </c>
    </row>
    <row r="1441" spans="1:7" ht="15" customHeight="1" x14ac:dyDescent="0.3">
      <c r="A1441">
        <v>1340176</v>
      </c>
      <c r="B1441" t="s">
        <v>184</v>
      </c>
      <c r="C1441" t="s">
        <v>1069</v>
      </c>
      <c r="D1441" t="s">
        <v>1325</v>
      </c>
      <c r="E1441" s="1" t="s">
        <v>1326</v>
      </c>
      <c r="F1441" t="s">
        <v>1158</v>
      </c>
      <c r="G1441" s="2">
        <v>44199.000104166669</v>
      </c>
    </row>
    <row r="1442" spans="1:7" ht="15" customHeight="1" x14ac:dyDescent="0.3">
      <c r="A1442">
        <v>1340175</v>
      </c>
      <c r="B1442" t="s">
        <v>184</v>
      </c>
      <c r="C1442" t="s">
        <v>1069</v>
      </c>
      <c r="D1442" t="s">
        <v>1325</v>
      </c>
      <c r="E1442" s="1" t="s">
        <v>1326</v>
      </c>
      <c r="F1442" t="s">
        <v>1158</v>
      </c>
      <c r="G1442" s="2">
        <v>44199.000092592592</v>
      </c>
    </row>
    <row r="1443" spans="1:7" ht="15" customHeight="1" x14ac:dyDescent="0.3">
      <c r="A1443">
        <v>1340174</v>
      </c>
      <c r="B1443" t="s">
        <v>184</v>
      </c>
      <c r="C1443" t="s">
        <v>1069</v>
      </c>
      <c r="D1443" t="s">
        <v>1325</v>
      </c>
      <c r="E1443" s="1" t="s">
        <v>1326</v>
      </c>
      <c r="F1443" t="s">
        <v>1158</v>
      </c>
      <c r="G1443" s="2">
        <v>44199.000092592592</v>
      </c>
    </row>
    <row r="1444" spans="1:7" ht="15" customHeight="1" x14ac:dyDescent="0.3">
      <c r="A1444">
        <v>1340173</v>
      </c>
      <c r="B1444" t="s">
        <v>184</v>
      </c>
      <c r="C1444" t="s">
        <v>1069</v>
      </c>
      <c r="D1444" t="s">
        <v>1325</v>
      </c>
      <c r="E1444" s="1" t="s">
        <v>1326</v>
      </c>
      <c r="F1444" t="s">
        <v>1158</v>
      </c>
      <c r="G1444" s="2">
        <v>44199.000081018516</v>
      </c>
    </row>
    <row r="1445" spans="1:7" ht="15" customHeight="1" x14ac:dyDescent="0.3">
      <c r="A1445">
        <v>1340172</v>
      </c>
      <c r="B1445" t="s">
        <v>184</v>
      </c>
      <c r="C1445" t="s">
        <v>1069</v>
      </c>
      <c r="D1445" t="s">
        <v>1325</v>
      </c>
      <c r="E1445" s="1" t="s">
        <v>1326</v>
      </c>
      <c r="F1445" t="s">
        <v>1158</v>
      </c>
      <c r="G1445" s="2">
        <v>44199.000081018516</v>
      </c>
    </row>
    <row r="1446" spans="1:7" ht="15" customHeight="1" x14ac:dyDescent="0.3">
      <c r="A1446">
        <v>1340171</v>
      </c>
      <c r="B1446" t="s">
        <v>184</v>
      </c>
      <c r="C1446" t="s">
        <v>1069</v>
      </c>
      <c r="D1446" t="s">
        <v>1325</v>
      </c>
      <c r="E1446" s="1" t="s">
        <v>1326</v>
      </c>
      <c r="F1446" t="s">
        <v>1158</v>
      </c>
      <c r="G1446" s="2">
        <v>44199.000069444446</v>
      </c>
    </row>
    <row r="1447" spans="1:7" ht="15" customHeight="1" x14ac:dyDescent="0.3">
      <c r="A1447">
        <v>1340170</v>
      </c>
      <c r="B1447" t="s">
        <v>184</v>
      </c>
      <c r="C1447" t="s">
        <v>1069</v>
      </c>
      <c r="D1447" t="s">
        <v>1325</v>
      </c>
      <c r="E1447" s="1" t="s">
        <v>1326</v>
      </c>
      <c r="F1447" t="s">
        <v>1158</v>
      </c>
      <c r="G1447" s="2">
        <v>44199.000069444446</v>
      </c>
    </row>
    <row r="1448" spans="1:7" ht="15" customHeight="1" x14ac:dyDescent="0.3">
      <c r="A1448">
        <v>1340169</v>
      </c>
      <c r="B1448" t="s">
        <v>184</v>
      </c>
      <c r="C1448" t="s">
        <v>1069</v>
      </c>
      <c r="D1448" t="s">
        <v>1325</v>
      </c>
      <c r="E1448" s="1" t="s">
        <v>1326</v>
      </c>
      <c r="F1448" t="s">
        <v>1158</v>
      </c>
      <c r="G1448" s="2">
        <v>44199.000057870369</v>
      </c>
    </row>
    <row r="1449" spans="1:7" ht="15" customHeight="1" x14ac:dyDescent="0.3">
      <c r="A1449">
        <v>1340168</v>
      </c>
      <c r="B1449" t="s">
        <v>184</v>
      </c>
      <c r="C1449" t="s">
        <v>1069</v>
      </c>
      <c r="D1449" t="s">
        <v>1325</v>
      </c>
      <c r="E1449" s="1" t="s">
        <v>1326</v>
      </c>
      <c r="F1449" t="s">
        <v>1158</v>
      </c>
      <c r="G1449" s="2">
        <v>44199.000057870369</v>
      </c>
    </row>
    <row r="1450" spans="1:7" ht="15" customHeight="1" x14ac:dyDescent="0.3">
      <c r="A1450">
        <v>1340167</v>
      </c>
      <c r="B1450" t="s">
        <v>184</v>
      </c>
      <c r="C1450" t="s">
        <v>1069</v>
      </c>
      <c r="D1450" t="s">
        <v>1325</v>
      </c>
      <c r="E1450" s="1" t="s">
        <v>1326</v>
      </c>
      <c r="F1450" t="s">
        <v>1158</v>
      </c>
      <c r="G1450" s="2">
        <v>44199.0000462963</v>
      </c>
    </row>
    <row r="1451" spans="1:7" ht="15" customHeight="1" x14ac:dyDescent="0.3">
      <c r="A1451">
        <v>1340166</v>
      </c>
      <c r="B1451" t="s">
        <v>184</v>
      </c>
      <c r="C1451" t="s">
        <v>1069</v>
      </c>
      <c r="D1451" t="s">
        <v>1325</v>
      </c>
      <c r="E1451" s="1" t="s">
        <v>1326</v>
      </c>
      <c r="F1451" t="s">
        <v>1158</v>
      </c>
      <c r="G1451" s="2">
        <v>44199.0000462963</v>
      </c>
    </row>
    <row r="1452" spans="1:7" ht="15" customHeight="1" x14ac:dyDescent="0.3">
      <c r="A1452">
        <v>1340165</v>
      </c>
      <c r="B1452" t="s">
        <v>184</v>
      </c>
      <c r="C1452" t="s">
        <v>1069</v>
      </c>
      <c r="D1452" t="s">
        <v>1325</v>
      </c>
      <c r="E1452" s="1" t="s">
        <v>1326</v>
      </c>
      <c r="F1452" t="s">
        <v>1158</v>
      </c>
      <c r="G1452" s="2">
        <v>44199.0000462963</v>
      </c>
    </row>
    <row r="1453" spans="1:7" ht="15" customHeight="1" x14ac:dyDescent="0.3">
      <c r="A1453">
        <v>1340164</v>
      </c>
      <c r="B1453" t="s">
        <v>184</v>
      </c>
      <c r="C1453" t="s">
        <v>1069</v>
      </c>
      <c r="D1453" t="s">
        <v>1325</v>
      </c>
      <c r="E1453" s="1" t="s">
        <v>1326</v>
      </c>
      <c r="F1453" t="s">
        <v>1158</v>
      </c>
      <c r="G1453" s="2">
        <v>44199.000034722223</v>
      </c>
    </row>
    <row r="1454" spans="1:7" ht="15" customHeight="1" x14ac:dyDescent="0.3">
      <c r="A1454">
        <v>1340163</v>
      </c>
      <c r="B1454" t="s">
        <v>281</v>
      </c>
      <c r="C1454" t="s">
        <v>3174</v>
      </c>
      <c r="D1454" t="s">
        <v>1156</v>
      </c>
      <c r="E1454" s="1" t="s">
        <v>1157</v>
      </c>
      <c r="F1454" t="s">
        <v>1158</v>
      </c>
      <c r="G1454" s="2">
        <v>44199.000034722223</v>
      </c>
    </row>
    <row r="1455" spans="1:7" ht="15" customHeight="1" x14ac:dyDescent="0.3">
      <c r="A1455">
        <v>1340162</v>
      </c>
      <c r="B1455" t="s">
        <v>401</v>
      </c>
      <c r="C1455" t="s">
        <v>402</v>
      </c>
      <c r="D1455" t="s">
        <v>1429</v>
      </c>
      <c r="E1455" s="1" t="s">
        <v>1160</v>
      </c>
      <c r="F1455" t="s">
        <v>1158</v>
      </c>
      <c r="G1455" s="2">
        <v>44199.000023148146</v>
      </c>
    </row>
    <row r="1456" spans="1:7" ht="15" customHeight="1" x14ac:dyDescent="0.3">
      <c r="A1456">
        <v>1340161</v>
      </c>
      <c r="B1456" t="s">
        <v>1264</v>
      </c>
      <c r="C1456" t="s">
        <v>3175</v>
      </c>
      <c r="D1456" t="s">
        <v>1429</v>
      </c>
      <c r="E1456" s="1" t="s">
        <v>1160</v>
      </c>
      <c r="F1456" t="s">
        <v>1158</v>
      </c>
      <c r="G1456" s="2">
        <v>44199.000023148146</v>
      </c>
    </row>
    <row r="1457" spans="1:7" ht="15" customHeight="1" x14ac:dyDescent="0.3">
      <c r="A1457">
        <v>1339713</v>
      </c>
      <c r="B1457" t="s">
        <v>49</v>
      </c>
      <c r="C1457" t="s">
        <v>798</v>
      </c>
      <c r="D1457" t="s">
        <v>1323</v>
      </c>
      <c r="E1457" t="s">
        <v>1324</v>
      </c>
      <c r="F1457" t="s">
        <v>1158</v>
      </c>
      <c r="G1457" s="2">
        <v>44198.000069444446</v>
      </c>
    </row>
    <row r="1458" spans="1:7" ht="15" customHeight="1" x14ac:dyDescent="0.3">
      <c r="A1458">
        <v>1339189</v>
      </c>
      <c r="B1458" t="s">
        <v>53</v>
      </c>
      <c r="C1458" t="s">
        <v>158</v>
      </c>
      <c r="D1458" t="s">
        <v>2613</v>
      </c>
      <c r="E1458" s="1" t="s">
        <v>2614</v>
      </c>
      <c r="F1458" t="s">
        <v>1158</v>
      </c>
      <c r="G1458" s="2">
        <v>44197.000057870369</v>
      </c>
    </row>
    <row r="1459" spans="1:7" ht="15" customHeight="1" x14ac:dyDescent="0.3">
      <c r="A1459">
        <v>1339188</v>
      </c>
      <c r="B1459" t="s">
        <v>53</v>
      </c>
      <c r="C1459" t="s">
        <v>158</v>
      </c>
      <c r="D1459" t="s">
        <v>3176</v>
      </c>
      <c r="E1459" s="1" t="s">
        <v>2614</v>
      </c>
      <c r="F1459" t="s">
        <v>1158</v>
      </c>
      <c r="G1459" s="2">
        <v>44197.000057870369</v>
      </c>
    </row>
    <row r="1460" spans="1:7" ht="15" customHeight="1" x14ac:dyDescent="0.3">
      <c r="A1460">
        <v>1339186</v>
      </c>
      <c r="B1460" t="s">
        <v>1950</v>
      </c>
      <c r="C1460" t="s">
        <v>1951</v>
      </c>
      <c r="D1460" t="s">
        <v>1156</v>
      </c>
      <c r="E1460" s="1" t="s">
        <v>1157</v>
      </c>
      <c r="F1460" t="s">
        <v>1158</v>
      </c>
      <c r="G1460" s="2">
        <v>44197.0000462963</v>
      </c>
    </row>
    <row r="1461" spans="1:7" ht="15" customHeight="1" x14ac:dyDescent="0.3">
      <c r="A1461">
        <v>1339185</v>
      </c>
      <c r="B1461" t="s">
        <v>813</v>
      </c>
      <c r="C1461" t="s">
        <v>814</v>
      </c>
      <c r="D1461" t="s">
        <v>1156</v>
      </c>
      <c r="E1461" s="1" t="s">
        <v>1157</v>
      </c>
      <c r="F1461" t="s">
        <v>1158</v>
      </c>
      <c r="G1461" s="2">
        <v>44197.000034722223</v>
      </c>
    </row>
    <row r="1462" spans="1:7" ht="15" customHeight="1" x14ac:dyDescent="0.3">
      <c r="A1462">
        <v>1338892</v>
      </c>
      <c r="B1462" t="s">
        <v>53</v>
      </c>
      <c r="C1462" t="s">
        <v>54</v>
      </c>
      <c r="D1462" t="s">
        <v>3177</v>
      </c>
      <c r="E1462" s="1" t="s">
        <v>3178</v>
      </c>
      <c r="F1462" t="s">
        <v>11</v>
      </c>
      <c r="G1462" s="2">
        <v>44196.54283564815</v>
      </c>
    </row>
    <row r="1463" spans="1:7" ht="15" customHeight="1" x14ac:dyDescent="0.3">
      <c r="A1463">
        <v>1338875</v>
      </c>
      <c r="B1463" t="s">
        <v>7</v>
      </c>
      <c r="C1463" t="s">
        <v>107</v>
      </c>
      <c r="D1463" t="s">
        <v>737</v>
      </c>
      <c r="E1463" s="1" t="s">
        <v>3179</v>
      </c>
      <c r="F1463" t="s">
        <v>11</v>
      </c>
      <c r="G1463" s="2">
        <v>44196.499768518515</v>
      </c>
    </row>
    <row r="1464" spans="1:7" ht="15" customHeight="1" x14ac:dyDescent="0.3">
      <c r="A1464">
        <v>1338847</v>
      </c>
      <c r="B1464" t="s">
        <v>70</v>
      </c>
      <c r="C1464" t="s">
        <v>369</v>
      </c>
      <c r="D1464" t="s">
        <v>3180</v>
      </c>
      <c r="E1464" s="1" t="s">
        <v>3181</v>
      </c>
      <c r="F1464" t="s">
        <v>11</v>
      </c>
      <c r="G1464" s="2">
        <v>44196.45412037037</v>
      </c>
    </row>
    <row r="1465" spans="1:7" ht="15" customHeight="1" x14ac:dyDescent="0.3">
      <c r="A1465">
        <v>1338830</v>
      </c>
      <c r="B1465" t="s">
        <v>16</v>
      </c>
      <c r="C1465" t="s">
        <v>181</v>
      </c>
      <c r="D1465" t="s">
        <v>3182</v>
      </c>
      <c r="E1465" s="1" t="s">
        <v>3183</v>
      </c>
      <c r="F1465" t="s">
        <v>11</v>
      </c>
      <c r="G1465" s="2">
        <v>44196.433263888888</v>
      </c>
    </row>
    <row r="1466" spans="1:7" ht="15" customHeight="1" x14ac:dyDescent="0.3">
      <c r="A1466">
        <v>1338763</v>
      </c>
      <c r="B1466" t="s">
        <v>3184</v>
      </c>
      <c r="C1466" t="s">
        <v>3185</v>
      </c>
      <c r="D1466" t="s">
        <v>3186</v>
      </c>
      <c r="E1466" s="1" t="s">
        <v>3187</v>
      </c>
      <c r="F1466" t="s">
        <v>11</v>
      </c>
      <c r="G1466" s="2">
        <v>44196.389050925929</v>
      </c>
    </row>
    <row r="1467" spans="1:7" ht="15" customHeight="1" x14ac:dyDescent="0.3">
      <c r="A1467">
        <v>1338762</v>
      </c>
      <c r="B1467" t="s">
        <v>3184</v>
      </c>
      <c r="C1467" t="s">
        <v>3185</v>
      </c>
      <c r="D1467" t="s">
        <v>3188</v>
      </c>
      <c r="E1467" s="1" t="s">
        <v>3189</v>
      </c>
      <c r="F1467" t="s">
        <v>11</v>
      </c>
      <c r="G1467" s="2">
        <v>44196.384328703702</v>
      </c>
    </row>
    <row r="1468" spans="1:7" ht="15" customHeight="1" x14ac:dyDescent="0.3">
      <c r="A1468">
        <v>1338678</v>
      </c>
      <c r="B1468" t="s">
        <v>16</v>
      </c>
      <c r="C1468" t="s">
        <v>649</v>
      </c>
      <c r="D1468" t="s">
        <v>650</v>
      </c>
      <c r="E1468" s="1" t="s">
        <v>3190</v>
      </c>
      <c r="F1468" t="s">
        <v>11</v>
      </c>
      <c r="G1468" s="2">
        <v>44196.318090277775</v>
      </c>
    </row>
    <row r="1469" spans="1:7" ht="15" customHeight="1" x14ac:dyDescent="0.3">
      <c r="A1469">
        <v>1338640</v>
      </c>
      <c r="B1469" t="s">
        <v>540</v>
      </c>
      <c r="C1469" t="s">
        <v>3191</v>
      </c>
      <c r="D1469" t="s">
        <v>3192</v>
      </c>
      <c r="E1469" s="1" t="s">
        <v>3193</v>
      </c>
      <c r="F1469" t="s">
        <v>11</v>
      </c>
      <c r="G1469" s="2">
        <v>44196.142905092594</v>
      </c>
    </row>
    <row r="1470" spans="1:7" ht="15" customHeight="1" x14ac:dyDescent="0.3">
      <c r="A1470">
        <v>1338638</v>
      </c>
      <c r="B1470" t="s">
        <v>7</v>
      </c>
      <c r="C1470" t="s">
        <v>158</v>
      </c>
      <c r="D1470" t="s">
        <v>737</v>
      </c>
      <c r="E1470" s="1" t="s">
        <v>3194</v>
      </c>
      <c r="F1470" t="s">
        <v>11</v>
      </c>
      <c r="G1470" s="2">
        <v>44196.139837962961</v>
      </c>
    </row>
    <row r="1471" spans="1:7" ht="15" customHeight="1" x14ac:dyDescent="0.3">
      <c r="A1471">
        <v>1338581</v>
      </c>
      <c r="B1471" t="s">
        <v>401</v>
      </c>
      <c r="C1471" t="s">
        <v>402</v>
      </c>
      <c r="D1471" t="s">
        <v>1323</v>
      </c>
      <c r="E1471" t="s">
        <v>1324</v>
      </c>
      <c r="F1471" t="s">
        <v>1158</v>
      </c>
      <c r="G1471" s="2">
        <v>44196.000057870369</v>
      </c>
    </row>
    <row r="1472" spans="1:7" ht="15" customHeight="1" x14ac:dyDescent="0.3">
      <c r="A1472">
        <v>1338580</v>
      </c>
      <c r="B1472" t="s">
        <v>813</v>
      </c>
      <c r="C1472" t="s">
        <v>814</v>
      </c>
      <c r="D1472" t="s">
        <v>1323</v>
      </c>
      <c r="E1472" t="s">
        <v>1324</v>
      </c>
      <c r="F1472" t="s">
        <v>1158</v>
      </c>
      <c r="G1472" s="2">
        <v>44196.000057870369</v>
      </c>
    </row>
    <row r="1473" spans="1:7" ht="15" customHeight="1" x14ac:dyDescent="0.3">
      <c r="A1473">
        <v>1338579</v>
      </c>
      <c r="B1473" t="s">
        <v>813</v>
      </c>
      <c r="C1473" t="s">
        <v>814</v>
      </c>
      <c r="D1473" t="s">
        <v>3195</v>
      </c>
      <c r="E1473" s="1" t="s">
        <v>1326</v>
      </c>
      <c r="F1473" t="s">
        <v>1158</v>
      </c>
      <c r="G1473" s="2">
        <v>44196.0000462963</v>
      </c>
    </row>
    <row r="1474" spans="1:7" ht="15" customHeight="1" x14ac:dyDescent="0.3">
      <c r="A1474">
        <v>1338578</v>
      </c>
      <c r="B1474" t="s">
        <v>230</v>
      </c>
      <c r="C1474" t="s">
        <v>977</v>
      </c>
      <c r="D1474" t="s">
        <v>1156</v>
      </c>
      <c r="E1474" s="1" t="s">
        <v>1157</v>
      </c>
      <c r="F1474" t="s">
        <v>1158</v>
      </c>
      <c r="G1474" s="2">
        <v>44196.000034722223</v>
      </c>
    </row>
    <row r="1475" spans="1:7" ht="15" customHeight="1" x14ac:dyDescent="0.3">
      <c r="A1475">
        <v>1338577</v>
      </c>
      <c r="B1475" t="s">
        <v>2134</v>
      </c>
      <c r="C1475" t="s">
        <v>2135</v>
      </c>
      <c r="D1475" t="s">
        <v>3196</v>
      </c>
      <c r="E1475" s="1" t="s">
        <v>1157</v>
      </c>
      <c r="F1475" t="s">
        <v>1158</v>
      </c>
      <c r="G1475" s="2">
        <v>44196.000034722223</v>
      </c>
    </row>
    <row r="1476" spans="1:7" ht="15" customHeight="1" x14ac:dyDescent="0.3">
      <c r="A1476">
        <v>1338312</v>
      </c>
      <c r="B1476" t="s">
        <v>16</v>
      </c>
      <c r="C1476" t="s">
        <v>649</v>
      </c>
      <c r="D1476" t="s">
        <v>3197</v>
      </c>
      <c r="E1476" s="1" t="s">
        <v>3198</v>
      </c>
      <c r="F1476" t="s">
        <v>11</v>
      </c>
      <c r="G1476" s="2">
        <v>44195.630509259259</v>
      </c>
    </row>
    <row r="1477" spans="1:7" ht="15" customHeight="1" x14ac:dyDescent="0.3">
      <c r="A1477">
        <v>1338296</v>
      </c>
      <c r="B1477" t="s">
        <v>7</v>
      </c>
      <c r="C1477" t="s">
        <v>158</v>
      </c>
      <c r="D1477" t="s">
        <v>737</v>
      </c>
      <c r="E1477" s="1" t="s">
        <v>3199</v>
      </c>
      <c r="F1477" t="s">
        <v>11</v>
      </c>
      <c r="G1477" s="2">
        <v>44195.562638888892</v>
      </c>
    </row>
    <row r="1478" spans="1:7" ht="15" customHeight="1" x14ac:dyDescent="0.3">
      <c r="A1478">
        <v>1338290</v>
      </c>
      <c r="B1478" t="s">
        <v>20</v>
      </c>
      <c r="C1478" t="s">
        <v>136</v>
      </c>
      <c r="D1478" t="s">
        <v>3200</v>
      </c>
      <c r="E1478" s="1" t="s">
        <v>3201</v>
      </c>
      <c r="F1478" t="s">
        <v>11</v>
      </c>
      <c r="G1478" s="2">
        <v>44195.528298611112</v>
      </c>
    </row>
    <row r="1479" spans="1:7" ht="15" customHeight="1" x14ac:dyDescent="0.3">
      <c r="A1479">
        <v>1338275</v>
      </c>
      <c r="B1479" t="s">
        <v>431</v>
      </c>
      <c r="C1479" t="s">
        <v>432</v>
      </c>
      <c r="D1479" t="s">
        <v>3202</v>
      </c>
      <c r="E1479" s="1" t="s">
        <v>3203</v>
      </c>
      <c r="F1479" t="s">
        <v>11</v>
      </c>
      <c r="G1479" s="2">
        <v>44195.478981481479</v>
      </c>
    </row>
    <row r="1480" spans="1:7" ht="15" customHeight="1" x14ac:dyDescent="0.3">
      <c r="A1480">
        <v>1338268</v>
      </c>
      <c r="B1480" t="s">
        <v>20</v>
      </c>
      <c r="C1480" t="s">
        <v>3204</v>
      </c>
      <c r="D1480" t="s">
        <v>3205</v>
      </c>
      <c r="E1480" s="1" t="s">
        <v>3206</v>
      </c>
      <c r="F1480" t="s">
        <v>24</v>
      </c>
      <c r="G1480" s="2">
        <v>44195.459108796298</v>
      </c>
    </row>
    <row r="1481" spans="1:7" ht="15" customHeight="1" x14ac:dyDescent="0.3">
      <c r="A1481">
        <v>1338263</v>
      </c>
      <c r="B1481" t="s">
        <v>184</v>
      </c>
      <c r="C1481" t="s">
        <v>3207</v>
      </c>
      <c r="D1481" t="s">
        <v>3208</v>
      </c>
      <c r="E1481" s="1" t="s">
        <v>3209</v>
      </c>
      <c r="F1481" t="s">
        <v>11</v>
      </c>
      <c r="G1481" s="2">
        <v>44195.446516203701</v>
      </c>
    </row>
    <row r="1482" spans="1:7" ht="15" customHeight="1" x14ac:dyDescent="0.3">
      <c r="A1482">
        <v>1338249</v>
      </c>
      <c r="B1482" t="s">
        <v>184</v>
      </c>
      <c r="C1482" t="s">
        <v>3207</v>
      </c>
      <c r="D1482" t="s">
        <v>3210</v>
      </c>
      <c r="E1482" s="1" t="s">
        <v>3211</v>
      </c>
      <c r="F1482" t="s">
        <v>11</v>
      </c>
      <c r="G1482" s="2">
        <v>44195.443923611114</v>
      </c>
    </row>
    <row r="1483" spans="1:7" ht="15" customHeight="1" x14ac:dyDescent="0.3">
      <c r="A1483">
        <v>1338247</v>
      </c>
      <c r="B1483" t="s">
        <v>184</v>
      </c>
      <c r="C1483" t="s">
        <v>3207</v>
      </c>
      <c r="D1483" t="s">
        <v>3212</v>
      </c>
      <c r="E1483" s="1" t="s">
        <v>3213</v>
      </c>
      <c r="F1483" t="s">
        <v>11</v>
      </c>
      <c r="G1483" s="2">
        <v>44195.441076388888</v>
      </c>
    </row>
    <row r="1484" spans="1:7" ht="15" customHeight="1" x14ac:dyDescent="0.3">
      <c r="A1484">
        <v>1338209</v>
      </c>
      <c r="B1484" t="s">
        <v>7</v>
      </c>
      <c r="C1484" t="s">
        <v>366</v>
      </c>
      <c r="D1484" t="s">
        <v>3214</v>
      </c>
      <c r="E1484" s="1" t="s">
        <v>3215</v>
      </c>
      <c r="F1484" t="s">
        <v>24</v>
      </c>
      <c r="G1484" s="2">
        <v>44195.414212962962</v>
      </c>
    </row>
    <row r="1485" spans="1:7" ht="15" customHeight="1" x14ac:dyDescent="0.3">
      <c r="A1485">
        <v>1338186</v>
      </c>
      <c r="B1485" t="s">
        <v>545</v>
      </c>
      <c r="C1485" t="s">
        <v>3216</v>
      </c>
      <c r="D1485" t="s">
        <v>3217</v>
      </c>
      <c r="E1485" s="1" t="s">
        <v>3218</v>
      </c>
      <c r="F1485" t="s">
        <v>24</v>
      </c>
      <c r="G1485" s="2">
        <v>44195.396817129629</v>
      </c>
    </row>
    <row r="1486" spans="1:7" ht="15" customHeight="1" x14ac:dyDescent="0.3">
      <c r="A1486">
        <v>1338185</v>
      </c>
      <c r="B1486" t="s">
        <v>53</v>
      </c>
      <c r="C1486" t="s">
        <v>158</v>
      </c>
      <c r="D1486" t="s">
        <v>3219</v>
      </c>
      <c r="E1486" s="1" t="s">
        <v>3220</v>
      </c>
      <c r="F1486" t="s">
        <v>11</v>
      </c>
      <c r="G1486" s="2">
        <v>44195.395740740743</v>
      </c>
    </row>
    <row r="1487" spans="1:7" ht="15" customHeight="1" x14ac:dyDescent="0.3">
      <c r="A1487">
        <v>1338183</v>
      </c>
      <c r="B1487" t="s">
        <v>36</v>
      </c>
      <c r="C1487" t="s">
        <v>762</v>
      </c>
      <c r="D1487" t="s">
        <v>3221</v>
      </c>
      <c r="E1487" s="1" t="s">
        <v>3222</v>
      </c>
      <c r="F1487" t="s">
        <v>24</v>
      </c>
      <c r="G1487" s="2">
        <v>44195.392696759256</v>
      </c>
    </row>
    <row r="1488" spans="1:7" ht="15" customHeight="1" x14ac:dyDescent="0.3">
      <c r="A1488">
        <v>1338182</v>
      </c>
      <c r="B1488" t="s">
        <v>20</v>
      </c>
      <c r="C1488" t="s">
        <v>2177</v>
      </c>
      <c r="D1488" t="s">
        <v>3223</v>
      </c>
      <c r="E1488" s="1" t="s">
        <v>3224</v>
      </c>
      <c r="F1488" t="s">
        <v>11</v>
      </c>
      <c r="G1488" s="2">
        <v>44195.388032407405</v>
      </c>
    </row>
    <row r="1489" spans="1:7" ht="15" customHeight="1" x14ac:dyDescent="0.3">
      <c r="A1489">
        <v>1338181</v>
      </c>
      <c r="B1489" t="s">
        <v>2221</v>
      </c>
      <c r="C1489" t="s">
        <v>2222</v>
      </c>
      <c r="D1489" t="s">
        <v>3225</v>
      </c>
      <c r="E1489" s="1" t="s">
        <v>3226</v>
      </c>
      <c r="F1489" t="s">
        <v>24</v>
      </c>
      <c r="G1489" s="2">
        <v>44195.387858796297</v>
      </c>
    </row>
    <row r="1490" spans="1:7" ht="15" customHeight="1" x14ac:dyDescent="0.3">
      <c r="A1490">
        <v>1338180</v>
      </c>
      <c r="B1490" t="s">
        <v>177</v>
      </c>
      <c r="C1490" t="s">
        <v>178</v>
      </c>
      <c r="D1490" t="s">
        <v>3227</v>
      </c>
      <c r="E1490" s="1" t="s">
        <v>3228</v>
      </c>
      <c r="F1490" t="s">
        <v>11</v>
      </c>
      <c r="G1490" s="2">
        <v>44195.38554398148</v>
      </c>
    </row>
    <row r="1491" spans="1:7" ht="15" customHeight="1" x14ac:dyDescent="0.3">
      <c r="A1491">
        <v>1337987</v>
      </c>
      <c r="B1491" t="s">
        <v>3229</v>
      </c>
      <c r="C1491" t="s">
        <v>3230</v>
      </c>
      <c r="D1491" t="s">
        <v>3231</v>
      </c>
      <c r="E1491" s="1" t="s">
        <v>1326</v>
      </c>
      <c r="F1491" t="s">
        <v>1158</v>
      </c>
      <c r="G1491" s="2">
        <v>44195.000034722223</v>
      </c>
    </row>
    <row r="1492" spans="1:7" ht="15" customHeight="1" x14ac:dyDescent="0.3">
      <c r="A1492">
        <v>1337685</v>
      </c>
      <c r="B1492" t="s">
        <v>860</v>
      </c>
      <c r="C1492" t="s">
        <v>861</v>
      </c>
      <c r="D1492" t="s">
        <v>3232</v>
      </c>
      <c r="E1492" s="1" t="s">
        <v>3233</v>
      </c>
      <c r="F1492" t="s">
        <v>11</v>
      </c>
      <c r="G1492" s="2">
        <v>44194.649745370371</v>
      </c>
    </row>
    <row r="1493" spans="1:7" ht="15" customHeight="1" x14ac:dyDescent="0.3">
      <c r="A1493">
        <v>1337683</v>
      </c>
      <c r="B1493" t="s">
        <v>45</v>
      </c>
      <c r="C1493" t="s">
        <v>483</v>
      </c>
      <c r="D1493" t="s">
        <v>3234</v>
      </c>
      <c r="E1493" s="1" t="s">
        <v>3235</v>
      </c>
      <c r="F1493" t="s">
        <v>11</v>
      </c>
      <c r="G1493" s="2">
        <v>44194.638969907406</v>
      </c>
    </row>
    <row r="1494" spans="1:7" ht="15" customHeight="1" x14ac:dyDescent="0.3">
      <c r="A1494">
        <v>1337662</v>
      </c>
      <c r="B1494" t="s">
        <v>16</v>
      </c>
      <c r="C1494" t="s">
        <v>3236</v>
      </c>
      <c r="D1494" t="s">
        <v>3237</v>
      </c>
      <c r="E1494" s="1" t="s">
        <v>3238</v>
      </c>
      <c r="F1494" t="s">
        <v>11</v>
      </c>
      <c r="G1494" s="2">
        <v>44194.537245370368</v>
      </c>
    </row>
    <row r="1495" spans="1:7" ht="15" customHeight="1" x14ac:dyDescent="0.3">
      <c r="A1495">
        <v>1337657</v>
      </c>
      <c r="B1495" t="s">
        <v>7</v>
      </c>
      <c r="C1495" t="s">
        <v>158</v>
      </c>
      <c r="D1495" t="s">
        <v>737</v>
      </c>
      <c r="E1495" s="1" t="s">
        <v>3239</v>
      </c>
      <c r="F1495" t="s">
        <v>11</v>
      </c>
      <c r="G1495" s="2">
        <v>44194.502291666664</v>
      </c>
    </row>
    <row r="1496" spans="1:7" ht="15" customHeight="1" x14ac:dyDescent="0.3">
      <c r="A1496">
        <v>1337653</v>
      </c>
      <c r="B1496" t="s">
        <v>36</v>
      </c>
      <c r="C1496" t="s">
        <v>2622</v>
      </c>
      <c r="D1496" t="s">
        <v>3240</v>
      </c>
      <c r="E1496" s="1" t="s">
        <v>3241</v>
      </c>
      <c r="F1496" t="s">
        <v>24</v>
      </c>
      <c r="G1496" s="2">
        <v>44194.491620370369</v>
      </c>
    </row>
    <row r="1497" spans="1:7" ht="15" customHeight="1" x14ac:dyDescent="0.3">
      <c r="A1497">
        <v>1337652</v>
      </c>
      <c r="B1497" t="s">
        <v>1052</v>
      </c>
      <c r="C1497" t="s">
        <v>1053</v>
      </c>
      <c r="D1497" t="s">
        <v>3242</v>
      </c>
      <c r="E1497" s="1" t="s">
        <v>3243</v>
      </c>
      <c r="F1497" t="s">
        <v>11</v>
      </c>
      <c r="G1497" s="2">
        <v>44194.482129629629</v>
      </c>
    </row>
    <row r="1498" spans="1:7" ht="15" customHeight="1" x14ac:dyDescent="0.3">
      <c r="A1498">
        <v>1337648</v>
      </c>
      <c r="B1498" t="s">
        <v>177</v>
      </c>
      <c r="C1498" t="s">
        <v>178</v>
      </c>
      <c r="D1498" t="s">
        <v>3244</v>
      </c>
      <c r="E1498" s="1" t="s">
        <v>3245</v>
      </c>
      <c r="F1498" t="s">
        <v>24</v>
      </c>
      <c r="G1498" s="2">
        <v>44194.474097222221</v>
      </c>
    </row>
    <row r="1499" spans="1:7" ht="15" customHeight="1" x14ac:dyDescent="0.3">
      <c r="A1499">
        <v>1337410</v>
      </c>
      <c r="B1499" t="s">
        <v>7</v>
      </c>
      <c r="C1499" t="s">
        <v>158</v>
      </c>
      <c r="D1499" t="s">
        <v>737</v>
      </c>
      <c r="E1499" s="1" t="s">
        <v>3246</v>
      </c>
      <c r="F1499" t="s">
        <v>11</v>
      </c>
      <c r="G1499" s="2">
        <v>44194.144594907404</v>
      </c>
    </row>
    <row r="1500" spans="1:7" ht="15" customHeight="1" x14ac:dyDescent="0.3">
      <c r="A1500">
        <v>1337398</v>
      </c>
      <c r="B1500" t="s">
        <v>7</v>
      </c>
      <c r="C1500" t="s">
        <v>158</v>
      </c>
      <c r="D1500" t="s">
        <v>737</v>
      </c>
      <c r="E1500" s="1" t="s">
        <v>3247</v>
      </c>
      <c r="F1500" t="s">
        <v>11</v>
      </c>
      <c r="G1500" s="2">
        <v>44194.087719907409</v>
      </c>
    </row>
    <row r="1501" spans="1:7" ht="15" customHeight="1" x14ac:dyDescent="0.3">
      <c r="A1501">
        <v>1337343</v>
      </c>
      <c r="B1501" t="s">
        <v>860</v>
      </c>
      <c r="C1501" t="s">
        <v>861</v>
      </c>
      <c r="D1501" t="s">
        <v>1156</v>
      </c>
      <c r="E1501" s="1" t="s">
        <v>1157</v>
      </c>
      <c r="F1501" t="s">
        <v>1158</v>
      </c>
      <c r="G1501" s="2">
        <v>44194.000034722223</v>
      </c>
    </row>
    <row r="1502" spans="1:7" ht="15" customHeight="1" x14ac:dyDescent="0.3">
      <c r="A1502">
        <v>1337342</v>
      </c>
      <c r="B1502" t="s">
        <v>3248</v>
      </c>
      <c r="C1502" t="s">
        <v>3249</v>
      </c>
      <c r="D1502" t="s">
        <v>1156</v>
      </c>
      <c r="E1502" s="1" t="s">
        <v>1157</v>
      </c>
      <c r="F1502" t="s">
        <v>1158</v>
      </c>
      <c r="G1502" s="2">
        <v>44194.000034722223</v>
      </c>
    </row>
    <row r="1503" spans="1:7" ht="15" customHeight="1" x14ac:dyDescent="0.3">
      <c r="A1503">
        <v>1337341</v>
      </c>
      <c r="B1503" t="s">
        <v>545</v>
      </c>
      <c r="C1503" t="s">
        <v>1058</v>
      </c>
      <c r="D1503" t="s">
        <v>1429</v>
      </c>
      <c r="E1503" s="1" t="s">
        <v>1160</v>
      </c>
      <c r="F1503" t="s">
        <v>1158</v>
      </c>
      <c r="G1503" s="2">
        <v>44194.000023148146</v>
      </c>
    </row>
    <row r="1504" spans="1:7" ht="15" customHeight="1" x14ac:dyDescent="0.3">
      <c r="A1504">
        <v>1337340</v>
      </c>
      <c r="B1504" t="s">
        <v>545</v>
      </c>
      <c r="C1504" t="s">
        <v>1058</v>
      </c>
      <c r="D1504" t="s">
        <v>1429</v>
      </c>
      <c r="E1504" s="1" t="s">
        <v>1160</v>
      </c>
      <c r="F1504" t="s">
        <v>1158</v>
      </c>
      <c r="G1504" s="2">
        <v>44194.000023148146</v>
      </c>
    </row>
    <row r="1505" spans="1:7" ht="15" customHeight="1" x14ac:dyDescent="0.3">
      <c r="A1505">
        <v>1337035</v>
      </c>
      <c r="B1505" t="s">
        <v>191</v>
      </c>
      <c r="C1505" t="s">
        <v>3250</v>
      </c>
      <c r="D1505" t="s">
        <v>3251</v>
      </c>
      <c r="E1505" s="1" t="s">
        <v>3252</v>
      </c>
      <c r="F1505" t="s">
        <v>11</v>
      </c>
      <c r="G1505" s="2">
        <v>44193.666273148148</v>
      </c>
    </row>
    <row r="1506" spans="1:7" ht="15" customHeight="1" x14ac:dyDescent="0.3">
      <c r="A1506">
        <v>1337026</v>
      </c>
      <c r="B1506" t="s">
        <v>431</v>
      </c>
      <c r="C1506" t="s">
        <v>3253</v>
      </c>
      <c r="D1506" t="s">
        <v>3254</v>
      </c>
      <c r="E1506" s="1" t="s">
        <v>3255</v>
      </c>
      <c r="F1506" t="s">
        <v>11</v>
      </c>
      <c r="G1506" s="2">
        <v>44193.650289351855</v>
      </c>
    </row>
    <row r="1507" spans="1:7" ht="15" customHeight="1" x14ac:dyDescent="0.3">
      <c r="A1507">
        <v>1337022</v>
      </c>
      <c r="B1507" t="s">
        <v>87</v>
      </c>
      <c r="C1507" t="s">
        <v>1153</v>
      </c>
      <c r="D1507" t="s">
        <v>3256</v>
      </c>
      <c r="E1507" s="1" t="s">
        <v>3257</v>
      </c>
      <c r="F1507" t="s">
        <v>11</v>
      </c>
      <c r="G1507" s="2">
        <v>44193.649548611109</v>
      </c>
    </row>
    <row r="1508" spans="1:7" ht="15" customHeight="1" x14ac:dyDescent="0.3">
      <c r="A1508">
        <v>1337017</v>
      </c>
      <c r="B1508" t="s">
        <v>2600</v>
      </c>
      <c r="C1508" t="s">
        <v>2601</v>
      </c>
      <c r="D1508" t="s">
        <v>3258</v>
      </c>
      <c r="E1508" s="1" t="s">
        <v>3259</v>
      </c>
      <c r="F1508" t="s">
        <v>11</v>
      </c>
      <c r="G1508" s="2">
        <v>44193.635081018518</v>
      </c>
    </row>
    <row r="1509" spans="1:7" ht="15" customHeight="1" x14ac:dyDescent="0.3">
      <c r="A1509">
        <v>1337004</v>
      </c>
      <c r="B1509" t="s">
        <v>7</v>
      </c>
      <c r="C1509" t="s">
        <v>158</v>
      </c>
      <c r="D1509" t="s">
        <v>737</v>
      </c>
      <c r="E1509" s="1" t="s">
        <v>3260</v>
      </c>
      <c r="F1509" t="s">
        <v>11</v>
      </c>
      <c r="G1509" s="2">
        <v>44193.567511574074</v>
      </c>
    </row>
    <row r="1510" spans="1:7" ht="15" customHeight="1" x14ac:dyDescent="0.3">
      <c r="A1510">
        <v>1337002</v>
      </c>
      <c r="B1510" t="s">
        <v>7</v>
      </c>
      <c r="C1510" t="s">
        <v>158</v>
      </c>
      <c r="D1510" t="s">
        <v>737</v>
      </c>
      <c r="E1510" s="1" t="s">
        <v>3261</v>
      </c>
      <c r="F1510" t="s">
        <v>11</v>
      </c>
      <c r="G1510" s="2">
        <v>44193.564791666664</v>
      </c>
    </row>
    <row r="1511" spans="1:7" ht="15" customHeight="1" x14ac:dyDescent="0.3">
      <c r="A1511">
        <v>1336992</v>
      </c>
      <c r="B1511" t="s">
        <v>53</v>
      </c>
      <c r="C1511" t="s">
        <v>2677</v>
      </c>
      <c r="D1511" t="s">
        <v>3262</v>
      </c>
      <c r="E1511" s="1" t="s">
        <v>3263</v>
      </c>
      <c r="F1511" t="s">
        <v>24</v>
      </c>
      <c r="G1511" s="2">
        <v>44193.523981481485</v>
      </c>
    </row>
    <row r="1512" spans="1:7" ht="15" customHeight="1" x14ac:dyDescent="0.3">
      <c r="A1512">
        <v>1336991</v>
      </c>
      <c r="B1512" t="s">
        <v>431</v>
      </c>
      <c r="C1512" t="s">
        <v>432</v>
      </c>
      <c r="D1512" t="s">
        <v>3264</v>
      </c>
      <c r="E1512" s="1" t="s">
        <v>3265</v>
      </c>
      <c r="F1512" t="s">
        <v>11</v>
      </c>
      <c r="G1512" s="2">
        <v>44193.516145833331</v>
      </c>
    </row>
    <row r="1513" spans="1:7" ht="15" customHeight="1" x14ac:dyDescent="0.3">
      <c r="A1513">
        <v>1336953</v>
      </c>
      <c r="B1513" t="s">
        <v>7</v>
      </c>
      <c r="C1513" t="s">
        <v>158</v>
      </c>
      <c r="D1513" t="s">
        <v>737</v>
      </c>
      <c r="E1513" s="1" t="s">
        <v>3266</v>
      </c>
      <c r="F1513" t="s">
        <v>11</v>
      </c>
      <c r="G1513" s="2">
        <v>44193.447442129633</v>
      </c>
    </row>
    <row r="1514" spans="1:7" ht="15" customHeight="1" x14ac:dyDescent="0.3">
      <c r="A1514">
        <v>1336910</v>
      </c>
      <c r="B1514" t="s">
        <v>157</v>
      </c>
      <c r="C1514" t="s">
        <v>3267</v>
      </c>
      <c r="D1514" t="s">
        <v>3268</v>
      </c>
      <c r="E1514" t="s">
        <v>3269</v>
      </c>
      <c r="F1514" t="s">
        <v>24</v>
      </c>
      <c r="G1514" s="2">
        <v>44193.420185185183</v>
      </c>
    </row>
    <row r="1515" spans="1:7" ht="15" customHeight="1" x14ac:dyDescent="0.3">
      <c r="A1515">
        <v>1336715</v>
      </c>
      <c r="B1515" t="s">
        <v>3270</v>
      </c>
      <c r="C1515" t="s">
        <v>3271</v>
      </c>
      <c r="D1515" t="s">
        <v>3272</v>
      </c>
      <c r="E1515" s="1" t="s">
        <v>3273</v>
      </c>
      <c r="F1515" t="s">
        <v>11</v>
      </c>
      <c r="G1515" s="2">
        <v>44193.309050925927</v>
      </c>
    </row>
    <row r="1516" spans="1:7" ht="15" customHeight="1" x14ac:dyDescent="0.3">
      <c r="A1516">
        <v>1336714</v>
      </c>
      <c r="B1516" t="s">
        <v>3270</v>
      </c>
      <c r="C1516" t="s">
        <v>3271</v>
      </c>
      <c r="D1516" t="s">
        <v>3274</v>
      </c>
      <c r="E1516" s="1" t="s">
        <v>3275</v>
      </c>
      <c r="F1516" t="s">
        <v>11</v>
      </c>
      <c r="G1516" s="2">
        <v>44193.308912037035</v>
      </c>
    </row>
    <row r="1517" spans="1:7" ht="15" customHeight="1" x14ac:dyDescent="0.3">
      <c r="A1517">
        <v>1336580</v>
      </c>
      <c r="B1517" t="s">
        <v>36</v>
      </c>
      <c r="C1517" t="s">
        <v>1342</v>
      </c>
      <c r="D1517" t="s">
        <v>1156</v>
      </c>
      <c r="E1517" s="1" t="s">
        <v>1157</v>
      </c>
      <c r="F1517" t="s">
        <v>1158</v>
      </c>
      <c r="G1517" s="2">
        <v>44193.0000462963</v>
      </c>
    </row>
    <row r="1518" spans="1:7" ht="15" customHeight="1" x14ac:dyDescent="0.3">
      <c r="A1518">
        <v>1336579</v>
      </c>
      <c r="B1518" t="s">
        <v>36</v>
      </c>
      <c r="C1518" t="s">
        <v>1342</v>
      </c>
      <c r="D1518" t="s">
        <v>1156</v>
      </c>
      <c r="E1518" s="1" t="s">
        <v>1157</v>
      </c>
      <c r="F1518" t="s">
        <v>1158</v>
      </c>
      <c r="G1518" s="2">
        <v>44193.000034722223</v>
      </c>
    </row>
    <row r="1519" spans="1:7" ht="15" customHeight="1" x14ac:dyDescent="0.3">
      <c r="A1519">
        <v>1336578</v>
      </c>
      <c r="B1519" t="s">
        <v>545</v>
      </c>
      <c r="C1519" t="s">
        <v>1058</v>
      </c>
      <c r="D1519" t="s">
        <v>1156</v>
      </c>
      <c r="E1519" s="1" t="s">
        <v>1157</v>
      </c>
      <c r="F1519" t="s">
        <v>1158</v>
      </c>
      <c r="G1519" s="2">
        <v>44193.000034722223</v>
      </c>
    </row>
    <row r="1520" spans="1:7" ht="15" customHeight="1" x14ac:dyDescent="0.3">
      <c r="A1520">
        <v>1336577</v>
      </c>
      <c r="B1520" t="s">
        <v>16</v>
      </c>
      <c r="C1520" t="s">
        <v>394</v>
      </c>
      <c r="D1520" t="s">
        <v>1429</v>
      </c>
      <c r="E1520" s="1" t="s">
        <v>1160</v>
      </c>
      <c r="F1520" t="s">
        <v>1158</v>
      </c>
      <c r="G1520" s="2">
        <v>44193.000023148146</v>
      </c>
    </row>
    <row r="1521" spans="1:7" ht="15" customHeight="1" x14ac:dyDescent="0.3">
      <c r="A1521">
        <v>1336036</v>
      </c>
      <c r="B1521" t="s">
        <v>3276</v>
      </c>
      <c r="C1521" t="s">
        <v>3277</v>
      </c>
      <c r="D1521" t="s">
        <v>1429</v>
      </c>
      <c r="E1521" s="1" t="s">
        <v>1160</v>
      </c>
      <c r="F1521" t="s">
        <v>1158</v>
      </c>
      <c r="G1521" s="2">
        <v>44192.000081018516</v>
      </c>
    </row>
    <row r="1522" spans="1:7" ht="15" customHeight="1" x14ac:dyDescent="0.3">
      <c r="A1522">
        <v>1336035</v>
      </c>
      <c r="B1522" t="s">
        <v>53</v>
      </c>
      <c r="C1522" t="s">
        <v>158</v>
      </c>
      <c r="D1522" t="s">
        <v>1429</v>
      </c>
      <c r="E1522" s="1" t="s">
        <v>1160</v>
      </c>
      <c r="F1522" t="s">
        <v>1158</v>
      </c>
      <c r="G1522" s="2">
        <v>44192.000069444446</v>
      </c>
    </row>
    <row r="1523" spans="1:7" ht="15" customHeight="1" x14ac:dyDescent="0.3">
      <c r="A1523">
        <v>1335839</v>
      </c>
      <c r="B1523" t="s">
        <v>982</v>
      </c>
      <c r="C1523" t="s">
        <v>1892</v>
      </c>
      <c r="D1523" t="s">
        <v>3278</v>
      </c>
      <c r="E1523" s="1" t="s">
        <v>3279</v>
      </c>
      <c r="F1523" t="s">
        <v>11</v>
      </c>
      <c r="G1523" s="2">
        <v>44191.489166666666</v>
      </c>
    </row>
    <row r="1524" spans="1:7" ht="15" customHeight="1" x14ac:dyDescent="0.3">
      <c r="A1524">
        <v>1335564</v>
      </c>
      <c r="B1524" t="s">
        <v>1851</v>
      </c>
      <c r="C1524" t="s">
        <v>1852</v>
      </c>
      <c r="D1524" t="s">
        <v>3280</v>
      </c>
      <c r="E1524" t="s">
        <v>1324</v>
      </c>
      <c r="F1524" t="s">
        <v>1158</v>
      </c>
      <c r="G1524" s="2">
        <v>44191.000023148146</v>
      </c>
    </row>
    <row r="1525" spans="1:7" ht="15" customHeight="1" x14ac:dyDescent="0.3">
      <c r="A1525">
        <v>1335157</v>
      </c>
      <c r="B1525" t="s">
        <v>16</v>
      </c>
      <c r="C1525" t="s">
        <v>181</v>
      </c>
      <c r="D1525" t="s">
        <v>3281</v>
      </c>
      <c r="E1525" s="1" t="s">
        <v>1326</v>
      </c>
      <c r="F1525" t="s">
        <v>1158</v>
      </c>
      <c r="G1525" s="2">
        <v>44190.0000462963</v>
      </c>
    </row>
    <row r="1526" spans="1:7" ht="15" customHeight="1" x14ac:dyDescent="0.3">
      <c r="A1526">
        <v>1335156</v>
      </c>
      <c r="B1526" t="s">
        <v>1714</v>
      </c>
      <c r="C1526" t="s">
        <v>1715</v>
      </c>
      <c r="D1526" t="s">
        <v>1325</v>
      </c>
      <c r="E1526" s="1" t="s">
        <v>1326</v>
      </c>
      <c r="F1526" t="s">
        <v>1158</v>
      </c>
      <c r="G1526" s="2">
        <v>44190.000034722223</v>
      </c>
    </row>
    <row r="1527" spans="1:7" ht="15" customHeight="1" x14ac:dyDescent="0.3">
      <c r="A1527">
        <v>1335155</v>
      </c>
      <c r="B1527" t="s">
        <v>1714</v>
      </c>
      <c r="C1527" t="s">
        <v>1715</v>
      </c>
      <c r="D1527" t="s">
        <v>1325</v>
      </c>
      <c r="E1527" s="1" t="s">
        <v>1326</v>
      </c>
      <c r="F1527" t="s">
        <v>1158</v>
      </c>
      <c r="G1527" s="2">
        <v>44190.000034722223</v>
      </c>
    </row>
    <row r="1528" spans="1:7" ht="15" customHeight="1" x14ac:dyDescent="0.3">
      <c r="A1528">
        <v>1335154</v>
      </c>
      <c r="B1528" t="s">
        <v>3282</v>
      </c>
      <c r="C1528" t="s">
        <v>3283</v>
      </c>
      <c r="D1528" t="s">
        <v>1429</v>
      </c>
      <c r="E1528" s="1" t="s">
        <v>1160</v>
      </c>
      <c r="F1528" t="s">
        <v>1158</v>
      </c>
      <c r="G1528" s="2">
        <v>44190.000023148146</v>
      </c>
    </row>
    <row r="1529" spans="1:7" ht="15" customHeight="1" x14ac:dyDescent="0.3">
      <c r="A1529">
        <v>1335153</v>
      </c>
      <c r="B1529" t="s">
        <v>2844</v>
      </c>
      <c r="C1529" t="s">
        <v>2845</v>
      </c>
      <c r="D1529" t="s">
        <v>1429</v>
      </c>
      <c r="E1529" s="1" t="s">
        <v>1160</v>
      </c>
      <c r="F1529" t="s">
        <v>1158</v>
      </c>
      <c r="G1529" s="2">
        <v>44190.000023148146</v>
      </c>
    </row>
    <row r="1530" spans="1:7" ht="15" customHeight="1" x14ac:dyDescent="0.3">
      <c r="A1530">
        <v>1334876</v>
      </c>
      <c r="B1530" t="s">
        <v>36</v>
      </c>
      <c r="C1530" t="s">
        <v>1666</v>
      </c>
      <c r="D1530" t="s">
        <v>3284</v>
      </c>
      <c r="E1530" s="1" t="s">
        <v>3285</v>
      </c>
      <c r="F1530" t="s">
        <v>11</v>
      </c>
      <c r="G1530" s="2">
        <v>44189.570671296293</v>
      </c>
    </row>
    <row r="1531" spans="1:7" ht="15" customHeight="1" x14ac:dyDescent="0.3">
      <c r="A1531">
        <v>1334754</v>
      </c>
      <c r="B1531" t="s">
        <v>7</v>
      </c>
      <c r="C1531" t="s">
        <v>158</v>
      </c>
      <c r="D1531" t="s">
        <v>3286</v>
      </c>
      <c r="E1531" s="1" t="s">
        <v>3287</v>
      </c>
      <c r="F1531" t="s">
        <v>11</v>
      </c>
      <c r="G1531" s="2">
        <v>44189.155763888892</v>
      </c>
    </row>
    <row r="1532" spans="1:7" ht="15" customHeight="1" x14ac:dyDescent="0.3">
      <c r="A1532">
        <v>1334740</v>
      </c>
      <c r="B1532" t="s">
        <v>503</v>
      </c>
      <c r="D1532" t="s">
        <v>737</v>
      </c>
      <c r="E1532" s="1" t="s">
        <v>3288</v>
      </c>
      <c r="F1532" t="s">
        <v>11</v>
      </c>
      <c r="G1532" s="2">
        <v>44189.109201388892</v>
      </c>
    </row>
    <row r="1533" spans="1:7" ht="15" customHeight="1" x14ac:dyDescent="0.3">
      <c r="A1533">
        <v>1334739</v>
      </c>
      <c r="B1533" t="s">
        <v>503</v>
      </c>
      <c r="D1533" t="s">
        <v>737</v>
      </c>
      <c r="E1533" s="1" t="s">
        <v>3289</v>
      </c>
      <c r="F1533" t="s">
        <v>11</v>
      </c>
      <c r="G1533" s="2">
        <v>44189.108483796299</v>
      </c>
    </row>
    <row r="1534" spans="1:7" ht="15" customHeight="1" x14ac:dyDescent="0.3">
      <c r="A1534">
        <v>1334738</v>
      </c>
      <c r="B1534" t="s">
        <v>503</v>
      </c>
      <c r="D1534" t="s">
        <v>737</v>
      </c>
      <c r="E1534" s="1" t="s">
        <v>3290</v>
      </c>
      <c r="F1534" t="s">
        <v>11</v>
      </c>
      <c r="G1534" s="2">
        <v>44189.107210648152</v>
      </c>
    </row>
    <row r="1535" spans="1:7" ht="15" customHeight="1" x14ac:dyDescent="0.3">
      <c r="A1535">
        <v>1334706</v>
      </c>
      <c r="B1535" t="s">
        <v>503</v>
      </c>
      <c r="D1535" t="s">
        <v>737</v>
      </c>
      <c r="E1535" s="1" t="s">
        <v>3291</v>
      </c>
      <c r="F1535" t="s">
        <v>11</v>
      </c>
      <c r="G1535" s="2">
        <v>44189.00440972222</v>
      </c>
    </row>
    <row r="1536" spans="1:7" ht="15" customHeight="1" x14ac:dyDescent="0.3">
      <c r="A1536">
        <v>1334704</v>
      </c>
      <c r="B1536" t="s">
        <v>1029</v>
      </c>
      <c r="C1536" t="s">
        <v>1030</v>
      </c>
      <c r="D1536" t="s">
        <v>1156</v>
      </c>
      <c r="E1536" s="1" t="s">
        <v>1157</v>
      </c>
      <c r="F1536" t="s">
        <v>1158</v>
      </c>
      <c r="G1536" s="2">
        <v>44189.000057870369</v>
      </c>
    </row>
    <row r="1537" spans="1:7" ht="15" customHeight="1" x14ac:dyDescent="0.3">
      <c r="A1537">
        <v>1334703</v>
      </c>
      <c r="B1537" t="s">
        <v>1761</v>
      </c>
      <c r="C1537" t="s">
        <v>3292</v>
      </c>
      <c r="D1537" t="s">
        <v>1156</v>
      </c>
      <c r="E1537" s="1" t="s">
        <v>1157</v>
      </c>
      <c r="F1537" t="s">
        <v>1158</v>
      </c>
      <c r="G1537" s="2">
        <v>44189.000057870369</v>
      </c>
    </row>
    <row r="1538" spans="1:7" ht="15" customHeight="1" x14ac:dyDescent="0.3">
      <c r="A1538">
        <v>1334690</v>
      </c>
      <c r="B1538" t="s">
        <v>503</v>
      </c>
      <c r="D1538" t="s">
        <v>737</v>
      </c>
      <c r="E1538" s="1" t="s">
        <v>3293</v>
      </c>
      <c r="F1538" t="s">
        <v>11</v>
      </c>
      <c r="G1538" s="2">
        <v>44188.972430555557</v>
      </c>
    </row>
    <row r="1539" spans="1:7" ht="15" customHeight="1" x14ac:dyDescent="0.3">
      <c r="A1539">
        <v>1334688</v>
      </c>
      <c r="B1539" t="s">
        <v>503</v>
      </c>
      <c r="D1539" t="s">
        <v>737</v>
      </c>
      <c r="E1539" s="1" t="s">
        <v>3287</v>
      </c>
      <c r="F1539" t="s">
        <v>11</v>
      </c>
      <c r="G1539" s="2">
        <v>44188.971087962964</v>
      </c>
    </row>
    <row r="1540" spans="1:7" ht="15" customHeight="1" x14ac:dyDescent="0.3">
      <c r="A1540">
        <v>1334422</v>
      </c>
      <c r="B1540" t="s">
        <v>191</v>
      </c>
      <c r="C1540" t="s">
        <v>192</v>
      </c>
      <c r="D1540" t="s">
        <v>3294</v>
      </c>
      <c r="E1540" s="1" t="s">
        <v>3295</v>
      </c>
      <c r="F1540" t="s">
        <v>11</v>
      </c>
      <c r="G1540" s="2">
        <v>44188.690081018518</v>
      </c>
    </row>
    <row r="1541" spans="1:7" ht="15" customHeight="1" x14ac:dyDescent="0.3">
      <c r="A1541">
        <v>1334414</v>
      </c>
      <c r="B1541" t="s">
        <v>16</v>
      </c>
      <c r="C1541" t="s">
        <v>181</v>
      </c>
      <c r="D1541" t="s">
        <v>3296</v>
      </c>
      <c r="E1541" s="1" t="s">
        <v>3297</v>
      </c>
      <c r="F1541" t="s">
        <v>24</v>
      </c>
      <c r="G1541" s="2">
        <v>44188.67150462963</v>
      </c>
    </row>
    <row r="1542" spans="1:7" ht="15" customHeight="1" x14ac:dyDescent="0.3">
      <c r="A1542">
        <v>1334389</v>
      </c>
      <c r="B1542" t="s">
        <v>20</v>
      </c>
      <c r="C1542" t="s">
        <v>2177</v>
      </c>
      <c r="D1542" t="s">
        <v>3298</v>
      </c>
      <c r="E1542" s="1" t="s">
        <v>3299</v>
      </c>
      <c r="F1542" t="s">
        <v>11</v>
      </c>
      <c r="G1542" s="2">
        <v>44188.589803240742</v>
      </c>
    </row>
    <row r="1543" spans="1:7" ht="15" customHeight="1" x14ac:dyDescent="0.3">
      <c r="A1543">
        <v>1334384</v>
      </c>
      <c r="B1543" t="s">
        <v>20</v>
      </c>
      <c r="C1543" t="s">
        <v>2177</v>
      </c>
      <c r="D1543" t="s">
        <v>3300</v>
      </c>
      <c r="E1543" s="1" t="s">
        <v>3301</v>
      </c>
      <c r="F1543" t="s">
        <v>11</v>
      </c>
      <c r="G1543" s="2">
        <v>44188.586018518516</v>
      </c>
    </row>
    <row r="1544" spans="1:7" ht="15" customHeight="1" x14ac:dyDescent="0.3">
      <c r="A1544">
        <v>1334383</v>
      </c>
      <c r="B1544" t="s">
        <v>20</v>
      </c>
      <c r="C1544" t="s">
        <v>2177</v>
      </c>
      <c r="D1544" t="s">
        <v>3302</v>
      </c>
      <c r="E1544" s="1" t="s">
        <v>3303</v>
      </c>
      <c r="F1544" t="s">
        <v>11</v>
      </c>
      <c r="G1544" s="2">
        <v>44188.584131944444</v>
      </c>
    </row>
    <row r="1545" spans="1:7" ht="15" customHeight="1" x14ac:dyDescent="0.3">
      <c r="A1545">
        <v>1334380</v>
      </c>
      <c r="B1545" t="s">
        <v>16</v>
      </c>
      <c r="C1545" t="s">
        <v>649</v>
      </c>
      <c r="D1545" t="s">
        <v>3304</v>
      </c>
      <c r="E1545" s="1" t="s">
        <v>3305</v>
      </c>
      <c r="F1545" t="s">
        <v>11</v>
      </c>
      <c r="G1545" s="2">
        <v>44188.580810185187</v>
      </c>
    </row>
    <row r="1546" spans="1:7" ht="15" customHeight="1" x14ac:dyDescent="0.3">
      <c r="A1546">
        <v>1334373</v>
      </c>
      <c r="B1546" t="s">
        <v>431</v>
      </c>
      <c r="C1546" t="s">
        <v>432</v>
      </c>
      <c r="D1546" t="s">
        <v>3306</v>
      </c>
      <c r="E1546" s="1" t="s">
        <v>3307</v>
      </c>
      <c r="F1546" t="s">
        <v>11</v>
      </c>
      <c r="G1546" s="2">
        <v>44188.563020833331</v>
      </c>
    </row>
    <row r="1547" spans="1:7" ht="15" customHeight="1" x14ac:dyDescent="0.3">
      <c r="A1547">
        <v>1334359</v>
      </c>
      <c r="B1547" t="s">
        <v>32</v>
      </c>
      <c r="C1547" t="s">
        <v>463</v>
      </c>
      <c r="D1547" t="s">
        <v>3308</v>
      </c>
      <c r="E1547" s="1" t="s">
        <v>3309</v>
      </c>
      <c r="F1547" t="s">
        <v>24</v>
      </c>
      <c r="G1547" s="2">
        <v>44188.509710648148</v>
      </c>
    </row>
    <row r="1548" spans="1:7" ht="15" customHeight="1" x14ac:dyDescent="0.3">
      <c r="A1548">
        <v>1334349</v>
      </c>
      <c r="B1548" t="s">
        <v>95</v>
      </c>
      <c r="C1548" t="s">
        <v>668</v>
      </c>
      <c r="D1548" t="s">
        <v>3310</v>
      </c>
      <c r="E1548" s="1" t="s">
        <v>3311</v>
      </c>
      <c r="F1548" t="s">
        <v>11</v>
      </c>
      <c r="G1548" s="2">
        <v>44188.481412037036</v>
      </c>
    </row>
    <row r="1549" spans="1:7" ht="15" customHeight="1" x14ac:dyDescent="0.3">
      <c r="A1549">
        <v>1334330</v>
      </c>
      <c r="B1549" t="s">
        <v>32</v>
      </c>
      <c r="C1549" t="s">
        <v>33</v>
      </c>
      <c r="D1549" t="s">
        <v>3312</v>
      </c>
      <c r="E1549" s="1" t="s">
        <v>3313</v>
      </c>
      <c r="F1549" t="s">
        <v>11</v>
      </c>
      <c r="G1549" s="2">
        <v>44188.431087962963</v>
      </c>
    </row>
    <row r="1550" spans="1:7" ht="15" customHeight="1" x14ac:dyDescent="0.3">
      <c r="A1550">
        <v>1334326</v>
      </c>
      <c r="B1550" t="s">
        <v>177</v>
      </c>
      <c r="C1550" t="s">
        <v>3314</v>
      </c>
      <c r="D1550" t="s">
        <v>2769</v>
      </c>
      <c r="E1550" s="1" t="s">
        <v>3315</v>
      </c>
      <c r="F1550" t="s">
        <v>11</v>
      </c>
      <c r="G1550" s="2">
        <v>44188.422094907408</v>
      </c>
    </row>
    <row r="1551" spans="1:7" ht="15" customHeight="1" x14ac:dyDescent="0.3">
      <c r="A1551">
        <v>1334284</v>
      </c>
      <c r="B1551" t="s">
        <v>191</v>
      </c>
      <c r="C1551" t="s">
        <v>2510</v>
      </c>
      <c r="D1551" t="s">
        <v>3316</v>
      </c>
      <c r="E1551" s="1" t="s">
        <v>3317</v>
      </c>
      <c r="F1551" t="s">
        <v>11</v>
      </c>
      <c r="G1551" s="2">
        <v>44188.386134259257</v>
      </c>
    </row>
    <row r="1552" spans="1:7" ht="15" customHeight="1" x14ac:dyDescent="0.3">
      <c r="A1552">
        <v>1334269</v>
      </c>
      <c r="B1552" t="s">
        <v>473</v>
      </c>
      <c r="C1552" t="s">
        <v>1381</v>
      </c>
      <c r="D1552" t="s">
        <v>2769</v>
      </c>
      <c r="E1552" s="1" t="s">
        <v>3318</v>
      </c>
      <c r="F1552" t="s">
        <v>11</v>
      </c>
      <c r="G1552" s="2">
        <v>44188.3515625</v>
      </c>
    </row>
    <row r="1553" spans="1:7" ht="15" customHeight="1" x14ac:dyDescent="0.3">
      <c r="A1553">
        <v>1334262</v>
      </c>
      <c r="B1553" t="s">
        <v>7</v>
      </c>
      <c r="C1553" t="s">
        <v>107</v>
      </c>
      <c r="D1553" t="s">
        <v>737</v>
      </c>
      <c r="E1553" s="1" t="s">
        <v>3319</v>
      </c>
      <c r="F1553" t="s">
        <v>11</v>
      </c>
      <c r="G1553" s="2">
        <v>44188.338333333333</v>
      </c>
    </row>
    <row r="1554" spans="1:7" ht="15" customHeight="1" x14ac:dyDescent="0.3">
      <c r="A1554">
        <v>1334251</v>
      </c>
      <c r="B1554" t="s">
        <v>7</v>
      </c>
      <c r="C1554" t="s">
        <v>158</v>
      </c>
      <c r="D1554" t="s">
        <v>737</v>
      </c>
      <c r="E1554" s="1" t="s">
        <v>3320</v>
      </c>
      <c r="F1554" t="s">
        <v>11</v>
      </c>
      <c r="G1554" s="2">
        <v>44188.329976851855</v>
      </c>
    </row>
    <row r="1555" spans="1:7" ht="15" customHeight="1" x14ac:dyDescent="0.3">
      <c r="A1555">
        <v>1334207</v>
      </c>
      <c r="B1555" t="s">
        <v>7</v>
      </c>
      <c r="C1555" t="s">
        <v>158</v>
      </c>
      <c r="D1555" t="s">
        <v>737</v>
      </c>
      <c r="E1555" s="1" t="s">
        <v>3321</v>
      </c>
      <c r="F1555" t="s">
        <v>11</v>
      </c>
      <c r="G1555" s="2">
        <v>44188.082141203704</v>
      </c>
    </row>
    <row r="1556" spans="1:7" ht="15" customHeight="1" x14ac:dyDescent="0.3">
      <c r="A1556">
        <v>1334169</v>
      </c>
      <c r="B1556" t="s">
        <v>401</v>
      </c>
      <c r="C1556" t="s">
        <v>402</v>
      </c>
      <c r="D1556" t="s">
        <v>1323</v>
      </c>
      <c r="E1556" t="s">
        <v>1324</v>
      </c>
      <c r="F1556" t="s">
        <v>1158</v>
      </c>
      <c r="G1556" s="2">
        <v>44188.000127314815</v>
      </c>
    </row>
    <row r="1557" spans="1:7" ht="15" customHeight="1" x14ac:dyDescent="0.3">
      <c r="A1557">
        <v>1334167</v>
      </c>
      <c r="B1557" t="s">
        <v>3322</v>
      </c>
      <c r="C1557" t="s">
        <v>3323</v>
      </c>
      <c r="D1557" t="s">
        <v>1429</v>
      </c>
      <c r="E1557" s="1" t="s">
        <v>1160</v>
      </c>
      <c r="F1557" t="s">
        <v>1158</v>
      </c>
      <c r="G1557" s="2">
        <v>44188.000104166669</v>
      </c>
    </row>
    <row r="1558" spans="1:7" ht="15" customHeight="1" x14ac:dyDescent="0.3">
      <c r="A1558">
        <v>1334012</v>
      </c>
      <c r="B1558" t="s">
        <v>350</v>
      </c>
      <c r="C1558" t="s">
        <v>351</v>
      </c>
      <c r="D1558" t="s">
        <v>3324</v>
      </c>
      <c r="E1558" s="1" t="s">
        <v>3325</v>
      </c>
      <c r="F1558" t="s">
        <v>24</v>
      </c>
      <c r="G1558" s="2">
        <v>44187.806747685187</v>
      </c>
    </row>
    <row r="1559" spans="1:7" ht="15" customHeight="1" x14ac:dyDescent="0.3">
      <c r="A1559">
        <v>1334011</v>
      </c>
      <c r="B1559" t="s">
        <v>350</v>
      </c>
      <c r="C1559" t="s">
        <v>351</v>
      </c>
      <c r="D1559" t="s">
        <v>3326</v>
      </c>
      <c r="E1559" s="1" t="s">
        <v>3327</v>
      </c>
      <c r="F1559" t="s">
        <v>24</v>
      </c>
      <c r="G1559" s="2">
        <v>44187.806030092594</v>
      </c>
    </row>
    <row r="1560" spans="1:7" ht="15" customHeight="1" x14ac:dyDescent="0.3">
      <c r="A1560">
        <v>1334010</v>
      </c>
      <c r="B1560" t="s">
        <v>350</v>
      </c>
      <c r="C1560" t="s">
        <v>351</v>
      </c>
      <c r="D1560" t="s">
        <v>3328</v>
      </c>
      <c r="E1560" s="1" t="s">
        <v>3329</v>
      </c>
      <c r="F1560" t="s">
        <v>24</v>
      </c>
      <c r="G1560" s="2">
        <v>44187.805347222224</v>
      </c>
    </row>
    <row r="1561" spans="1:7" ht="15" customHeight="1" x14ac:dyDescent="0.3">
      <c r="A1561">
        <v>1333928</v>
      </c>
      <c r="B1561" t="s">
        <v>95</v>
      </c>
      <c r="C1561" t="s">
        <v>668</v>
      </c>
      <c r="D1561" t="s">
        <v>3330</v>
      </c>
      <c r="E1561" s="1" t="s">
        <v>3331</v>
      </c>
      <c r="F1561" t="s">
        <v>24</v>
      </c>
      <c r="G1561" s="2">
        <v>44187.662951388891</v>
      </c>
    </row>
    <row r="1562" spans="1:7" ht="15" customHeight="1" x14ac:dyDescent="0.3">
      <c r="A1562">
        <v>1333897</v>
      </c>
      <c r="B1562" t="s">
        <v>290</v>
      </c>
      <c r="C1562" t="s">
        <v>3332</v>
      </c>
      <c r="D1562" t="s">
        <v>3333</v>
      </c>
      <c r="E1562" t="s">
        <v>3334</v>
      </c>
      <c r="F1562" t="s">
        <v>24</v>
      </c>
      <c r="G1562" s="2">
        <v>44187.595960648148</v>
      </c>
    </row>
    <row r="1563" spans="1:7" ht="15" customHeight="1" x14ac:dyDescent="0.3">
      <c r="A1563">
        <v>1333875</v>
      </c>
      <c r="B1563" t="s">
        <v>36</v>
      </c>
      <c r="C1563" t="s">
        <v>3335</v>
      </c>
      <c r="D1563" t="s">
        <v>3336</v>
      </c>
      <c r="E1563" s="1" t="s">
        <v>3337</v>
      </c>
      <c r="F1563" t="s">
        <v>24</v>
      </c>
      <c r="G1563" s="2">
        <v>44187.566099537034</v>
      </c>
    </row>
    <row r="1564" spans="1:7" ht="15" customHeight="1" x14ac:dyDescent="0.3">
      <c r="A1564">
        <v>1333833</v>
      </c>
      <c r="B1564" t="s">
        <v>7</v>
      </c>
      <c r="C1564" t="s">
        <v>107</v>
      </c>
      <c r="D1564" t="s">
        <v>737</v>
      </c>
      <c r="E1564" s="1" t="s">
        <v>3338</v>
      </c>
      <c r="F1564" t="s">
        <v>11</v>
      </c>
      <c r="G1564" s="2">
        <v>44187.476030092592</v>
      </c>
    </row>
    <row r="1565" spans="1:7" ht="15" customHeight="1" x14ac:dyDescent="0.3">
      <c r="A1565">
        <v>1333828</v>
      </c>
      <c r="B1565" t="s">
        <v>157</v>
      </c>
      <c r="C1565" t="s">
        <v>414</v>
      </c>
      <c r="D1565" t="s">
        <v>3339</v>
      </c>
      <c r="E1565" s="1" t="s">
        <v>3340</v>
      </c>
      <c r="F1565" t="s">
        <v>11</v>
      </c>
      <c r="G1565" s="2">
        <v>44187.457303240742</v>
      </c>
    </row>
    <row r="1566" spans="1:7" ht="15" customHeight="1" x14ac:dyDescent="0.3">
      <c r="A1566">
        <v>1333825</v>
      </c>
      <c r="B1566" t="s">
        <v>7</v>
      </c>
      <c r="C1566" t="s">
        <v>158</v>
      </c>
      <c r="D1566" t="s">
        <v>737</v>
      </c>
      <c r="E1566" s="1" t="s">
        <v>3341</v>
      </c>
      <c r="F1566" t="s">
        <v>11</v>
      </c>
      <c r="G1566" s="2">
        <v>44187.444814814815</v>
      </c>
    </row>
    <row r="1567" spans="1:7" ht="15" customHeight="1" x14ac:dyDescent="0.3">
      <c r="A1567">
        <v>1333818</v>
      </c>
      <c r="B1567" t="s">
        <v>503</v>
      </c>
      <c r="D1567" t="s">
        <v>3342</v>
      </c>
      <c r="E1567" s="1" t="s">
        <v>3343</v>
      </c>
      <c r="F1567" t="s">
        <v>11</v>
      </c>
      <c r="G1567" s="2">
        <v>44187.429560185185</v>
      </c>
    </row>
    <row r="1568" spans="1:7" ht="15" customHeight="1" x14ac:dyDescent="0.3">
      <c r="A1568">
        <v>1333778</v>
      </c>
      <c r="B1568" t="s">
        <v>16</v>
      </c>
      <c r="C1568" t="s">
        <v>394</v>
      </c>
      <c r="D1568" t="s">
        <v>3344</v>
      </c>
      <c r="E1568" s="1" t="s">
        <v>3345</v>
      </c>
      <c r="F1568" t="s">
        <v>11</v>
      </c>
      <c r="G1568" s="2">
        <v>44187.414687500001</v>
      </c>
    </row>
    <row r="1569" spans="1:7" ht="15" customHeight="1" x14ac:dyDescent="0.3">
      <c r="A1569">
        <v>1333776</v>
      </c>
      <c r="B1569" t="s">
        <v>7</v>
      </c>
      <c r="C1569" t="s">
        <v>158</v>
      </c>
      <c r="D1569" t="s">
        <v>737</v>
      </c>
      <c r="E1569" s="1" t="s">
        <v>3346</v>
      </c>
      <c r="F1569" t="s">
        <v>11</v>
      </c>
      <c r="G1569" s="2">
        <v>44187.400879629633</v>
      </c>
    </row>
    <row r="1570" spans="1:7" ht="15" customHeight="1" x14ac:dyDescent="0.3">
      <c r="A1570">
        <v>1333772</v>
      </c>
      <c r="B1570" t="s">
        <v>36</v>
      </c>
      <c r="C1570" t="s">
        <v>700</v>
      </c>
      <c r="D1570" t="s">
        <v>3347</v>
      </c>
      <c r="E1570" s="1" t="s">
        <v>3348</v>
      </c>
      <c r="F1570" t="s">
        <v>11</v>
      </c>
      <c r="G1570" s="2">
        <v>44187.382986111108</v>
      </c>
    </row>
    <row r="1571" spans="1:7" ht="15" customHeight="1" x14ac:dyDescent="0.3">
      <c r="A1571">
        <v>1333758</v>
      </c>
      <c r="B1571" t="s">
        <v>91</v>
      </c>
      <c r="C1571" t="s">
        <v>480</v>
      </c>
      <c r="D1571" t="s">
        <v>3349</v>
      </c>
      <c r="E1571" s="1" t="s">
        <v>3350</v>
      </c>
      <c r="F1571" t="s">
        <v>11</v>
      </c>
      <c r="G1571" s="2">
        <v>44187.366875</v>
      </c>
    </row>
    <row r="1572" spans="1:7" ht="15" customHeight="1" x14ac:dyDescent="0.3">
      <c r="A1572">
        <v>1333716</v>
      </c>
      <c r="B1572" t="s">
        <v>7</v>
      </c>
      <c r="C1572" t="s">
        <v>3351</v>
      </c>
      <c r="D1572" t="s">
        <v>3352</v>
      </c>
      <c r="E1572" s="1" t="s">
        <v>3353</v>
      </c>
      <c r="F1572" t="s">
        <v>24</v>
      </c>
      <c r="G1572" s="2">
        <v>44187.277280092596</v>
      </c>
    </row>
    <row r="1573" spans="1:7" ht="15" customHeight="1" x14ac:dyDescent="0.3">
      <c r="A1573">
        <v>1333700</v>
      </c>
      <c r="B1573" t="s">
        <v>503</v>
      </c>
      <c r="D1573" t="s">
        <v>3354</v>
      </c>
      <c r="E1573" s="1" t="s">
        <v>3355</v>
      </c>
      <c r="F1573" t="s">
        <v>11</v>
      </c>
      <c r="G1573" s="2">
        <v>44187.176898148151</v>
      </c>
    </row>
    <row r="1574" spans="1:7" ht="15" customHeight="1" x14ac:dyDescent="0.3">
      <c r="A1574">
        <v>1333450</v>
      </c>
      <c r="B1574" t="s">
        <v>157</v>
      </c>
      <c r="C1574" t="s">
        <v>627</v>
      </c>
      <c r="D1574" t="s">
        <v>3356</v>
      </c>
      <c r="E1574" s="1" t="s">
        <v>3357</v>
      </c>
      <c r="F1574" t="s">
        <v>11</v>
      </c>
      <c r="G1574" s="2">
        <v>44186.757465277777</v>
      </c>
    </row>
    <row r="1575" spans="1:7" ht="15" customHeight="1" x14ac:dyDescent="0.3">
      <c r="A1575">
        <v>1333431</v>
      </c>
      <c r="B1575" t="s">
        <v>2635</v>
      </c>
      <c r="C1575" t="s">
        <v>2636</v>
      </c>
      <c r="D1575" t="s">
        <v>3358</v>
      </c>
      <c r="E1575" s="1" t="s">
        <v>3359</v>
      </c>
      <c r="F1575" t="s">
        <v>11</v>
      </c>
      <c r="G1575" s="2">
        <v>44186.745358796295</v>
      </c>
    </row>
    <row r="1576" spans="1:7" ht="15" customHeight="1" x14ac:dyDescent="0.3">
      <c r="A1576">
        <v>1333398</v>
      </c>
      <c r="B1576" t="s">
        <v>281</v>
      </c>
      <c r="C1576" t="s">
        <v>3360</v>
      </c>
      <c r="D1576" t="s">
        <v>3361</v>
      </c>
      <c r="E1576" s="1" t="s">
        <v>3362</v>
      </c>
      <c r="F1576" t="s">
        <v>11</v>
      </c>
      <c r="G1576" s="2">
        <v>44186.657500000001</v>
      </c>
    </row>
    <row r="1577" spans="1:7" ht="15" customHeight="1" x14ac:dyDescent="0.3">
      <c r="A1577">
        <v>1333388</v>
      </c>
      <c r="B1577" t="s">
        <v>36</v>
      </c>
      <c r="C1577" t="s">
        <v>164</v>
      </c>
      <c r="D1577" t="s">
        <v>3363</v>
      </c>
      <c r="E1577" s="1" t="s">
        <v>3364</v>
      </c>
      <c r="F1577" t="s">
        <v>24</v>
      </c>
      <c r="G1577" s="2">
        <v>44186.638055555559</v>
      </c>
    </row>
    <row r="1578" spans="1:7" ht="15" customHeight="1" x14ac:dyDescent="0.3">
      <c r="A1578">
        <v>1333372</v>
      </c>
      <c r="B1578" t="s">
        <v>20</v>
      </c>
      <c r="C1578" t="s">
        <v>136</v>
      </c>
      <c r="D1578" t="s">
        <v>3365</v>
      </c>
      <c r="E1578" s="1" t="s">
        <v>3366</v>
      </c>
      <c r="F1578" t="s">
        <v>11</v>
      </c>
      <c r="G1578" s="2">
        <v>44186.600821759261</v>
      </c>
    </row>
    <row r="1579" spans="1:7" ht="15" customHeight="1" x14ac:dyDescent="0.3">
      <c r="A1579">
        <v>1333355</v>
      </c>
      <c r="B1579" t="s">
        <v>70</v>
      </c>
      <c r="C1579" t="s">
        <v>581</v>
      </c>
      <c r="D1579" t="s">
        <v>3367</v>
      </c>
      <c r="E1579" s="1" t="s">
        <v>3368</v>
      </c>
      <c r="F1579" t="s">
        <v>11</v>
      </c>
      <c r="G1579" s="2">
        <v>44186.554699074077</v>
      </c>
    </row>
    <row r="1580" spans="1:7" ht="15" customHeight="1" x14ac:dyDescent="0.3">
      <c r="A1580">
        <v>1333351</v>
      </c>
      <c r="B1580" t="s">
        <v>53</v>
      </c>
      <c r="C1580" t="s">
        <v>54</v>
      </c>
      <c r="D1580" t="s">
        <v>3369</v>
      </c>
      <c r="E1580" s="1" t="s">
        <v>3370</v>
      </c>
      <c r="F1580" t="s">
        <v>11</v>
      </c>
      <c r="G1580" s="2">
        <v>44186.526712962965</v>
      </c>
    </row>
    <row r="1581" spans="1:7" ht="15" customHeight="1" x14ac:dyDescent="0.3">
      <c r="A1581">
        <v>1333339</v>
      </c>
      <c r="B1581" t="s">
        <v>1079</v>
      </c>
      <c r="C1581" t="s">
        <v>1080</v>
      </c>
      <c r="D1581" t="s">
        <v>3371</v>
      </c>
      <c r="E1581" s="1" t="s">
        <v>3372</v>
      </c>
      <c r="F1581" t="s">
        <v>24</v>
      </c>
      <c r="G1581" s="2">
        <v>44186.491712962961</v>
      </c>
    </row>
    <row r="1582" spans="1:7" ht="15" customHeight="1" x14ac:dyDescent="0.3">
      <c r="A1582">
        <v>1333327</v>
      </c>
      <c r="B1582" t="s">
        <v>982</v>
      </c>
      <c r="C1582" t="s">
        <v>1567</v>
      </c>
      <c r="D1582" t="s">
        <v>3373</v>
      </c>
      <c r="E1582" s="1" t="s">
        <v>3374</v>
      </c>
      <c r="F1582" t="s">
        <v>24</v>
      </c>
      <c r="G1582" s="2">
        <v>44186.477361111109</v>
      </c>
    </row>
    <row r="1583" spans="1:7" ht="15" customHeight="1" x14ac:dyDescent="0.3">
      <c r="A1583">
        <v>1333324</v>
      </c>
      <c r="B1583" t="s">
        <v>16</v>
      </c>
      <c r="C1583" t="s">
        <v>158</v>
      </c>
      <c r="D1583" t="s">
        <v>3375</v>
      </c>
      <c r="E1583" s="1" t="s">
        <v>3376</v>
      </c>
      <c r="F1583" t="s">
        <v>24</v>
      </c>
      <c r="G1583" s="2">
        <v>44186.455000000002</v>
      </c>
    </row>
    <row r="1584" spans="1:7" ht="15" customHeight="1" x14ac:dyDescent="0.3">
      <c r="A1584">
        <v>1333322</v>
      </c>
      <c r="B1584" t="s">
        <v>614</v>
      </c>
      <c r="C1584" t="s">
        <v>2489</v>
      </c>
      <c r="D1584" t="s">
        <v>3377</v>
      </c>
      <c r="E1584" s="1" t="s">
        <v>3378</v>
      </c>
      <c r="F1584" t="s">
        <v>11</v>
      </c>
      <c r="G1584" s="2">
        <v>44186.451944444445</v>
      </c>
    </row>
    <row r="1585" spans="1:7" ht="15" customHeight="1" x14ac:dyDescent="0.3">
      <c r="A1585">
        <v>1333317</v>
      </c>
      <c r="B1585" t="s">
        <v>53</v>
      </c>
      <c r="C1585" t="s">
        <v>158</v>
      </c>
      <c r="D1585" t="s">
        <v>3379</v>
      </c>
      <c r="E1585" s="1" t="s">
        <v>3380</v>
      </c>
      <c r="F1585" t="s">
        <v>24</v>
      </c>
      <c r="G1585" s="2">
        <v>44186.44091435185</v>
      </c>
    </row>
    <row r="1586" spans="1:7" ht="15" customHeight="1" x14ac:dyDescent="0.3">
      <c r="A1586">
        <v>1333280</v>
      </c>
      <c r="B1586" t="s">
        <v>281</v>
      </c>
      <c r="C1586" t="s">
        <v>1222</v>
      </c>
      <c r="D1586" t="s">
        <v>3381</v>
      </c>
      <c r="E1586" s="1" t="s">
        <v>3382</v>
      </c>
      <c r="F1586" t="s">
        <v>11</v>
      </c>
      <c r="G1586" s="2">
        <v>44186.413784722223</v>
      </c>
    </row>
    <row r="1587" spans="1:7" ht="15" customHeight="1" x14ac:dyDescent="0.3">
      <c r="A1587">
        <v>1333273</v>
      </c>
      <c r="B1587" t="s">
        <v>16</v>
      </c>
      <c r="C1587" t="s">
        <v>3383</v>
      </c>
      <c r="D1587" t="s">
        <v>3384</v>
      </c>
      <c r="E1587" s="1" t="s">
        <v>3385</v>
      </c>
      <c r="F1587" t="s">
        <v>11</v>
      </c>
      <c r="G1587" s="2">
        <v>44186.405624999999</v>
      </c>
    </row>
    <row r="1588" spans="1:7" ht="15" customHeight="1" x14ac:dyDescent="0.3">
      <c r="A1588">
        <v>1333262</v>
      </c>
      <c r="B1588" t="s">
        <v>70</v>
      </c>
      <c r="C1588" t="s">
        <v>3386</v>
      </c>
      <c r="D1588" t="s">
        <v>3387</v>
      </c>
      <c r="E1588" s="1" t="s">
        <v>3388</v>
      </c>
      <c r="F1588" t="s">
        <v>11</v>
      </c>
      <c r="G1588" s="2">
        <v>44186.390150462961</v>
      </c>
    </row>
    <row r="1589" spans="1:7" ht="15" customHeight="1" x14ac:dyDescent="0.3">
      <c r="A1589">
        <v>1333195</v>
      </c>
      <c r="B1589" t="s">
        <v>7</v>
      </c>
      <c r="C1589" t="s">
        <v>107</v>
      </c>
      <c r="D1589" t="s">
        <v>3389</v>
      </c>
      <c r="E1589" s="1" t="s">
        <v>3390</v>
      </c>
      <c r="F1589" t="s">
        <v>11</v>
      </c>
      <c r="G1589" s="2">
        <v>44186.345555555556</v>
      </c>
    </row>
    <row r="1590" spans="1:7" ht="15" customHeight="1" x14ac:dyDescent="0.3">
      <c r="A1590">
        <v>1333194</v>
      </c>
      <c r="B1590" t="s">
        <v>1825</v>
      </c>
      <c r="C1590" t="s">
        <v>3391</v>
      </c>
      <c r="D1590" t="s">
        <v>3392</v>
      </c>
      <c r="E1590" s="1" t="s">
        <v>3393</v>
      </c>
      <c r="F1590" t="s">
        <v>11</v>
      </c>
      <c r="G1590" s="2">
        <v>44186.344826388886</v>
      </c>
    </row>
    <row r="1591" spans="1:7" ht="15" customHeight="1" x14ac:dyDescent="0.3">
      <c r="A1591">
        <v>1333185</v>
      </c>
      <c r="B1591" t="s">
        <v>7</v>
      </c>
      <c r="C1591" t="s">
        <v>158</v>
      </c>
      <c r="D1591" t="s">
        <v>3394</v>
      </c>
      <c r="E1591" s="1" t="s">
        <v>3395</v>
      </c>
      <c r="F1591" t="s">
        <v>11</v>
      </c>
      <c r="G1591" s="2">
        <v>44186.340775462966</v>
      </c>
    </row>
    <row r="1592" spans="1:7" ht="15" customHeight="1" x14ac:dyDescent="0.3">
      <c r="A1592">
        <v>1333165</v>
      </c>
      <c r="B1592" t="s">
        <v>7</v>
      </c>
      <c r="C1592" t="s">
        <v>3396</v>
      </c>
      <c r="D1592" t="s">
        <v>3397</v>
      </c>
      <c r="E1592" s="1" t="s">
        <v>3398</v>
      </c>
      <c r="F1592" t="s">
        <v>24</v>
      </c>
      <c r="G1592" s="2">
        <v>44186.305601851855</v>
      </c>
    </row>
    <row r="1593" spans="1:7" ht="15" customHeight="1" x14ac:dyDescent="0.3">
      <c r="A1593">
        <v>1333159</v>
      </c>
      <c r="B1593" t="s">
        <v>16</v>
      </c>
      <c r="C1593" t="s">
        <v>649</v>
      </c>
      <c r="D1593" t="s">
        <v>3399</v>
      </c>
      <c r="E1593" s="1" t="s">
        <v>3400</v>
      </c>
      <c r="F1593" t="s">
        <v>11</v>
      </c>
      <c r="G1593" s="2">
        <v>44186.274745370371</v>
      </c>
    </row>
    <row r="1594" spans="1:7" ht="15" customHeight="1" x14ac:dyDescent="0.3">
      <c r="A1594">
        <v>1332785</v>
      </c>
      <c r="B1594" t="s">
        <v>335</v>
      </c>
      <c r="C1594" t="s">
        <v>2904</v>
      </c>
      <c r="D1594" t="s">
        <v>3401</v>
      </c>
      <c r="E1594" s="1" t="s">
        <v>3402</v>
      </c>
      <c r="F1594" t="s">
        <v>11</v>
      </c>
      <c r="G1594" s="2">
        <v>44185.438298611109</v>
      </c>
    </row>
    <row r="1595" spans="1:7" ht="15" customHeight="1" x14ac:dyDescent="0.3">
      <c r="A1595">
        <v>1332648</v>
      </c>
      <c r="B1595" t="s">
        <v>1782</v>
      </c>
      <c r="C1595" t="s">
        <v>2841</v>
      </c>
      <c r="D1595" t="s">
        <v>1156</v>
      </c>
      <c r="E1595" s="1" t="s">
        <v>1157</v>
      </c>
      <c r="F1595" t="s">
        <v>1158</v>
      </c>
      <c r="G1595" s="2">
        <v>44185.000069444446</v>
      </c>
    </row>
    <row r="1596" spans="1:7" ht="15" customHeight="1" x14ac:dyDescent="0.3">
      <c r="A1596">
        <v>1332647</v>
      </c>
      <c r="B1596" t="s">
        <v>2780</v>
      </c>
      <c r="C1596" t="s">
        <v>2781</v>
      </c>
      <c r="D1596" t="s">
        <v>1429</v>
      </c>
      <c r="E1596" s="1" t="s">
        <v>1160</v>
      </c>
      <c r="F1596" t="s">
        <v>1158</v>
      </c>
      <c r="G1596" s="2">
        <v>44185.000057870369</v>
      </c>
    </row>
    <row r="1597" spans="1:7" ht="15" customHeight="1" x14ac:dyDescent="0.3">
      <c r="A1597">
        <v>1332320</v>
      </c>
      <c r="B1597" t="s">
        <v>139</v>
      </c>
      <c r="C1597" t="s">
        <v>2846</v>
      </c>
      <c r="D1597" t="s">
        <v>1156</v>
      </c>
      <c r="E1597" s="1" t="s">
        <v>1157</v>
      </c>
      <c r="F1597" t="s">
        <v>1158</v>
      </c>
      <c r="G1597" s="2">
        <v>44184.000092592592</v>
      </c>
    </row>
    <row r="1598" spans="1:7" ht="15" customHeight="1" x14ac:dyDescent="0.3">
      <c r="A1598">
        <v>1332319</v>
      </c>
      <c r="B1598" t="s">
        <v>16</v>
      </c>
      <c r="C1598" t="s">
        <v>181</v>
      </c>
      <c r="D1598" t="s">
        <v>1429</v>
      </c>
      <c r="E1598" s="1" t="s">
        <v>1160</v>
      </c>
      <c r="F1598" t="s">
        <v>1158</v>
      </c>
      <c r="G1598" s="2">
        <v>44184.000081018516</v>
      </c>
    </row>
    <row r="1599" spans="1:7" ht="15" customHeight="1" x14ac:dyDescent="0.3">
      <c r="A1599">
        <v>1332082</v>
      </c>
      <c r="B1599" t="s">
        <v>36</v>
      </c>
      <c r="C1599" t="s">
        <v>3403</v>
      </c>
      <c r="D1599" t="s">
        <v>3404</v>
      </c>
      <c r="E1599" s="1" t="s">
        <v>3405</v>
      </c>
      <c r="F1599" t="s">
        <v>24</v>
      </c>
      <c r="G1599" s="2">
        <v>44183.707025462965</v>
      </c>
    </row>
    <row r="1600" spans="1:7" ht="15" customHeight="1" x14ac:dyDescent="0.3">
      <c r="A1600">
        <v>1331862</v>
      </c>
      <c r="B1600" t="s">
        <v>431</v>
      </c>
      <c r="C1600" t="s">
        <v>2371</v>
      </c>
      <c r="D1600" t="s">
        <v>3406</v>
      </c>
      <c r="E1600" s="1" t="s">
        <v>3407</v>
      </c>
      <c r="F1600" t="s">
        <v>24</v>
      </c>
      <c r="G1600" s="2">
        <v>44183.34642361111</v>
      </c>
    </row>
    <row r="1601" spans="1:7" ht="15" customHeight="1" x14ac:dyDescent="0.3">
      <c r="A1601">
        <v>1331349</v>
      </c>
      <c r="B1601" t="s">
        <v>7</v>
      </c>
      <c r="C1601" t="s">
        <v>3408</v>
      </c>
      <c r="D1601" t="s">
        <v>3409</v>
      </c>
      <c r="E1601" s="1" t="s">
        <v>3410</v>
      </c>
      <c r="F1601" t="s">
        <v>11</v>
      </c>
      <c r="G1601" s="2">
        <v>44182.394965277781</v>
      </c>
    </row>
    <row r="1602" spans="1:7" ht="15" customHeight="1" x14ac:dyDescent="0.3">
      <c r="A1602">
        <v>1331338</v>
      </c>
      <c r="B1602" t="s">
        <v>177</v>
      </c>
      <c r="C1602" t="s">
        <v>178</v>
      </c>
      <c r="D1602" t="s">
        <v>3411</v>
      </c>
      <c r="E1602" s="1" t="s">
        <v>3412</v>
      </c>
      <c r="F1602" t="s">
        <v>11</v>
      </c>
      <c r="G1602" s="2">
        <v>44182.37972222222</v>
      </c>
    </row>
    <row r="1603" spans="1:7" ht="15" customHeight="1" x14ac:dyDescent="0.3">
      <c r="A1603">
        <v>1330923</v>
      </c>
      <c r="B1603" t="s">
        <v>606</v>
      </c>
      <c r="C1603" t="s">
        <v>2534</v>
      </c>
      <c r="D1603" t="s">
        <v>3413</v>
      </c>
      <c r="E1603" s="1" t="s">
        <v>3414</v>
      </c>
      <c r="F1603" t="s">
        <v>24</v>
      </c>
      <c r="G1603" s="2">
        <v>44181.583333333336</v>
      </c>
    </row>
    <row r="1604" spans="1:7" ht="15" customHeight="1" x14ac:dyDescent="0.3">
      <c r="A1604">
        <v>1330903</v>
      </c>
      <c r="B1604" t="s">
        <v>7</v>
      </c>
      <c r="C1604" t="s">
        <v>1536</v>
      </c>
      <c r="D1604" t="s">
        <v>3415</v>
      </c>
      <c r="E1604" t="s">
        <v>3416</v>
      </c>
      <c r="F1604" t="s">
        <v>24</v>
      </c>
      <c r="G1604" s="2">
        <v>44181.542199074072</v>
      </c>
    </row>
    <row r="1605" spans="1:7" ht="15" customHeight="1" x14ac:dyDescent="0.3">
      <c r="A1605">
        <v>1330872</v>
      </c>
      <c r="B1605" t="s">
        <v>95</v>
      </c>
      <c r="C1605" t="s">
        <v>3417</v>
      </c>
      <c r="D1605" t="s">
        <v>3418</v>
      </c>
      <c r="E1605" s="1" t="s">
        <v>3419</v>
      </c>
      <c r="F1605" t="s">
        <v>24</v>
      </c>
      <c r="G1605" s="2">
        <v>44181.471446759257</v>
      </c>
    </row>
    <row r="1606" spans="1:7" ht="15" customHeight="1" x14ac:dyDescent="0.3">
      <c r="A1606">
        <v>1330771</v>
      </c>
      <c r="B1606" t="s">
        <v>95</v>
      </c>
      <c r="C1606" t="s">
        <v>3420</v>
      </c>
      <c r="D1606" t="s">
        <v>3421</v>
      </c>
      <c r="E1606" s="1" t="s">
        <v>3422</v>
      </c>
      <c r="F1606" t="s">
        <v>24</v>
      </c>
      <c r="G1606" s="2">
        <v>44181.372337962966</v>
      </c>
    </row>
    <row r="1607" spans="1:7" ht="15" customHeight="1" x14ac:dyDescent="0.3">
      <c r="A1607">
        <v>1330745</v>
      </c>
      <c r="B1607" t="s">
        <v>177</v>
      </c>
      <c r="C1607" t="s">
        <v>178</v>
      </c>
      <c r="D1607" t="s">
        <v>3423</v>
      </c>
      <c r="E1607" s="1" t="s">
        <v>3424</v>
      </c>
      <c r="F1607" t="s">
        <v>11</v>
      </c>
      <c r="G1607" s="2">
        <v>44181.332789351851</v>
      </c>
    </row>
    <row r="1608" spans="1:7" ht="15" customHeight="1" x14ac:dyDescent="0.3">
      <c r="A1608">
        <v>1330741</v>
      </c>
      <c r="B1608" t="s">
        <v>7</v>
      </c>
      <c r="C1608" t="s">
        <v>3396</v>
      </c>
      <c r="D1608" t="s">
        <v>3425</v>
      </c>
      <c r="E1608" s="1" t="s">
        <v>3426</v>
      </c>
      <c r="F1608" t="s">
        <v>24</v>
      </c>
      <c r="G1608" s="2">
        <v>44181.328796296293</v>
      </c>
    </row>
    <row r="1609" spans="1:7" ht="15" customHeight="1" x14ac:dyDescent="0.3">
      <c r="A1609">
        <v>1330315</v>
      </c>
      <c r="B1609" t="s">
        <v>36</v>
      </c>
      <c r="C1609" t="s">
        <v>2417</v>
      </c>
      <c r="D1609" t="s">
        <v>3427</v>
      </c>
      <c r="E1609" s="1" t="s">
        <v>3428</v>
      </c>
      <c r="F1609" t="s">
        <v>24</v>
      </c>
      <c r="G1609" s="2">
        <v>44180.616053240738</v>
      </c>
    </row>
    <row r="1610" spans="1:7" ht="15" customHeight="1" x14ac:dyDescent="0.3">
      <c r="A1610">
        <v>1330229</v>
      </c>
      <c r="B1610" t="s">
        <v>157</v>
      </c>
      <c r="C1610" t="s">
        <v>568</v>
      </c>
      <c r="D1610" t="s">
        <v>3429</v>
      </c>
      <c r="E1610" s="1" t="s">
        <v>3430</v>
      </c>
      <c r="F1610" t="s">
        <v>11</v>
      </c>
      <c r="G1610" s="2">
        <v>44180.443611111114</v>
      </c>
    </row>
    <row r="1611" spans="1:7" ht="15" customHeight="1" x14ac:dyDescent="0.3">
      <c r="A1611">
        <v>1329813</v>
      </c>
      <c r="B1611" t="s">
        <v>20</v>
      </c>
      <c r="C1611" t="s">
        <v>692</v>
      </c>
      <c r="D1611" t="s">
        <v>3431</v>
      </c>
      <c r="E1611" s="1" t="s">
        <v>3432</v>
      </c>
      <c r="F1611" t="s">
        <v>11</v>
      </c>
      <c r="G1611" s="2">
        <v>44179.703101851854</v>
      </c>
    </row>
    <row r="1612" spans="1:7" ht="15" customHeight="1" x14ac:dyDescent="0.3">
      <c r="A1612">
        <v>1329693</v>
      </c>
      <c r="B1612" t="s">
        <v>53</v>
      </c>
      <c r="C1612" t="s">
        <v>54</v>
      </c>
      <c r="D1612" t="s">
        <v>3433</v>
      </c>
      <c r="E1612" s="1" t="s">
        <v>3434</v>
      </c>
      <c r="F1612" t="s">
        <v>11</v>
      </c>
      <c r="G1612" s="2">
        <v>44179.436377314814</v>
      </c>
    </row>
    <row r="1613" spans="1:7" ht="15" customHeight="1" x14ac:dyDescent="0.3">
      <c r="A1613">
        <v>1329617</v>
      </c>
      <c r="B1613" t="s">
        <v>157</v>
      </c>
      <c r="C1613" t="s">
        <v>627</v>
      </c>
      <c r="D1613" t="s">
        <v>3435</v>
      </c>
      <c r="E1613" s="1" t="s">
        <v>3436</v>
      </c>
      <c r="F1613" t="s">
        <v>11</v>
      </c>
      <c r="G1613" s="2">
        <v>44179.372349537036</v>
      </c>
    </row>
    <row r="1614" spans="1:7" ht="15" customHeight="1" x14ac:dyDescent="0.3">
      <c r="A1614">
        <v>1329563</v>
      </c>
      <c r="B1614" t="s">
        <v>25</v>
      </c>
      <c r="C1614" t="s">
        <v>158</v>
      </c>
      <c r="D1614" t="s">
        <v>3437</v>
      </c>
      <c r="E1614" s="1" t="s">
        <v>3438</v>
      </c>
      <c r="F1614" t="s">
        <v>11</v>
      </c>
      <c r="G1614" s="2">
        <v>44179.290763888886</v>
      </c>
    </row>
    <row r="1615" spans="1:7" ht="15" customHeight="1" x14ac:dyDescent="0.3">
      <c r="A1615">
        <v>1329060</v>
      </c>
      <c r="B1615" t="s">
        <v>290</v>
      </c>
      <c r="C1615" t="s">
        <v>308</v>
      </c>
      <c r="D1615" t="s">
        <v>3439</v>
      </c>
      <c r="E1615" s="1" t="s">
        <v>1157</v>
      </c>
      <c r="F1615" t="s">
        <v>1158</v>
      </c>
      <c r="G1615" s="2">
        <v>44178.000023148146</v>
      </c>
    </row>
    <row r="1616" spans="1:7" ht="15" customHeight="1" x14ac:dyDescent="0.3">
      <c r="A1616">
        <v>1328444</v>
      </c>
      <c r="B1616" t="s">
        <v>70</v>
      </c>
      <c r="C1616" t="s">
        <v>1496</v>
      </c>
      <c r="D1616" t="s">
        <v>3440</v>
      </c>
      <c r="E1616" s="1" t="s">
        <v>3441</v>
      </c>
      <c r="F1616" t="s">
        <v>24</v>
      </c>
      <c r="G1616" s="2">
        <v>44176.621828703705</v>
      </c>
    </row>
    <row r="1617" spans="1:7" ht="15" customHeight="1" x14ac:dyDescent="0.3">
      <c r="A1617">
        <v>1328414</v>
      </c>
      <c r="B1617" t="s">
        <v>7</v>
      </c>
      <c r="C1617" t="s">
        <v>107</v>
      </c>
      <c r="D1617" t="s">
        <v>3442</v>
      </c>
      <c r="E1617" s="1" t="s">
        <v>3443</v>
      </c>
      <c r="F1617" t="s">
        <v>11</v>
      </c>
      <c r="G1617" s="2">
        <v>44176.51021990741</v>
      </c>
    </row>
    <row r="1618" spans="1:7" ht="15" customHeight="1" x14ac:dyDescent="0.3">
      <c r="A1618">
        <v>1328385</v>
      </c>
      <c r="B1618" t="s">
        <v>53</v>
      </c>
      <c r="C1618" t="s">
        <v>54</v>
      </c>
      <c r="D1618" t="s">
        <v>3444</v>
      </c>
      <c r="E1618" s="1" t="s">
        <v>3445</v>
      </c>
      <c r="F1618" t="s">
        <v>11</v>
      </c>
      <c r="G1618" s="2">
        <v>44176.452800925923</v>
      </c>
    </row>
    <row r="1619" spans="1:7" ht="15" customHeight="1" x14ac:dyDescent="0.3">
      <c r="A1619">
        <v>1328379</v>
      </c>
      <c r="B1619" t="s">
        <v>301</v>
      </c>
      <c r="C1619" t="s">
        <v>2127</v>
      </c>
      <c r="D1619" t="s">
        <v>3446</v>
      </c>
      <c r="E1619" s="1" t="s">
        <v>3447</v>
      </c>
      <c r="F1619" t="s">
        <v>24</v>
      </c>
      <c r="G1619" s="2">
        <v>44176.438402777778</v>
      </c>
    </row>
    <row r="1620" spans="1:7" ht="15" customHeight="1" x14ac:dyDescent="0.3">
      <c r="A1620">
        <v>1328309</v>
      </c>
      <c r="B1620" t="s">
        <v>1574</v>
      </c>
      <c r="C1620" t="s">
        <v>3448</v>
      </c>
      <c r="D1620" t="s">
        <v>3449</v>
      </c>
      <c r="E1620" s="1" t="s">
        <v>3450</v>
      </c>
      <c r="F1620" t="s">
        <v>11</v>
      </c>
      <c r="G1620" s="2">
        <v>44176.369212962964</v>
      </c>
    </row>
    <row r="1621" spans="1:7" ht="15" customHeight="1" x14ac:dyDescent="0.3">
      <c r="A1621">
        <v>1327916</v>
      </c>
      <c r="B1621" t="s">
        <v>95</v>
      </c>
      <c r="C1621" t="s">
        <v>129</v>
      </c>
      <c r="D1621" t="s">
        <v>3451</v>
      </c>
      <c r="E1621" s="1" t="s">
        <v>3452</v>
      </c>
      <c r="F1621" t="s">
        <v>11</v>
      </c>
      <c r="G1621" s="2">
        <v>44175.667118055557</v>
      </c>
    </row>
    <row r="1622" spans="1:7" ht="15" customHeight="1" x14ac:dyDescent="0.3">
      <c r="A1622">
        <v>1327867</v>
      </c>
      <c r="B1622" t="s">
        <v>36</v>
      </c>
      <c r="C1622" t="s">
        <v>37</v>
      </c>
      <c r="D1622" t="s">
        <v>3453</v>
      </c>
      <c r="E1622" s="1" t="s">
        <v>3454</v>
      </c>
      <c r="F1622" t="s">
        <v>11</v>
      </c>
      <c r="G1622" s="2">
        <v>44175.542280092595</v>
      </c>
    </row>
    <row r="1623" spans="1:7" ht="15" customHeight="1" x14ac:dyDescent="0.3">
      <c r="A1623">
        <v>1327705</v>
      </c>
      <c r="B1623" t="s">
        <v>7</v>
      </c>
      <c r="C1623" t="s">
        <v>592</v>
      </c>
      <c r="D1623" t="s">
        <v>3455</v>
      </c>
      <c r="E1623" s="1" t="s">
        <v>3456</v>
      </c>
      <c r="F1623" t="s">
        <v>24</v>
      </c>
      <c r="G1623" s="2">
        <v>44175.242280092592</v>
      </c>
    </row>
    <row r="1624" spans="1:7" ht="15" customHeight="1" x14ac:dyDescent="0.3">
      <c r="A1624">
        <v>1327437</v>
      </c>
      <c r="B1624" t="s">
        <v>12</v>
      </c>
      <c r="C1624" t="s">
        <v>3457</v>
      </c>
      <c r="D1624" t="s">
        <v>3458</v>
      </c>
      <c r="E1624" s="1" t="s">
        <v>3459</v>
      </c>
      <c r="F1624" t="s">
        <v>11</v>
      </c>
      <c r="G1624" s="2">
        <v>44174.771134259259</v>
      </c>
    </row>
    <row r="1625" spans="1:7" ht="15" customHeight="1" x14ac:dyDescent="0.3">
      <c r="A1625">
        <v>1327362</v>
      </c>
      <c r="B1625" t="s">
        <v>746</v>
      </c>
      <c r="C1625" t="s">
        <v>1485</v>
      </c>
      <c r="D1625" t="s">
        <v>3460</v>
      </c>
      <c r="E1625" s="1" t="s">
        <v>3461</v>
      </c>
      <c r="F1625" t="s">
        <v>11</v>
      </c>
      <c r="G1625" s="2">
        <v>44174.653912037036</v>
      </c>
    </row>
    <row r="1626" spans="1:7" ht="15" customHeight="1" x14ac:dyDescent="0.3">
      <c r="A1626">
        <v>1326874</v>
      </c>
      <c r="B1626" t="s">
        <v>157</v>
      </c>
      <c r="C1626" t="s">
        <v>627</v>
      </c>
      <c r="D1626" t="s">
        <v>3462</v>
      </c>
      <c r="E1626" s="1" t="s">
        <v>3463</v>
      </c>
      <c r="F1626" t="s">
        <v>11</v>
      </c>
      <c r="G1626" s="2">
        <v>44173.87228009259</v>
      </c>
    </row>
    <row r="1627" spans="1:7" ht="15" customHeight="1" x14ac:dyDescent="0.3">
      <c r="A1627">
        <v>1326702</v>
      </c>
      <c r="B1627" t="s">
        <v>36</v>
      </c>
      <c r="C1627" t="s">
        <v>509</v>
      </c>
      <c r="D1627" t="s">
        <v>3464</v>
      </c>
      <c r="E1627" s="1" t="s">
        <v>3465</v>
      </c>
      <c r="F1627" t="s">
        <v>24</v>
      </c>
      <c r="G1627" s="2">
        <v>44173.624282407407</v>
      </c>
    </row>
    <row r="1628" spans="1:7" ht="15" customHeight="1" x14ac:dyDescent="0.3">
      <c r="A1628">
        <v>1326643</v>
      </c>
      <c r="B1628" t="s">
        <v>7</v>
      </c>
      <c r="C1628" t="s">
        <v>366</v>
      </c>
      <c r="D1628" t="s">
        <v>3466</v>
      </c>
      <c r="E1628" s="1" t="s">
        <v>3467</v>
      </c>
      <c r="F1628" t="s">
        <v>24</v>
      </c>
      <c r="G1628" s="2">
        <v>44173.529363425929</v>
      </c>
    </row>
    <row r="1629" spans="1:7" ht="15" customHeight="1" x14ac:dyDescent="0.3">
      <c r="A1629">
        <v>1326594</v>
      </c>
      <c r="B1629" t="s">
        <v>36</v>
      </c>
      <c r="C1629" t="s">
        <v>343</v>
      </c>
      <c r="D1629" t="s">
        <v>3468</v>
      </c>
      <c r="E1629" s="1" t="s">
        <v>3469</v>
      </c>
      <c r="F1629" t="s">
        <v>24</v>
      </c>
      <c r="G1629" s="2">
        <v>44173.460451388892</v>
      </c>
    </row>
    <row r="1630" spans="1:7" ht="15" customHeight="1" x14ac:dyDescent="0.3">
      <c r="A1630">
        <v>1326518</v>
      </c>
      <c r="B1630" t="s">
        <v>222</v>
      </c>
      <c r="C1630" t="s">
        <v>3470</v>
      </c>
      <c r="D1630" t="s">
        <v>3471</v>
      </c>
      <c r="E1630" s="1" t="s">
        <v>3472</v>
      </c>
      <c r="F1630" t="s">
        <v>24</v>
      </c>
      <c r="G1630" s="2">
        <v>44173.400254629632</v>
      </c>
    </row>
    <row r="1631" spans="1:7" ht="15" customHeight="1" x14ac:dyDescent="0.3">
      <c r="A1631">
        <v>1326479</v>
      </c>
      <c r="B1631" t="s">
        <v>301</v>
      </c>
      <c r="C1631" t="s">
        <v>2127</v>
      </c>
      <c r="D1631" t="s">
        <v>3473</v>
      </c>
      <c r="E1631" s="1" t="s">
        <v>3474</v>
      </c>
      <c r="F1631" t="s">
        <v>11</v>
      </c>
      <c r="G1631" s="2">
        <v>44173.340740740743</v>
      </c>
    </row>
    <row r="1632" spans="1:7" ht="15" customHeight="1" x14ac:dyDescent="0.3">
      <c r="A1632">
        <v>1326001</v>
      </c>
      <c r="B1632" t="s">
        <v>53</v>
      </c>
      <c r="C1632" t="s">
        <v>54</v>
      </c>
      <c r="D1632" t="s">
        <v>3475</v>
      </c>
      <c r="E1632" s="1" t="s">
        <v>3476</v>
      </c>
      <c r="F1632" t="s">
        <v>11</v>
      </c>
      <c r="G1632" s="2">
        <v>44172.598067129627</v>
      </c>
    </row>
    <row r="1633" spans="1:7" ht="15" customHeight="1" x14ac:dyDescent="0.3">
      <c r="A1633">
        <v>1325878</v>
      </c>
      <c r="B1633" t="s">
        <v>36</v>
      </c>
      <c r="C1633" t="s">
        <v>2969</v>
      </c>
      <c r="D1633" t="s">
        <v>3477</v>
      </c>
      <c r="E1633" s="1" t="s">
        <v>3478</v>
      </c>
      <c r="F1633" t="s">
        <v>24</v>
      </c>
      <c r="G1633" s="2">
        <v>44172.455717592595</v>
      </c>
    </row>
    <row r="1634" spans="1:7" ht="15" customHeight="1" x14ac:dyDescent="0.3">
      <c r="A1634">
        <v>1325863</v>
      </c>
      <c r="B1634" t="s">
        <v>63</v>
      </c>
      <c r="C1634" t="s">
        <v>2259</v>
      </c>
      <c r="D1634" t="s">
        <v>3479</v>
      </c>
      <c r="E1634" s="1" t="s">
        <v>3480</v>
      </c>
      <c r="F1634" t="s">
        <v>11</v>
      </c>
      <c r="G1634" s="2">
        <v>44172.441724537035</v>
      </c>
    </row>
    <row r="1635" spans="1:7" ht="15" customHeight="1" x14ac:dyDescent="0.3">
      <c r="A1635">
        <v>1324077</v>
      </c>
      <c r="B1635" t="s">
        <v>36</v>
      </c>
      <c r="C1635" t="s">
        <v>3481</v>
      </c>
      <c r="D1635" t="s">
        <v>3482</v>
      </c>
      <c r="E1635" s="1" t="s">
        <v>3483</v>
      </c>
      <c r="F1635" t="s">
        <v>24</v>
      </c>
      <c r="G1635" s="2">
        <v>44169.413946759261</v>
      </c>
    </row>
    <row r="1636" spans="1:7" ht="15" customHeight="1" x14ac:dyDescent="0.3">
      <c r="A1636">
        <v>1323570</v>
      </c>
      <c r="B1636" t="s">
        <v>3484</v>
      </c>
      <c r="C1636" t="s">
        <v>3485</v>
      </c>
      <c r="D1636" t="s">
        <v>3486</v>
      </c>
      <c r="E1636" s="1" t="s">
        <v>3487</v>
      </c>
      <c r="F1636" t="s">
        <v>11</v>
      </c>
      <c r="G1636" s="2">
        <v>44168.566365740742</v>
      </c>
    </row>
    <row r="1637" spans="1:7" ht="15" customHeight="1" x14ac:dyDescent="0.3">
      <c r="A1637">
        <v>1323374</v>
      </c>
      <c r="B1637" t="s">
        <v>53</v>
      </c>
      <c r="C1637" t="s">
        <v>1240</v>
      </c>
      <c r="D1637" t="s">
        <v>3488</v>
      </c>
      <c r="E1637" s="1" t="s">
        <v>3489</v>
      </c>
      <c r="F1637" t="s">
        <v>11</v>
      </c>
      <c r="G1637" s="2">
        <v>44168.326053240744</v>
      </c>
    </row>
    <row r="1638" spans="1:7" ht="15" customHeight="1" x14ac:dyDescent="0.3">
      <c r="A1638">
        <v>1323365</v>
      </c>
      <c r="B1638" t="s">
        <v>3027</v>
      </c>
      <c r="C1638" t="s">
        <v>3490</v>
      </c>
      <c r="D1638" t="s">
        <v>3491</v>
      </c>
      <c r="E1638" s="1" t="s">
        <v>3492</v>
      </c>
      <c r="F1638" t="s">
        <v>11</v>
      </c>
      <c r="G1638" s="2">
        <v>44168.307789351849</v>
      </c>
    </row>
    <row r="1639" spans="1:7" ht="15" customHeight="1" x14ac:dyDescent="0.3">
      <c r="A1639">
        <v>1322790</v>
      </c>
      <c r="B1639" t="s">
        <v>2134</v>
      </c>
      <c r="C1639" t="s">
        <v>2135</v>
      </c>
      <c r="D1639" t="s">
        <v>3493</v>
      </c>
      <c r="E1639" s="1" t="s">
        <v>3494</v>
      </c>
      <c r="F1639" t="s">
        <v>11</v>
      </c>
      <c r="G1639" s="2">
        <v>44167.411689814813</v>
      </c>
    </row>
    <row r="1640" spans="1:7" ht="15" customHeight="1" x14ac:dyDescent="0.3">
      <c r="A1640">
        <v>1322781</v>
      </c>
      <c r="B1640" t="s">
        <v>222</v>
      </c>
      <c r="C1640" t="s">
        <v>681</v>
      </c>
      <c r="D1640" t="s">
        <v>3495</v>
      </c>
      <c r="E1640" s="1" t="s">
        <v>3496</v>
      </c>
      <c r="F1640" t="s">
        <v>24</v>
      </c>
      <c r="G1640" s="2">
        <v>44167.398668981485</v>
      </c>
    </row>
    <row r="1641" spans="1:7" ht="15" customHeight="1" x14ac:dyDescent="0.3">
      <c r="A1641">
        <v>1322766</v>
      </c>
      <c r="B1641" t="s">
        <v>36</v>
      </c>
      <c r="C1641" t="s">
        <v>124</v>
      </c>
      <c r="D1641" t="s">
        <v>3497</v>
      </c>
      <c r="E1641" s="1" t="s">
        <v>3498</v>
      </c>
      <c r="F1641" t="s">
        <v>24</v>
      </c>
      <c r="G1641" s="2">
        <v>44167.374872685185</v>
      </c>
    </row>
    <row r="1642" spans="1:7" ht="15" customHeight="1" x14ac:dyDescent="0.3">
      <c r="A1642">
        <v>1322237</v>
      </c>
      <c r="B1642" t="s">
        <v>473</v>
      </c>
      <c r="C1642" t="s">
        <v>1381</v>
      </c>
      <c r="D1642" t="s">
        <v>3499</v>
      </c>
      <c r="E1642" s="1" t="s">
        <v>3500</v>
      </c>
      <c r="F1642" t="s">
        <v>11</v>
      </c>
      <c r="G1642" s="2">
        <v>44166.502129629633</v>
      </c>
    </row>
    <row r="1643" spans="1:7" ht="15" customHeight="1" x14ac:dyDescent="0.3">
      <c r="A1643">
        <v>1322203</v>
      </c>
      <c r="B1643" t="s">
        <v>3501</v>
      </c>
      <c r="C1643" t="s">
        <v>3502</v>
      </c>
      <c r="D1643" t="s">
        <v>3503</v>
      </c>
      <c r="E1643" s="1" t="s">
        <v>3504</v>
      </c>
      <c r="F1643" t="s">
        <v>11</v>
      </c>
      <c r="G1643" s="2">
        <v>44166.455057870371</v>
      </c>
    </row>
    <row r="1644" spans="1:7" ht="15" customHeight="1" x14ac:dyDescent="0.3">
      <c r="A1644">
        <v>1321558</v>
      </c>
      <c r="B1644" t="s">
        <v>36</v>
      </c>
      <c r="C1644" t="s">
        <v>324</v>
      </c>
      <c r="D1644" t="s">
        <v>3505</v>
      </c>
      <c r="E1644" s="1" t="s">
        <v>3506</v>
      </c>
      <c r="F1644" t="s">
        <v>24</v>
      </c>
      <c r="G1644" s="2">
        <v>44165.639247685183</v>
      </c>
    </row>
    <row r="1645" spans="1:7" ht="15" customHeight="1" x14ac:dyDescent="0.3">
      <c r="A1645">
        <v>1321506</v>
      </c>
      <c r="B1645" t="s">
        <v>7</v>
      </c>
      <c r="C1645" t="s">
        <v>3351</v>
      </c>
      <c r="D1645" t="s">
        <v>3507</v>
      </c>
      <c r="E1645" s="1" t="s">
        <v>3508</v>
      </c>
      <c r="F1645" t="s">
        <v>24</v>
      </c>
      <c r="G1645" s="2">
        <v>44165.530092592591</v>
      </c>
    </row>
    <row r="1646" spans="1:7" ht="15" customHeight="1" x14ac:dyDescent="0.3">
      <c r="A1646">
        <v>1321470</v>
      </c>
      <c r="B1646" t="s">
        <v>1825</v>
      </c>
      <c r="C1646" t="s">
        <v>3509</v>
      </c>
      <c r="D1646" t="s">
        <v>3510</v>
      </c>
      <c r="E1646" s="1" t="s">
        <v>3511</v>
      </c>
      <c r="F1646" t="s">
        <v>11</v>
      </c>
      <c r="G1646" s="2">
        <v>44165.460543981484</v>
      </c>
    </row>
    <row r="1647" spans="1:7" ht="15" customHeight="1" x14ac:dyDescent="0.3">
      <c r="A1647">
        <v>1321459</v>
      </c>
      <c r="B1647" t="s">
        <v>36</v>
      </c>
      <c r="C1647" t="s">
        <v>700</v>
      </c>
      <c r="D1647" t="s">
        <v>3512</v>
      </c>
      <c r="E1647" s="1" t="s">
        <v>3513</v>
      </c>
      <c r="F1647" t="s">
        <v>24</v>
      </c>
      <c r="G1647" s="2">
        <v>44165.438958333332</v>
      </c>
    </row>
    <row r="1648" spans="1:7" ht="15" customHeight="1" x14ac:dyDescent="0.3">
      <c r="A1648">
        <v>1321440</v>
      </c>
      <c r="B1648" t="s">
        <v>12</v>
      </c>
      <c r="C1648" t="s">
        <v>2346</v>
      </c>
      <c r="D1648" t="s">
        <v>3514</v>
      </c>
      <c r="E1648" s="1" t="s">
        <v>3515</v>
      </c>
      <c r="F1648" t="s">
        <v>24</v>
      </c>
      <c r="G1648" s="2">
        <v>44165.421180555553</v>
      </c>
    </row>
    <row r="1649" spans="1:7" ht="15" customHeight="1" x14ac:dyDescent="0.3">
      <c r="A1649">
        <v>1321406</v>
      </c>
      <c r="B1649" t="s">
        <v>36</v>
      </c>
      <c r="C1649" t="s">
        <v>2562</v>
      </c>
      <c r="D1649" t="s">
        <v>3516</v>
      </c>
      <c r="E1649" s="1" t="s">
        <v>3517</v>
      </c>
      <c r="F1649" t="s">
        <v>24</v>
      </c>
      <c r="G1649" s="2">
        <v>44165.401365740741</v>
      </c>
    </row>
    <row r="1650" spans="1:7" ht="15" customHeight="1" x14ac:dyDescent="0.3">
      <c r="A1650">
        <v>1321381</v>
      </c>
      <c r="B1650" t="s">
        <v>222</v>
      </c>
      <c r="C1650" t="s">
        <v>681</v>
      </c>
      <c r="D1650" t="s">
        <v>3518</v>
      </c>
      <c r="E1650" s="1" t="s">
        <v>3519</v>
      </c>
      <c r="F1650" t="s">
        <v>24</v>
      </c>
      <c r="G1650" s="2">
        <v>44165.374305555553</v>
      </c>
    </row>
    <row r="1651" spans="1:7" ht="15" customHeight="1" x14ac:dyDescent="0.3">
      <c r="A1651">
        <v>1321321</v>
      </c>
      <c r="B1651" t="s">
        <v>36</v>
      </c>
      <c r="C1651" t="s">
        <v>1342</v>
      </c>
      <c r="D1651" t="s">
        <v>3520</v>
      </c>
      <c r="E1651" s="1" t="s">
        <v>3521</v>
      </c>
      <c r="F1651" t="s">
        <v>11</v>
      </c>
      <c r="G1651" s="2">
        <v>44165.29010416667</v>
      </c>
    </row>
    <row r="1652" spans="1:7" ht="15" customHeight="1" x14ac:dyDescent="0.3">
      <c r="A1652">
        <v>1319842</v>
      </c>
      <c r="B1652" t="s">
        <v>157</v>
      </c>
      <c r="C1652" t="s">
        <v>627</v>
      </c>
      <c r="D1652" t="s">
        <v>3522</v>
      </c>
      <c r="E1652" s="1" t="s">
        <v>3523</v>
      </c>
      <c r="F1652" t="s">
        <v>11</v>
      </c>
      <c r="G1652" s="2">
        <v>44162.640208333331</v>
      </c>
    </row>
    <row r="1653" spans="1:7" ht="15" customHeight="1" x14ac:dyDescent="0.3">
      <c r="A1653">
        <v>1319204</v>
      </c>
      <c r="B1653" t="s">
        <v>20</v>
      </c>
      <c r="C1653" t="s">
        <v>692</v>
      </c>
      <c r="D1653" t="s">
        <v>3524</v>
      </c>
      <c r="E1653" s="1" t="s">
        <v>3525</v>
      </c>
      <c r="F1653" t="s">
        <v>11</v>
      </c>
      <c r="G1653" s="2">
        <v>44161.58520833333</v>
      </c>
    </row>
    <row r="1654" spans="1:7" ht="15" customHeight="1" x14ac:dyDescent="0.3">
      <c r="A1654">
        <v>1319089</v>
      </c>
      <c r="B1654" t="s">
        <v>7</v>
      </c>
      <c r="C1654" t="s">
        <v>3526</v>
      </c>
      <c r="D1654" t="s">
        <v>3527</v>
      </c>
      <c r="E1654" s="1" t="s">
        <v>3528</v>
      </c>
      <c r="F1654" t="s">
        <v>24</v>
      </c>
      <c r="G1654" s="2">
        <v>44161.399953703702</v>
      </c>
    </row>
    <row r="1655" spans="1:7" ht="15" customHeight="1" x14ac:dyDescent="0.3">
      <c r="A1655">
        <v>1318587</v>
      </c>
      <c r="B1655" t="s">
        <v>7</v>
      </c>
      <c r="C1655" t="s">
        <v>107</v>
      </c>
      <c r="D1655" t="s">
        <v>3529</v>
      </c>
      <c r="E1655" s="1" t="s">
        <v>3530</v>
      </c>
      <c r="F1655" t="s">
        <v>11</v>
      </c>
      <c r="G1655" s="2">
        <v>44160.602847222224</v>
      </c>
    </row>
    <row r="1656" spans="1:7" ht="15" customHeight="1" x14ac:dyDescent="0.3">
      <c r="A1656">
        <v>1318469</v>
      </c>
      <c r="B1656" t="s">
        <v>7</v>
      </c>
      <c r="C1656" t="s">
        <v>789</v>
      </c>
      <c r="D1656" t="s">
        <v>3531</v>
      </c>
      <c r="E1656" s="1" t="s">
        <v>3532</v>
      </c>
      <c r="F1656" t="s">
        <v>11</v>
      </c>
      <c r="G1656" s="2">
        <v>44160.443842592591</v>
      </c>
    </row>
    <row r="1657" spans="1:7" ht="15" customHeight="1" x14ac:dyDescent="0.3">
      <c r="A1657">
        <v>1317892</v>
      </c>
      <c r="B1657" t="s">
        <v>515</v>
      </c>
      <c r="C1657" t="s">
        <v>3533</v>
      </c>
      <c r="D1657" t="s">
        <v>3534</v>
      </c>
      <c r="E1657" s="1" t="s">
        <v>3535</v>
      </c>
      <c r="F1657" t="s">
        <v>11</v>
      </c>
      <c r="G1657" s="2">
        <v>44159.551342592589</v>
      </c>
    </row>
    <row r="1658" spans="1:7" ht="15" customHeight="1" x14ac:dyDescent="0.3">
      <c r="A1658">
        <v>1317872</v>
      </c>
      <c r="B1658" t="s">
        <v>7</v>
      </c>
      <c r="C1658" t="s">
        <v>40</v>
      </c>
      <c r="D1658" t="s">
        <v>3536</v>
      </c>
      <c r="E1658" s="1" t="s">
        <v>3537</v>
      </c>
      <c r="F1658" t="s">
        <v>24</v>
      </c>
      <c r="G1658" s="2">
        <v>44159.512094907404</v>
      </c>
    </row>
    <row r="1659" spans="1:7" ht="15" customHeight="1" x14ac:dyDescent="0.3">
      <c r="A1659">
        <v>1317867</v>
      </c>
      <c r="B1659" t="s">
        <v>3538</v>
      </c>
      <c r="C1659" t="s">
        <v>3539</v>
      </c>
      <c r="D1659" t="s">
        <v>3540</v>
      </c>
      <c r="E1659" s="1" t="s">
        <v>3541</v>
      </c>
      <c r="F1659" t="s">
        <v>11</v>
      </c>
      <c r="G1659" s="2">
        <v>44159.504965277774</v>
      </c>
    </row>
    <row r="1660" spans="1:7" ht="15" customHeight="1" x14ac:dyDescent="0.3">
      <c r="A1660">
        <v>1317835</v>
      </c>
      <c r="B1660" t="s">
        <v>489</v>
      </c>
      <c r="C1660" t="s">
        <v>490</v>
      </c>
      <c r="D1660" t="s">
        <v>3542</v>
      </c>
      <c r="E1660" s="1" t="s">
        <v>3543</v>
      </c>
      <c r="F1660" t="s">
        <v>11</v>
      </c>
      <c r="G1660" s="2">
        <v>44159.464259259257</v>
      </c>
    </row>
    <row r="1661" spans="1:7" ht="15" customHeight="1" x14ac:dyDescent="0.3">
      <c r="A1661">
        <v>1317828</v>
      </c>
      <c r="B1661" t="s">
        <v>2134</v>
      </c>
      <c r="C1661" t="s">
        <v>2135</v>
      </c>
      <c r="D1661" t="s">
        <v>3544</v>
      </c>
      <c r="E1661" s="1" t="s">
        <v>3545</v>
      </c>
      <c r="F1661" t="s">
        <v>11</v>
      </c>
      <c r="G1661" s="2">
        <v>44159.451909722222</v>
      </c>
    </row>
    <row r="1662" spans="1:7" ht="15" customHeight="1" x14ac:dyDescent="0.3">
      <c r="A1662">
        <v>1317821</v>
      </c>
      <c r="B1662" t="s">
        <v>350</v>
      </c>
      <c r="C1662" t="s">
        <v>351</v>
      </c>
      <c r="D1662" t="s">
        <v>3546</v>
      </c>
      <c r="E1662" s="1" t="s">
        <v>3547</v>
      </c>
      <c r="F1662" t="s">
        <v>11</v>
      </c>
      <c r="G1662" s="2">
        <v>44159.446342592593</v>
      </c>
    </row>
    <row r="1663" spans="1:7" ht="15" customHeight="1" x14ac:dyDescent="0.3">
      <c r="A1663">
        <v>1317765</v>
      </c>
      <c r="B1663" t="s">
        <v>36</v>
      </c>
      <c r="C1663" t="s">
        <v>1342</v>
      </c>
      <c r="D1663" t="s">
        <v>3548</v>
      </c>
      <c r="E1663" s="1" t="s">
        <v>3549</v>
      </c>
      <c r="F1663" t="s">
        <v>24</v>
      </c>
      <c r="G1663" s="2">
        <v>44159.415532407409</v>
      </c>
    </row>
    <row r="1664" spans="1:7" ht="15" customHeight="1" x14ac:dyDescent="0.3">
      <c r="A1664">
        <v>1317748</v>
      </c>
      <c r="B1664" t="s">
        <v>318</v>
      </c>
      <c r="C1664" t="s">
        <v>319</v>
      </c>
      <c r="D1664" t="s">
        <v>3550</v>
      </c>
      <c r="E1664" s="1" t="s">
        <v>3551</v>
      </c>
      <c r="F1664" t="s">
        <v>11</v>
      </c>
      <c r="G1664" s="2">
        <v>44159.400937500002</v>
      </c>
    </row>
    <row r="1665" spans="1:7" ht="15" customHeight="1" x14ac:dyDescent="0.3">
      <c r="A1665">
        <v>1317734</v>
      </c>
      <c r="B1665" t="s">
        <v>36</v>
      </c>
      <c r="C1665" t="s">
        <v>700</v>
      </c>
      <c r="D1665" t="s">
        <v>3552</v>
      </c>
      <c r="E1665" s="1" t="s">
        <v>3553</v>
      </c>
      <c r="F1665" t="s">
        <v>24</v>
      </c>
      <c r="G1665" s="2">
        <v>44159.390451388892</v>
      </c>
    </row>
    <row r="1666" spans="1:7" ht="15" customHeight="1" x14ac:dyDescent="0.3">
      <c r="A1666">
        <v>1317721</v>
      </c>
      <c r="B1666" t="s">
        <v>301</v>
      </c>
      <c r="C1666" t="s">
        <v>2127</v>
      </c>
      <c r="D1666" t="s">
        <v>3554</v>
      </c>
      <c r="E1666" s="1" t="s">
        <v>3555</v>
      </c>
      <c r="F1666" t="s">
        <v>11</v>
      </c>
      <c r="G1666" s="2">
        <v>44159.373564814814</v>
      </c>
    </row>
    <row r="1667" spans="1:7" ht="15" customHeight="1" x14ac:dyDescent="0.3">
      <c r="A1667">
        <v>1317680</v>
      </c>
      <c r="B1667" t="s">
        <v>7</v>
      </c>
      <c r="C1667" t="s">
        <v>1371</v>
      </c>
      <c r="D1667" t="s">
        <v>3556</v>
      </c>
      <c r="E1667" s="1" t="s">
        <v>3557</v>
      </c>
      <c r="F1667" t="s">
        <v>24</v>
      </c>
      <c r="G1667" s="2">
        <v>44159.328819444447</v>
      </c>
    </row>
    <row r="1668" spans="1:7" ht="15" customHeight="1" x14ac:dyDescent="0.3">
      <c r="A1668">
        <v>1317375</v>
      </c>
      <c r="B1668" t="s">
        <v>157</v>
      </c>
      <c r="C1668" t="s">
        <v>1178</v>
      </c>
      <c r="D1668" t="s">
        <v>3558</v>
      </c>
      <c r="E1668" s="1" t="s">
        <v>3559</v>
      </c>
      <c r="F1668" t="s">
        <v>11</v>
      </c>
      <c r="G1668" s="2">
        <v>44158.82671296296</v>
      </c>
    </row>
    <row r="1669" spans="1:7" ht="15" customHeight="1" x14ac:dyDescent="0.3">
      <c r="A1669">
        <v>1317171</v>
      </c>
      <c r="B1669" t="s">
        <v>16</v>
      </c>
      <c r="C1669" t="s">
        <v>3560</v>
      </c>
      <c r="D1669" t="s">
        <v>3561</v>
      </c>
      <c r="E1669" s="1" t="s">
        <v>3562</v>
      </c>
      <c r="F1669" t="s">
        <v>11</v>
      </c>
      <c r="G1669" s="2">
        <v>44158.473425925928</v>
      </c>
    </row>
    <row r="1670" spans="1:7" ht="15" customHeight="1" x14ac:dyDescent="0.3">
      <c r="A1670">
        <v>1317104</v>
      </c>
      <c r="B1670" t="s">
        <v>20</v>
      </c>
      <c r="C1670" t="s">
        <v>57</v>
      </c>
      <c r="D1670" t="s">
        <v>3563</v>
      </c>
      <c r="E1670" s="1" t="s">
        <v>3564</v>
      </c>
      <c r="F1670" t="s">
        <v>24</v>
      </c>
      <c r="G1670" s="2">
        <v>44158.417592592596</v>
      </c>
    </row>
    <row r="1671" spans="1:7" ht="15" customHeight="1" x14ac:dyDescent="0.3">
      <c r="A1671">
        <v>1317087</v>
      </c>
      <c r="B1671" t="s">
        <v>7</v>
      </c>
      <c r="C1671" t="s">
        <v>107</v>
      </c>
      <c r="D1671" t="s">
        <v>3565</v>
      </c>
      <c r="E1671" s="1" t="s">
        <v>3566</v>
      </c>
      <c r="F1671" t="s">
        <v>11</v>
      </c>
      <c r="G1671" s="2">
        <v>44158.410856481481</v>
      </c>
    </row>
    <row r="1672" spans="1:7" ht="15" customHeight="1" x14ac:dyDescent="0.3">
      <c r="A1672">
        <v>1315608</v>
      </c>
      <c r="B1672" t="s">
        <v>318</v>
      </c>
      <c r="C1672" t="s">
        <v>3071</v>
      </c>
      <c r="D1672" t="s">
        <v>3567</v>
      </c>
      <c r="E1672" s="1" t="s">
        <v>3568</v>
      </c>
      <c r="F1672" t="s">
        <v>11</v>
      </c>
      <c r="G1672" s="2">
        <v>44155.526655092595</v>
      </c>
    </row>
    <row r="1673" spans="1:7" ht="15" customHeight="1" x14ac:dyDescent="0.3">
      <c r="A1673">
        <v>1315556</v>
      </c>
      <c r="B1673" t="s">
        <v>545</v>
      </c>
      <c r="C1673" t="s">
        <v>2209</v>
      </c>
      <c r="D1673" t="s">
        <v>3569</v>
      </c>
      <c r="E1673" s="1" t="s">
        <v>3570</v>
      </c>
      <c r="F1673" t="s">
        <v>11</v>
      </c>
      <c r="G1673" s="2">
        <v>44155.443715277775</v>
      </c>
    </row>
    <row r="1674" spans="1:7" ht="15" customHeight="1" x14ac:dyDescent="0.3">
      <c r="A1674">
        <v>1315501</v>
      </c>
      <c r="B1674" t="s">
        <v>36</v>
      </c>
      <c r="C1674" t="s">
        <v>822</v>
      </c>
      <c r="D1674" t="s">
        <v>3571</v>
      </c>
      <c r="E1674" s="1" t="s">
        <v>3572</v>
      </c>
      <c r="F1674" t="s">
        <v>24</v>
      </c>
      <c r="G1674" s="2">
        <v>44155.408796296295</v>
      </c>
    </row>
    <row r="1675" spans="1:7" ht="15" customHeight="1" x14ac:dyDescent="0.3">
      <c r="A1675">
        <v>1315487</v>
      </c>
      <c r="B1675" t="s">
        <v>36</v>
      </c>
      <c r="C1675" t="s">
        <v>765</v>
      </c>
      <c r="D1675" t="s">
        <v>3573</v>
      </c>
      <c r="E1675" s="1" t="s">
        <v>3574</v>
      </c>
      <c r="F1675" t="s">
        <v>24</v>
      </c>
      <c r="G1675" s="2">
        <v>44155.401782407411</v>
      </c>
    </row>
    <row r="1676" spans="1:7" ht="15" customHeight="1" x14ac:dyDescent="0.3">
      <c r="A1676">
        <v>1315178</v>
      </c>
      <c r="B1676" t="s">
        <v>45</v>
      </c>
      <c r="C1676" t="s">
        <v>1743</v>
      </c>
      <c r="D1676" t="s">
        <v>3575</v>
      </c>
      <c r="E1676" s="1" t="s">
        <v>3576</v>
      </c>
      <c r="F1676" t="s">
        <v>11</v>
      </c>
      <c r="G1676" s="2">
        <v>44154.825740740744</v>
      </c>
    </row>
    <row r="1677" spans="1:7" ht="15" customHeight="1" x14ac:dyDescent="0.3">
      <c r="A1677">
        <v>1315080</v>
      </c>
      <c r="B1677" t="s">
        <v>20</v>
      </c>
      <c r="C1677" t="s">
        <v>1596</v>
      </c>
      <c r="D1677" t="s">
        <v>3577</v>
      </c>
      <c r="E1677" s="1" t="s">
        <v>3578</v>
      </c>
      <c r="F1677" t="s">
        <v>24</v>
      </c>
      <c r="G1677" s="2">
        <v>44154.684074074074</v>
      </c>
    </row>
    <row r="1678" spans="1:7" ht="15" customHeight="1" x14ac:dyDescent="0.3">
      <c r="A1678">
        <v>1315073</v>
      </c>
      <c r="B1678" t="s">
        <v>606</v>
      </c>
      <c r="C1678" t="s">
        <v>2534</v>
      </c>
      <c r="D1678" t="s">
        <v>3579</v>
      </c>
      <c r="E1678" s="1" t="s">
        <v>3580</v>
      </c>
      <c r="F1678" t="s">
        <v>24</v>
      </c>
      <c r="G1678" s="2">
        <v>44154.668171296296</v>
      </c>
    </row>
    <row r="1679" spans="1:7" ht="15" customHeight="1" x14ac:dyDescent="0.3">
      <c r="A1679">
        <v>1314989</v>
      </c>
      <c r="B1679" t="s">
        <v>36</v>
      </c>
      <c r="C1679" t="s">
        <v>67</v>
      </c>
      <c r="D1679" t="s">
        <v>3581</v>
      </c>
      <c r="E1679" s="1" t="s">
        <v>3582</v>
      </c>
      <c r="F1679" t="s">
        <v>24</v>
      </c>
      <c r="G1679" s="2">
        <v>44154.506944444445</v>
      </c>
    </row>
    <row r="1680" spans="1:7" ht="15" customHeight="1" x14ac:dyDescent="0.3">
      <c r="A1680">
        <v>1314983</v>
      </c>
      <c r="B1680" t="s">
        <v>12</v>
      </c>
      <c r="C1680" t="s">
        <v>338</v>
      </c>
      <c r="D1680" t="s">
        <v>3583</v>
      </c>
      <c r="E1680" s="1" t="s">
        <v>3584</v>
      </c>
      <c r="F1680" t="s">
        <v>11</v>
      </c>
      <c r="G1680" s="2">
        <v>44154.496446759258</v>
      </c>
    </row>
    <row r="1681" spans="1:7" ht="15" customHeight="1" x14ac:dyDescent="0.3">
      <c r="A1681">
        <v>1314970</v>
      </c>
      <c r="B1681" t="s">
        <v>813</v>
      </c>
      <c r="C1681" t="s">
        <v>814</v>
      </c>
      <c r="D1681" t="s">
        <v>3585</v>
      </c>
      <c r="E1681" s="1" t="s">
        <v>3586</v>
      </c>
      <c r="F1681" t="s">
        <v>24</v>
      </c>
      <c r="G1681" s="2">
        <v>44154.461388888885</v>
      </c>
    </row>
    <row r="1682" spans="1:7" ht="15" customHeight="1" x14ac:dyDescent="0.3">
      <c r="A1682">
        <v>1314960</v>
      </c>
      <c r="B1682" t="s">
        <v>177</v>
      </c>
      <c r="C1682" t="s">
        <v>3587</v>
      </c>
      <c r="D1682" t="s">
        <v>3588</v>
      </c>
      <c r="E1682" s="1" t="s">
        <v>3589</v>
      </c>
      <c r="F1682" t="s">
        <v>24</v>
      </c>
      <c r="G1682" s="2">
        <v>44154.433472222219</v>
      </c>
    </row>
    <row r="1683" spans="1:7" ht="15" customHeight="1" x14ac:dyDescent="0.3">
      <c r="A1683">
        <v>1314948</v>
      </c>
      <c r="B1683" t="s">
        <v>157</v>
      </c>
      <c r="C1683" t="s">
        <v>3590</v>
      </c>
      <c r="D1683" t="s">
        <v>3591</v>
      </c>
      <c r="E1683" s="1" t="s">
        <v>3592</v>
      </c>
      <c r="F1683" t="s">
        <v>11</v>
      </c>
      <c r="G1683" s="2">
        <v>44154.418703703705</v>
      </c>
    </row>
    <row r="1684" spans="1:7" ht="15" customHeight="1" x14ac:dyDescent="0.3">
      <c r="A1684">
        <v>1314918</v>
      </c>
      <c r="B1684" t="s">
        <v>16</v>
      </c>
      <c r="C1684" t="s">
        <v>181</v>
      </c>
      <c r="D1684" t="s">
        <v>3593</v>
      </c>
      <c r="E1684" s="1" t="s">
        <v>3594</v>
      </c>
      <c r="F1684" t="s">
        <v>11</v>
      </c>
      <c r="G1684" s="2">
        <v>44154.413506944446</v>
      </c>
    </row>
    <row r="1685" spans="1:7" ht="15" customHeight="1" x14ac:dyDescent="0.3">
      <c r="A1685">
        <v>1314917</v>
      </c>
      <c r="B1685" t="s">
        <v>545</v>
      </c>
      <c r="C1685" t="s">
        <v>2579</v>
      </c>
      <c r="D1685" t="s">
        <v>3595</v>
      </c>
      <c r="E1685" s="1" t="s">
        <v>3596</v>
      </c>
      <c r="F1685" t="s">
        <v>24</v>
      </c>
      <c r="G1685" s="2">
        <v>44154.412499999999</v>
      </c>
    </row>
    <row r="1686" spans="1:7" ht="15" customHeight="1" x14ac:dyDescent="0.3">
      <c r="A1686">
        <v>1314912</v>
      </c>
      <c r="B1686" t="s">
        <v>36</v>
      </c>
      <c r="C1686" t="s">
        <v>67</v>
      </c>
      <c r="D1686" t="s">
        <v>3597</v>
      </c>
      <c r="E1686" s="1" t="s">
        <v>3598</v>
      </c>
      <c r="F1686" t="s">
        <v>24</v>
      </c>
      <c r="G1686" s="2">
        <v>44154.404849537037</v>
      </c>
    </row>
    <row r="1687" spans="1:7" ht="15" customHeight="1" x14ac:dyDescent="0.3">
      <c r="A1687">
        <v>1314904</v>
      </c>
      <c r="B1687" t="s">
        <v>489</v>
      </c>
      <c r="C1687" t="s">
        <v>158</v>
      </c>
      <c r="D1687" t="s">
        <v>3599</v>
      </c>
      <c r="E1687" s="1" t="s">
        <v>3600</v>
      </c>
      <c r="F1687" t="s">
        <v>11</v>
      </c>
      <c r="G1687" s="2">
        <v>44154.393240740741</v>
      </c>
    </row>
    <row r="1688" spans="1:7" ht="15" customHeight="1" x14ac:dyDescent="0.3">
      <c r="A1688">
        <v>1314899</v>
      </c>
      <c r="B1688" t="s">
        <v>16</v>
      </c>
      <c r="C1688" t="s">
        <v>3601</v>
      </c>
      <c r="D1688" t="s">
        <v>3602</v>
      </c>
      <c r="E1688" s="1" t="s">
        <v>3603</v>
      </c>
      <c r="F1688" t="s">
        <v>11</v>
      </c>
      <c r="G1688" s="2">
        <v>44154.388680555552</v>
      </c>
    </row>
    <row r="1689" spans="1:7" ht="15" customHeight="1" x14ac:dyDescent="0.3">
      <c r="A1689">
        <v>1314342</v>
      </c>
      <c r="B1689" t="s">
        <v>3604</v>
      </c>
      <c r="C1689" t="s">
        <v>3605</v>
      </c>
      <c r="D1689" t="s">
        <v>3606</v>
      </c>
      <c r="E1689" s="1" t="s">
        <v>3607</v>
      </c>
      <c r="F1689" t="s">
        <v>11</v>
      </c>
      <c r="G1689" s="2">
        <v>44153.623703703706</v>
      </c>
    </row>
    <row r="1690" spans="1:7" ht="15" customHeight="1" x14ac:dyDescent="0.3">
      <c r="A1690">
        <v>1314327</v>
      </c>
      <c r="B1690" t="s">
        <v>157</v>
      </c>
      <c r="C1690" t="s">
        <v>627</v>
      </c>
      <c r="D1690" t="s">
        <v>3608</v>
      </c>
      <c r="E1690" s="1" t="s">
        <v>3609</v>
      </c>
      <c r="F1690" t="s">
        <v>11</v>
      </c>
      <c r="G1690" s="2">
        <v>44153.588680555556</v>
      </c>
    </row>
    <row r="1691" spans="1:7" ht="15" customHeight="1" x14ac:dyDescent="0.3">
      <c r="A1691">
        <v>1314319</v>
      </c>
      <c r="B1691" t="s">
        <v>36</v>
      </c>
      <c r="C1691" t="s">
        <v>762</v>
      </c>
      <c r="D1691" t="s">
        <v>3610</v>
      </c>
      <c r="E1691" s="1" t="s">
        <v>3611</v>
      </c>
      <c r="F1691" t="s">
        <v>24</v>
      </c>
      <c r="G1691" s="2">
        <v>44153.562268518515</v>
      </c>
    </row>
    <row r="1692" spans="1:7" ht="15" customHeight="1" x14ac:dyDescent="0.3">
      <c r="A1692">
        <v>1314275</v>
      </c>
      <c r="B1692" t="s">
        <v>53</v>
      </c>
      <c r="C1692" t="s">
        <v>54</v>
      </c>
      <c r="D1692" t="s">
        <v>3612</v>
      </c>
      <c r="E1692" s="1" t="s">
        <v>3613</v>
      </c>
      <c r="F1692" t="s">
        <v>11</v>
      </c>
      <c r="G1692" s="2">
        <v>44153.470312500001</v>
      </c>
    </row>
    <row r="1693" spans="1:7" ht="15" customHeight="1" x14ac:dyDescent="0.3">
      <c r="A1693">
        <v>1314272</v>
      </c>
      <c r="B1693" t="s">
        <v>36</v>
      </c>
      <c r="C1693" t="s">
        <v>343</v>
      </c>
      <c r="D1693" t="s">
        <v>3614</v>
      </c>
      <c r="E1693" s="1" t="s">
        <v>3615</v>
      </c>
      <c r="F1693" t="s">
        <v>24</v>
      </c>
      <c r="G1693" s="2">
        <v>44153.46162037037</v>
      </c>
    </row>
    <row r="1694" spans="1:7" ht="15" customHeight="1" x14ac:dyDescent="0.3">
      <c r="A1694">
        <v>1314271</v>
      </c>
      <c r="B1694" t="s">
        <v>36</v>
      </c>
      <c r="C1694" t="s">
        <v>343</v>
      </c>
      <c r="D1694" t="s">
        <v>3616</v>
      </c>
      <c r="E1694" s="1" t="s">
        <v>3617</v>
      </c>
      <c r="F1694" t="s">
        <v>24</v>
      </c>
      <c r="G1694" s="2">
        <v>44153.460416666669</v>
      </c>
    </row>
    <row r="1695" spans="1:7" ht="15" customHeight="1" x14ac:dyDescent="0.3">
      <c r="A1695">
        <v>1314257</v>
      </c>
      <c r="B1695" t="s">
        <v>1137</v>
      </c>
      <c r="C1695" t="s">
        <v>1138</v>
      </c>
      <c r="D1695" t="s">
        <v>3618</v>
      </c>
      <c r="E1695" s="1" t="s">
        <v>3619</v>
      </c>
      <c r="F1695" t="s">
        <v>24</v>
      </c>
      <c r="G1695" s="2">
        <v>44153.441759259258</v>
      </c>
    </row>
    <row r="1696" spans="1:7" ht="15" customHeight="1" x14ac:dyDescent="0.3">
      <c r="A1696">
        <v>1314256</v>
      </c>
      <c r="B1696" t="s">
        <v>36</v>
      </c>
      <c r="C1696" t="s">
        <v>124</v>
      </c>
      <c r="D1696" t="s">
        <v>3620</v>
      </c>
      <c r="E1696" s="1" t="s">
        <v>3621</v>
      </c>
      <c r="F1696" t="s">
        <v>24</v>
      </c>
      <c r="G1696" s="2">
        <v>44153.441469907404</v>
      </c>
    </row>
    <row r="1697" spans="1:7" ht="15" customHeight="1" x14ac:dyDescent="0.3">
      <c r="A1697">
        <v>1314212</v>
      </c>
      <c r="B1697" t="s">
        <v>860</v>
      </c>
      <c r="C1697" t="s">
        <v>158</v>
      </c>
      <c r="D1697" t="s">
        <v>3622</v>
      </c>
      <c r="E1697" s="1" t="s">
        <v>3623</v>
      </c>
      <c r="F1697" t="s">
        <v>24</v>
      </c>
      <c r="G1697" s="2">
        <v>44153.398252314815</v>
      </c>
    </row>
    <row r="1698" spans="1:7" ht="15" customHeight="1" x14ac:dyDescent="0.3">
      <c r="A1698">
        <v>1313776</v>
      </c>
      <c r="B1698" t="s">
        <v>36</v>
      </c>
      <c r="C1698" t="s">
        <v>343</v>
      </c>
      <c r="D1698" t="s">
        <v>3624</v>
      </c>
      <c r="E1698" s="1" t="s">
        <v>3625</v>
      </c>
      <c r="F1698" t="s">
        <v>24</v>
      </c>
      <c r="G1698" s="2">
        <v>44152.634583333333</v>
      </c>
    </row>
    <row r="1699" spans="1:7" ht="15" customHeight="1" x14ac:dyDescent="0.3">
      <c r="A1699">
        <v>1313772</v>
      </c>
      <c r="B1699" t="s">
        <v>53</v>
      </c>
      <c r="C1699" t="s">
        <v>54</v>
      </c>
      <c r="D1699" t="s">
        <v>3626</v>
      </c>
      <c r="E1699" s="1" t="s">
        <v>3627</v>
      </c>
      <c r="F1699" t="s">
        <v>11</v>
      </c>
      <c r="G1699" s="2">
        <v>44152.630729166667</v>
      </c>
    </row>
    <row r="1700" spans="1:7" ht="15" customHeight="1" x14ac:dyDescent="0.3">
      <c r="A1700">
        <v>1313762</v>
      </c>
      <c r="B1700" t="s">
        <v>545</v>
      </c>
      <c r="C1700" t="s">
        <v>2209</v>
      </c>
      <c r="D1700" t="s">
        <v>3628</v>
      </c>
      <c r="E1700" s="1" t="s">
        <v>3629</v>
      </c>
      <c r="F1700" t="s">
        <v>24</v>
      </c>
      <c r="G1700" s="2">
        <v>44152.611712962964</v>
      </c>
    </row>
    <row r="1701" spans="1:7" ht="15" customHeight="1" x14ac:dyDescent="0.3">
      <c r="A1701">
        <v>1313746</v>
      </c>
      <c r="B1701" t="s">
        <v>3002</v>
      </c>
      <c r="C1701" t="s">
        <v>3630</v>
      </c>
      <c r="D1701" t="s">
        <v>3631</v>
      </c>
      <c r="E1701" s="1" t="s">
        <v>3632</v>
      </c>
      <c r="F1701" t="s">
        <v>11</v>
      </c>
      <c r="G1701" s="2">
        <v>44152.580682870372</v>
      </c>
    </row>
    <row r="1702" spans="1:7" ht="15" customHeight="1" x14ac:dyDescent="0.3">
      <c r="A1702">
        <v>1313726</v>
      </c>
      <c r="B1702" t="s">
        <v>318</v>
      </c>
      <c r="C1702" t="s">
        <v>319</v>
      </c>
      <c r="D1702" t="s">
        <v>3633</v>
      </c>
      <c r="E1702" s="1" t="s">
        <v>3634</v>
      </c>
      <c r="F1702" t="s">
        <v>24</v>
      </c>
      <c r="G1702" s="2">
        <v>44152.552777777775</v>
      </c>
    </row>
    <row r="1703" spans="1:7" ht="15" customHeight="1" x14ac:dyDescent="0.3">
      <c r="A1703">
        <v>1313676</v>
      </c>
      <c r="B1703" t="s">
        <v>12</v>
      </c>
      <c r="C1703" t="s">
        <v>338</v>
      </c>
      <c r="D1703" t="s">
        <v>3635</v>
      </c>
      <c r="E1703" s="1" t="s">
        <v>3636</v>
      </c>
      <c r="F1703" t="s">
        <v>11</v>
      </c>
      <c r="G1703" s="2">
        <v>44152.474907407406</v>
      </c>
    </row>
    <row r="1704" spans="1:7" ht="15" customHeight="1" x14ac:dyDescent="0.3">
      <c r="A1704">
        <v>1313561</v>
      </c>
      <c r="B1704" t="s">
        <v>36</v>
      </c>
      <c r="C1704" t="s">
        <v>67</v>
      </c>
      <c r="D1704" t="s">
        <v>3637</v>
      </c>
      <c r="E1704" s="1" t="s">
        <v>3638</v>
      </c>
      <c r="F1704" t="s">
        <v>24</v>
      </c>
      <c r="G1704" s="2">
        <v>44152.340173611112</v>
      </c>
    </row>
    <row r="1705" spans="1:7" ht="15" customHeight="1" x14ac:dyDescent="0.3">
      <c r="A1705">
        <v>1313277</v>
      </c>
      <c r="B1705" t="s">
        <v>53</v>
      </c>
      <c r="C1705" t="s">
        <v>54</v>
      </c>
      <c r="D1705" t="s">
        <v>3639</v>
      </c>
      <c r="E1705" s="1" t="s">
        <v>3640</v>
      </c>
      <c r="F1705" t="s">
        <v>11</v>
      </c>
      <c r="G1705" s="2">
        <v>44151.767199074071</v>
      </c>
    </row>
    <row r="1706" spans="1:7" ht="15" customHeight="1" x14ac:dyDescent="0.3">
      <c r="A1706">
        <v>1313199</v>
      </c>
      <c r="B1706" t="s">
        <v>36</v>
      </c>
      <c r="C1706" t="s">
        <v>3641</v>
      </c>
      <c r="D1706" t="s">
        <v>3642</v>
      </c>
      <c r="E1706" s="1" t="s">
        <v>3643</v>
      </c>
      <c r="F1706" t="s">
        <v>24</v>
      </c>
      <c r="G1706" s="2">
        <v>44151.63685185185</v>
      </c>
    </row>
    <row r="1707" spans="1:7" ht="15" customHeight="1" x14ac:dyDescent="0.3">
      <c r="A1707">
        <v>1313195</v>
      </c>
      <c r="B1707" t="s">
        <v>1825</v>
      </c>
      <c r="C1707" t="s">
        <v>3509</v>
      </c>
      <c r="D1707" t="s">
        <v>3644</v>
      </c>
      <c r="E1707" s="1" t="s">
        <v>3645</v>
      </c>
      <c r="F1707" t="s">
        <v>11</v>
      </c>
      <c r="G1707" s="2">
        <v>44151.63108796296</v>
      </c>
    </row>
    <row r="1708" spans="1:7" ht="15" customHeight="1" x14ac:dyDescent="0.3">
      <c r="A1708">
        <v>1313128</v>
      </c>
      <c r="B1708" t="s">
        <v>53</v>
      </c>
      <c r="C1708" t="s">
        <v>54</v>
      </c>
      <c r="D1708" t="s">
        <v>3646</v>
      </c>
      <c r="E1708" s="1" t="s">
        <v>3647</v>
      </c>
      <c r="F1708" t="s">
        <v>11</v>
      </c>
      <c r="G1708" s="2">
        <v>44151.475752314815</v>
      </c>
    </row>
    <row r="1709" spans="1:7" ht="15" customHeight="1" x14ac:dyDescent="0.3">
      <c r="A1709">
        <v>1313096</v>
      </c>
      <c r="B1709" t="s">
        <v>318</v>
      </c>
      <c r="C1709" t="s">
        <v>319</v>
      </c>
      <c r="D1709" t="s">
        <v>3648</v>
      </c>
      <c r="E1709" s="1" t="s">
        <v>3649</v>
      </c>
      <c r="F1709" t="s">
        <v>11</v>
      </c>
      <c r="G1709" s="2">
        <v>44151.446516203701</v>
      </c>
    </row>
    <row r="1710" spans="1:7" ht="15" customHeight="1" x14ac:dyDescent="0.3">
      <c r="A1710">
        <v>1313083</v>
      </c>
      <c r="B1710" t="s">
        <v>32</v>
      </c>
      <c r="C1710" t="s">
        <v>3650</v>
      </c>
      <c r="D1710" t="s">
        <v>3651</v>
      </c>
      <c r="E1710" s="1" t="s">
        <v>3652</v>
      </c>
      <c r="F1710" t="s">
        <v>11</v>
      </c>
      <c r="G1710" s="2">
        <v>44151.436307870368</v>
      </c>
    </row>
    <row r="1711" spans="1:7" ht="15" customHeight="1" x14ac:dyDescent="0.3">
      <c r="A1711">
        <v>1312925</v>
      </c>
      <c r="B1711" t="s">
        <v>36</v>
      </c>
      <c r="C1711" t="s">
        <v>1342</v>
      </c>
      <c r="D1711" t="s">
        <v>3653</v>
      </c>
      <c r="E1711" s="1" t="s">
        <v>3654</v>
      </c>
      <c r="F1711" t="s">
        <v>11</v>
      </c>
      <c r="G1711" s="2">
        <v>44151.115613425929</v>
      </c>
    </row>
    <row r="1712" spans="1:7" ht="15" customHeight="1" x14ac:dyDescent="0.3">
      <c r="A1712">
        <v>1311686</v>
      </c>
      <c r="B1712" t="s">
        <v>45</v>
      </c>
      <c r="C1712" t="s">
        <v>1743</v>
      </c>
      <c r="D1712" t="s">
        <v>3655</v>
      </c>
      <c r="E1712" s="1" t="s">
        <v>3656</v>
      </c>
      <c r="F1712" t="s">
        <v>11</v>
      </c>
      <c r="G1712" s="2">
        <v>44148.423391203702</v>
      </c>
    </row>
    <row r="1713" spans="1:7" ht="15" customHeight="1" x14ac:dyDescent="0.3">
      <c r="A1713">
        <v>1311683</v>
      </c>
      <c r="B1713" t="s">
        <v>95</v>
      </c>
      <c r="C1713" t="s">
        <v>2189</v>
      </c>
      <c r="D1713" t="s">
        <v>3657</v>
      </c>
      <c r="E1713" s="1" t="s">
        <v>3658</v>
      </c>
      <c r="F1713" t="s">
        <v>24</v>
      </c>
      <c r="G1713" s="2">
        <v>44148.419016203705</v>
      </c>
    </row>
    <row r="1714" spans="1:7" ht="15" customHeight="1" x14ac:dyDescent="0.3">
      <c r="A1714">
        <v>1311620</v>
      </c>
      <c r="B1714" t="s">
        <v>7</v>
      </c>
      <c r="C1714" t="s">
        <v>3659</v>
      </c>
      <c r="D1714" t="s">
        <v>3660</v>
      </c>
      <c r="E1714" s="1" t="s">
        <v>3661</v>
      </c>
      <c r="F1714" t="s">
        <v>11</v>
      </c>
      <c r="G1714" s="2">
        <v>44148.357604166667</v>
      </c>
    </row>
    <row r="1715" spans="1:7" ht="15" customHeight="1" x14ac:dyDescent="0.3">
      <c r="A1715">
        <v>1311612</v>
      </c>
      <c r="B1715" t="s">
        <v>7</v>
      </c>
      <c r="C1715" t="s">
        <v>107</v>
      </c>
      <c r="D1715" t="s">
        <v>3662</v>
      </c>
      <c r="E1715" s="1" t="s">
        <v>3661</v>
      </c>
      <c r="F1715" t="s">
        <v>11</v>
      </c>
      <c r="G1715" s="2">
        <v>44148.346168981479</v>
      </c>
    </row>
    <row r="1716" spans="1:7" ht="15" customHeight="1" x14ac:dyDescent="0.3">
      <c r="A1716">
        <v>1311223</v>
      </c>
      <c r="B1716" t="s">
        <v>36</v>
      </c>
      <c r="C1716" t="s">
        <v>1666</v>
      </c>
      <c r="D1716" t="s">
        <v>3663</v>
      </c>
      <c r="E1716" s="1" t="s">
        <v>3664</v>
      </c>
      <c r="F1716" t="s">
        <v>11</v>
      </c>
      <c r="G1716" s="2">
        <v>44147.643703703703</v>
      </c>
    </row>
    <row r="1717" spans="1:7" ht="15" customHeight="1" x14ac:dyDescent="0.3">
      <c r="A1717">
        <v>1310943</v>
      </c>
      <c r="B1717" t="s">
        <v>32</v>
      </c>
      <c r="C1717" t="s">
        <v>463</v>
      </c>
      <c r="D1717" t="s">
        <v>3665</v>
      </c>
      <c r="E1717" s="1" t="s">
        <v>3666</v>
      </c>
      <c r="F1717" t="s">
        <v>11</v>
      </c>
      <c r="G1717" s="2">
        <v>44147.465173611112</v>
      </c>
    </row>
    <row r="1718" spans="1:7" ht="15" customHeight="1" x14ac:dyDescent="0.3">
      <c r="A1718">
        <v>1310933</v>
      </c>
      <c r="B1718" t="s">
        <v>36</v>
      </c>
      <c r="C1718" t="s">
        <v>324</v>
      </c>
      <c r="D1718" t="s">
        <v>3667</v>
      </c>
      <c r="E1718" s="1" t="s">
        <v>3668</v>
      </c>
      <c r="F1718" t="s">
        <v>24</v>
      </c>
      <c r="G1718" s="2">
        <v>44147.450624999998</v>
      </c>
    </row>
    <row r="1719" spans="1:7" ht="15" customHeight="1" x14ac:dyDescent="0.3">
      <c r="A1719">
        <v>1310924</v>
      </c>
      <c r="B1719" t="s">
        <v>53</v>
      </c>
      <c r="C1719" t="s">
        <v>1510</v>
      </c>
      <c r="D1719" t="s">
        <v>3669</v>
      </c>
      <c r="E1719" s="1" t="s">
        <v>3670</v>
      </c>
      <c r="F1719" t="s">
        <v>24</v>
      </c>
      <c r="G1719" s="2">
        <v>44147.42391203704</v>
      </c>
    </row>
    <row r="1720" spans="1:7" ht="15" customHeight="1" x14ac:dyDescent="0.3">
      <c r="A1720">
        <v>1310883</v>
      </c>
      <c r="B1720" t="s">
        <v>95</v>
      </c>
      <c r="C1720" t="s">
        <v>668</v>
      </c>
      <c r="D1720" t="s">
        <v>3671</v>
      </c>
      <c r="E1720" s="1" t="s">
        <v>3672</v>
      </c>
      <c r="F1720" t="s">
        <v>24</v>
      </c>
      <c r="G1720" s="2">
        <v>44147.408692129633</v>
      </c>
    </row>
    <row r="1721" spans="1:7" ht="15" customHeight="1" x14ac:dyDescent="0.3">
      <c r="A1721">
        <v>1310802</v>
      </c>
      <c r="B1721" t="s">
        <v>16</v>
      </c>
      <c r="C1721" t="s">
        <v>649</v>
      </c>
      <c r="D1721" t="s">
        <v>3673</v>
      </c>
      <c r="E1721" s="1" t="s">
        <v>3674</v>
      </c>
      <c r="F1721" t="s">
        <v>11</v>
      </c>
      <c r="G1721" s="2">
        <v>44147.287256944444</v>
      </c>
    </row>
    <row r="1722" spans="1:7" ht="15" customHeight="1" x14ac:dyDescent="0.3">
      <c r="A1722">
        <v>1310457</v>
      </c>
      <c r="B1722" t="s">
        <v>1396</v>
      </c>
      <c r="C1722" t="s">
        <v>3675</v>
      </c>
      <c r="D1722" t="s">
        <v>3676</v>
      </c>
      <c r="E1722" s="1" t="s">
        <v>3677</v>
      </c>
      <c r="F1722" t="s">
        <v>11</v>
      </c>
      <c r="G1722" s="2">
        <v>44146.644803240742</v>
      </c>
    </row>
    <row r="1723" spans="1:7" ht="15" customHeight="1" x14ac:dyDescent="0.3">
      <c r="A1723">
        <v>1310360</v>
      </c>
      <c r="B1723" t="s">
        <v>2355</v>
      </c>
      <c r="C1723" t="s">
        <v>2356</v>
      </c>
      <c r="D1723" t="s">
        <v>3678</v>
      </c>
      <c r="E1723" s="1" t="s">
        <v>3679</v>
      </c>
      <c r="F1723" t="s">
        <v>11</v>
      </c>
      <c r="G1723" s="2">
        <v>44146.399236111109</v>
      </c>
    </row>
    <row r="1724" spans="1:7" ht="15" customHeight="1" x14ac:dyDescent="0.3">
      <c r="A1724">
        <v>1310351</v>
      </c>
      <c r="B1724" t="s">
        <v>606</v>
      </c>
      <c r="C1724" t="s">
        <v>2534</v>
      </c>
      <c r="D1724" t="s">
        <v>3680</v>
      </c>
      <c r="E1724" s="1" t="s">
        <v>3681</v>
      </c>
      <c r="F1724" t="s">
        <v>11</v>
      </c>
      <c r="G1724" s="2">
        <v>44146.338831018518</v>
      </c>
    </row>
    <row r="1725" spans="1:7" ht="15" customHeight="1" x14ac:dyDescent="0.3">
      <c r="A1725">
        <v>1309934</v>
      </c>
      <c r="B1725" t="s">
        <v>157</v>
      </c>
      <c r="C1725" t="s">
        <v>3590</v>
      </c>
      <c r="D1725" t="s">
        <v>3682</v>
      </c>
      <c r="E1725" s="1" t="s">
        <v>3683</v>
      </c>
      <c r="F1725" t="s">
        <v>11</v>
      </c>
      <c r="G1725" s="2">
        <v>44145.675057870372</v>
      </c>
    </row>
    <row r="1726" spans="1:7" ht="15" customHeight="1" x14ac:dyDescent="0.3">
      <c r="A1726">
        <v>1309911</v>
      </c>
      <c r="B1726" t="s">
        <v>431</v>
      </c>
      <c r="C1726" t="s">
        <v>432</v>
      </c>
      <c r="D1726" t="s">
        <v>3684</v>
      </c>
      <c r="E1726" s="1" t="s">
        <v>3685</v>
      </c>
      <c r="F1726" t="s">
        <v>24</v>
      </c>
      <c r="G1726" s="2">
        <v>44145.639293981483</v>
      </c>
    </row>
    <row r="1727" spans="1:7" ht="15" customHeight="1" x14ac:dyDescent="0.3">
      <c r="A1727">
        <v>1309898</v>
      </c>
      <c r="B1727" t="s">
        <v>350</v>
      </c>
      <c r="C1727" t="s">
        <v>1119</v>
      </c>
      <c r="D1727" t="s">
        <v>3686</v>
      </c>
      <c r="E1727" s="1" t="s">
        <v>3687</v>
      </c>
      <c r="F1727" t="s">
        <v>24</v>
      </c>
      <c r="G1727" s="2">
        <v>44145.621631944443</v>
      </c>
    </row>
    <row r="1728" spans="1:7" ht="15" customHeight="1" x14ac:dyDescent="0.3">
      <c r="A1728">
        <v>1309833</v>
      </c>
      <c r="B1728" t="s">
        <v>1684</v>
      </c>
      <c r="C1728" t="s">
        <v>2695</v>
      </c>
      <c r="D1728" t="s">
        <v>3688</v>
      </c>
      <c r="E1728" s="1" t="s">
        <v>3689</v>
      </c>
      <c r="F1728" t="s">
        <v>11</v>
      </c>
      <c r="G1728" s="2">
        <v>44145.464039351849</v>
      </c>
    </row>
    <row r="1729" spans="1:7" ht="15" customHeight="1" x14ac:dyDescent="0.3">
      <c r="A1729">
        <v>1309739</v>
      </c>
      <c r="B1729" t="s">
        <v>3690</v>
      </c>
      <c r="C1729" t="s">
        <v>3691</v>
      </c>
      <c r="D1729" t="s">
        <v>3692</v>
      </c>
      <c r="E1729" s="1" t="s">
        <v>3693</v>
      </c>
      <c r="F1729" t="s">
        <v>24</v>
      </c>
      <c r="G1729" s="2">
        <v>44145.39203703704</v>
      </c>
    </row>
    <row r="1730" spans="1:7" ht="15" customHeight="1" x14ac:dyDescent="0.3">
      <c r="A1730">
        <v>1309725</v>
      </c>
      <c r="B1730" t="s">
        <v>7</v>
      </c>
      <c r="C1730" t="s">
        <v>107</v>
      </c>
      <c r="D1730" t="s">
        <v>3694</v>
      </c>
      <c r="E1730" s="1" t="s">
        <v>3695</v>
      </c>
      <c r="F1730" t="s">
        <v>11</v>
      </c>
      <c r="G1730" s="2">
        <v>44145.375081018516</v>
      </c>
    </row>
    <row r="1731" spans="1:7" ht="15" customHeight="1" x14ac:dyDescent="0.3">
      <c r="A1731">
        <v>1309714</v>
      </c>
      <c r="B1731" t="s">
        <v>45</v>
      </c>
      <c r="D1731" t="s">
        <v>3696</v>
      </c>
      <c r="E1731" s="1" t="s">
        <v>3697</v>
      </c>
      <c r="F1731" t="s">
        <v>11</v>
      </c>
      <c r="G1731" s="2">
        <v>44145.347592592596</v>
      </c>
    </row>
    <row r="1732" spans="1:7" ht="15" customHeight="1" x14ac:dyDescent="0.3">
      <c r="A1732">
        <v>1309700</v>
      </c>
      <c r="B1732" t="s">
        <v>91</v>
      </c>
      <c r="C1732" t="s">
        <v>1855</v>
      </c>
      <c r="D1732" t="s">
        <v>3698</v>
      </c>
      <c r="E1732" s="1" t="s">
        <v>3699</v>
      </c>
      <c r="F1732" t="s">
        <v>11</v>
      </c>
      <c r="G1732" s="2">
        <v>44145.324756944443</v>
      </c>
    </row>
    <row r="1733" spans="1:7" ht="15" customHeight="1" x14ac:dyDescent="0.3">
      <c r="A1733">
        <v>1309226</v>
      </c>
      <c r="B1733" t="s">
        <v>226</v>
      </c>
      <c r="C1733" t="s">
        <v>227</v>
      </c>
      <c r="D1733" t="s">
        <v>3700</v>
      </c>
      <c r="E1733" s="1" t="s">
        <v>3701</v>
      </c>
      <c r="F1733" t="s">
        <v>11</v>
      </c>
      <c r="G1733" s="2">
        <v>44144.477708333332</v>
      </c>
    </row>
    <row r="1734" spans="1:7" ht="15" customHeight="1" x14ac:dyDescent="0.3">
      <c r="A1734">
        <v>1309196</v>
      </c>
      <c r="B1734" t="s">
        <v>16</v>
      </c>
      <c r="C1734" t="s">
        <v>3560</v>
      </c>
      <c r="D1734" t="s">
        <v>3702</v>
      </c>
      <c r="E1734" s="1" t="s">
        <v>3703</v>
      </c>
      <c r="F1734" t="s">
        <v>11</v>
      </c>
      <c r="G1734" s="2">
        <v>44144.434467592589</v>
      </c>
    </row>
    <row r="1735" spans="1:7" ht="15" customHeight="1" x14ac:dyDescent="0.3">
      <c r="A1735">
        <v>1309195</v>
      </c>
      <c r="B1735" t="s">
        <v>545</v>
      </c>
      <c r="C1735" t="s">
        <v>3704</v>
      </c>
      <c r="D1735" t="s">
        <v>3705</v>
      </c>
      <c r="E1735" s="1" t="s">
        <v>3706</v>
      </c>
      <c r="F1735" t="s">
        <v>11</v>
      </c>
      <c r="G1735" s="2">
        <v>44144.433622685188</v>
      </c>
    </row>
    <row r="1736" spans="1:7" ht="15" customHeight="1" x14ac:dyDescent="0.3">
      <c r="A1736">
        <v>1309124</v>
      </c>
      <c r="B1736" t="s">
        <v>7</v>
      </c>
      <c r="C1736" t="s">
        <v>3707</v>
      </c>
      <c r="D1736" t="s">
        <v>3708</v>
      </c>
      <c r="E1736" s="1" t="s">
        <v>3709</v>
      </c>
      <c r="F1736" t="s">
        <v>11</v>
      </c>
      <c r="G1736" s="2">
        <v>44144.37740740741</v>
      </c>
    </row>
    <row r="1737" spans="1:7" ht="15" customHeight="1" x14ac:dyDescent="0.3">
      <c r="A1737">
        <v>1307467</v>
      </c>
      <c r="B1737" t="s">
        <v>545</v>
      </c>
      <c r="C1737" t="s">
        <v>1769</v>
      </c>
      <c r="D1737" t="s">
        <v>3710</v>
      </c>
      <c r="E1737" s="1" t="s">
        <v>3711</v>
      </c>
      <c r="F1737" t="s">
        <v>11</v>
      </c>
      <c r="G1737" s="2">
        <v>44141.631226851852</v>
      </c>
    </row>
    <row r="1738" spans="1:7" ht="15" customHeight="1" x14ac:dyDescent="0.3">
      <c r="A1738">
        <v>1307231</v>
      </c>
      <c r="B1738" t="s">
        <v>53</v>
      </c>
      <c r="C1738" t="s">
        <v>54</v>
      </c>
      <c r="D1738" t="s">
        <v>3712</v>
      </c>
      <c r="E1738" s="1" t="s">
        <v>3713</v>
      </c>
      <c r="F1738" t="s">
        <v>11</v>
      </c>
      <c r="G1738" s="2">
        <v>44141.450266203705</v>
      </c>
    </row>
    <row r="1739" spans="1:7" ht="15" customHeight="1" x14ac:dyDescent="0.3">
      <c r="A1739">
        <v>1305395</v>
      </c>
      <c r="B1739" t="s">
        <v>157</v>
      </c>
      <c r="C1739" t="s">
        <v>443</v>
      </c>
      <c r="D1739" t="s">
        <v>3714</v>
      </c>
      <c r="E1739" s="1" t="s">
        <v>445</v>
      </c>
      <c r="F1739" t="s">
        <v>11</v>
      </c>
      <c r="G1739" s="2">
        <v>44141.39439814815</v>
      </c>
    </row>
    <row r="1740" spans="1:7" ht="15" customHeight="1" x14ac:dyDescent="0.3">
      <c r="A1740">
        <v>1305287</v>
      </c>
      <c r="B1740" t="s">
        <v>1105</v>
      </c>
      <c r="C1740" t="s">
        <v>1106</v>
      </c>
      <c r="D1740" t="s">
        <v>3715</v>
      </c>
      <c r="E1740" s="1" t="s">
        <v>3716</v>
      </c>
      <c r="F1740" t="s">
        <v>24</v>
      </c>
      <c r="G1740" s="2">
        <v>44141.391562500001</v>
      </c>
    </row>
    <row r="1741" spans="1:7" ht="15" customHeight="1" x14ac:dyDescent="0.3">
      <c r="A1741">
        <v>1304513</v>
      </c>
      <c r="B1741" t="s">
        <v>36</v>
      </c>
      <c r="C1741" t="s">
        <v>700</v>
      </c>
      <c r="D1741" t="s">
        <v>3717</v>
      </c>
      <c r="E1741" s="1" t="s">
        <v>3718</v>
      </c>
      <c r="F1741" t="s">
        <v>24</v>
      </c>
      <c r="G1741" s="2">
        <v>44140.435972222222</v>
      </c>
    </row>
    <row r="1742" spans="1:7" ht="15" customHeight="1" x14ac:dyDescent="0.3">
      <c r="A1742">
        <v>1303862</v>
      </c>
      <c r="B1742" t="s">
        <v>36</v>
      </c>
      <c r="C1742" t="s">
        <v>164</v>
      </c>
      <c r="D1742" t="s">
        <v>3719</v>
      </c>
      <c r="E1742" s="1" t="s">
        <v>3720</v>
      </c>
      <c r="F1742" t="s">
        <v>24</v>
      </c>
      <c r="G1742" s="2">
        <v>44140.394907407404</v>
      </c>
    </row>
    <row r="1743" spans="1:7" ht="15" customHeight="1" x14ac:dyDescent="0.3">
      <c r="A1743">
        <v>1303841</v>
      </c>
      <c r="B1743" t="s">
        <v>7</v>
      </c>
      <c r="C1743" t="s">
        <v>3396</v>
      </c>
      <c r="D1743" t="s">
        <v>3721</v>
      </c>
      <c r="E1743" s="1" t="s">
        <v>3722</v>
      </c>
      <c r="F1743" t="s">
        <v>11</v>
      </c>
      <c r="G1743" s="2">
        <v>44140.379328703704</v>
      </c>
    </row>
    <row r="1744" spans="1:7" ht="15" customHeight="1" x14ac:dyDescent="0.3">
      <c r="A1744">
        <v>1303826</v>
      </c>
      <c r="B1744" t="s">
        <v>95</v>
      </c>
      <c r="C1744" t="s">
        <v>3723</v>
      </c>
      <c r="D1744" t="s">
        <v>3724</v>
      </c>
      <c r="E1744" t="s">
        <v>3725</v>
      </c>
      <c r="F1744" t="s">
        <v>24</v>
      </c>
      <c r="G1744" s="2">
        <v>44140.349166666667</v>
      </c>
    </row>
    <row r="1745" spans="1:7" ht="15" customHeight="1" x14ac:dyDescent="0.3">
      <c r="A1745">
        <v>1303359</v>
      </c>
      <c r="B1745" t="s">
        <v>614</v>
      </c>
      <c r="C1745" t="s">
        <v>3726</v>
      </c>
      <c r="D1745" t="s">
        <v>3727</v>
      </c>
      <c r="E1745" s="1" t="s">
        <v>3728</v>
      </c>
      <c r="F1745" t="s">
        <v>11</v>
      </c>
      <c r="G1745" s="2">
        <v>44139.527384259258</v>
      </c>
    </row>
    <row r="1746" spans="1:7" ht="15" customHeight="1" x14ac:dyDescent="0.3">
      <c r="A1746">
        <v>1303351</v>
      </c>
      <c r="B1746" t="s">
        <v>32</v>
      </c>
      <c r="C1746" t="s">
        <v>3729</v>
      </c>
      <c r="D1746" t="s">
        <v>3730</v>
      </c>
      <c r="E1746" s="1" t="s">
        <v>3731</v>
      </c>
      <c r="F1746" t="s">
        <v>11</v>
      </c>
      <c r="G1746" s="2">
        <v>44139.511041666665</v>
      </c>
    </row>
    <row r="1747" spans="1:7" ht="15" customHeight="1" x14ac:dyDescent="0.3">
      <c r="A1747">
        <v>1303319</v>
      </c>
      <c r="B1747" t="s">
        <v>431</v>
      </c>
      <c r="C1747" t="s">
        <v>432</v>
      </c>
      <c r="D1747" t="s">
        <v>3732</v>
      </c>
      <c r="E1747" s="1" t="s">
        <v>3733</v>
      </c>
      <c r="F1747" t="s">
        <v>11</v>
      </c>
      <c r="G1747" s="2">
        <v>44139.445069444446</v>
      </c>
    </row>
    <row r="1748" spans="1:7" ht="15" customHeight="1" x14ac:dyDescent="0.3">
      <c r="A1748">
        <v>1302801</v>
      </c>
      <c r="B1748" t="s">
        <v>12</v>
      </c>
      <c r="C1748" t="s">
        <v>3734</v>
      </c>
      <c r="D1748" t="s">
        <v>3735</v>
      </c>
      <c r="E1748" s="1" t="s">
        <v>3736</v>
      </c>
      <c r="F1748" t="s">
        <v>11</v>
      </c>
      <c r="G1748" s="2">
        <v>44138.564293981479</v>
      </c>
    </row>
    <row r="1749" spans="1:7" ht="15" customHeight="1" x14ac:dyDescent="0.3">
      <c r="A1749">
        <v>1302790</v>
      </c>
      <c r="B1749" t="s">
        <v>36</v>
      </c>
      <c r="C1749" t="s">
        <v>37</v>
      </c>
      <c r="D1749" t="s">
        <v>3737</v>
      </c>
      <c r="E1749" s="1" t="s">
        <v>3738</v>
      </c>
      <c r="F1749" t="s">
        <v>11</v>
      </c>
      <c r="G1749" s="2">
        <v>44138.524282407408</v>
      </c>
    </row>
    <row r="1750" spans="1:7" ht="15" customHeight="1" x14ac:dyDescent="0.3">
      <c r="A1750">
        <v>1302753</v>
      </c>
      <c r="B1750" t="s">
        <v>157</v>
      </c>
      <c r="C1750" t="s">
        <v>3739</v>
      </c>
      <c r="D1750" t="s">
        <v>3740</v>
      </c>
      <c r="E1750" s="1" t="s">
        <v>3741</v>
      </c>
      <c r="F1750" t="s">
        <v>11</v>
      </c>
      <c r="G1750" s="2">
        <v>44138.420844907407</v>
      </c>
    </row>
    <row r="1751" spans="1:7" ht="15" customHeight="1" x14ac:dyDescent="0.3">
      <c r="A1751">
        <v>1302365</v>
      </c>
      <c r="B1751" t="s">
        <v>36</v>
      </c>
      <c r="C1751" t="s">
        <v>263</v>
      </c>
      <c r="D1751" t="s">
        <v>3742</v>
      </c>
      <c r="E1751" s="1" t="s">
        <v>3743</v>
      </c>
      <c r="F1751" t="s">
        <v>24</v>
      </c>
      <c r="G1751" s="2">
        <v>44137.72016203704</v>
      </c>
    </row>
    <row r="1752" spans="1:7" ht="15" customHeight="1" x14ac:dyDescent="0.3">
      <c r="A1752">
        <v>1302244</v>
      </c>
      <c r="B1752" t="s">
        <v>146</v>
      </c>
      <c r="C1752" t="s">
        <v>147</v>
      </c>
      <c r="D1752" t="s">
        <v>3744</v>
      </c>
      <c r="E1752" s="1" t="s">
        <v>3745</v>
      </c>
      <c r="F1752" t="s">
        <v>11</v>
      </c>
      <c r="G1752" s="2">
        <v>44137.461053240739</v>
      </c>
    </row>
    <row r="1753" spans="1:7" ht="15" customHeight="1" x14ac:dyDescent="0.3">
      <c r="A1753">
        <v>1302184</v>
      </c>
      <c r="B1753" t="s">
        <v>277</v>
      </c>
      <c r="C1753" t="s">
        <v>3746</v>
      </c>
      <c r="D1753" t="s">
        <v>3747</v>
      </c>
      <c r="E1753" s="1" t="s">
        <v>3748</v>
      </c>
      <c r="F1753" t="s">
        <v>11</v>
      </c>
      <c r="G1753" s="2">
        <v>44137.387453703705</v>
      </c>
    </row>
    <row r="1754" spans="1:7" ht="15" customHeight="1" x14ac:dyDescent="0.3">
      <c r="A1754">
        <v>1300661</v>
      </c>
      <c r="B1754" t="s">
        <v>12</v>
      </c>
      <c r="C1754" t="s">
        <v>1864</v>
      </c>
      <c r="D1754" t="s">
        <v>3749</v>
      </c>
      <c r="E1754" s="1" t="s">
        <v>3750</v>
      </c>
      <c r="F1754" t="s">
        <v>11</v>
      </c>
      <c r="G1754" s="2">
        <v>44134.561967592592</v>
      </c>
    </row>
    <row r="1755" spans="1:7" ht="15" customHeight="1" x14ac:dyDescent="0.3">
      <c r="A1755">
        <v>1300657</v>
      </c>
      <c r="B1755" t="s">
        <v>157</v>
      </c>
      <c r="C1755" t="s">
        <v>627</v>
      </c>
      <c r="D1755" t="s">
        <v>3751</v>
      </c>
      <c r="E1755" s="1" t="s">
        <v>3752</v>
      </c>
      <c r="F1755" t="s">
        <v>11</v>
      </c>
      <c r="G1755" s="2">
        <v>44134.543206018519</v>
      </c>
    </row>
    <row r="1756" spans="1:7" ht="15" customHeight="1" x14ac:dyDescent="0.3">
      <c r="A1756">
        <v>1300632</v>
      </c>
      <c r="B1756" t="s">
        <v>431</v>
      </c>
      <c r="C1756" t="s">
        <v>3753</v>
      </c>
      <c r="D1756" t="s">
        <v>3754</v>
      </c>
      <c r="E1756" s="1" t="s">
        <v>3755</v>
      </c>
      <c r="F1756" t="s">
        <v>24</v>
      </c>
      <c r="G1756" s="2">
        <v>44134.467638888891</v>
      </c>
    </row>
    <row r="1757" spans="1:7" ht="15" customHeight="1" x14ac:dyDescent="0.3">
      <c r="A1757">
        <v>1300614</v>
      </c>
      <c r="B1757" t="s">
        <v>774</v>
      </c>
      <c r="C1757" t="s">
        <v>775</v>
      </c>
      <c r="D1757" t="s">
        <v>3756</v>
      </c>
      <c r="E1757" s="1" t="s">
        <v>3757</v>
      </c>
      <c r="F1757" t="s">
        <v>11</v>
      </c>
      <c r="G1757" s="2">
        <v>44134.438078703701</v>
      </c>
    </row>
    <row r="1758" spans="1:7" ht="15" customHeight="1" x14ac:dyDescent="0.3">
      <c r="A1758">
        <v>1300522</v>
      </c>
      <c r="B1758" t="s">
        <v>36</v>
      </c>
      <c r="C1758" t="s">
        <v>67</v>
      </c>
      <c r="D1758" t="s">
        <v>3758</v>
      </c>
      <c r="E1758" s="1" t="s">
        <v>3759</v>
      </c>
      <c r="F1758" t="s">
        <v>24</v>
      </c>
      <c r="G1758" s="2">
        <v>44134.328645833331</v>
      </c>
    </row>
    <row r="1759" spans="1:7" ht="15" customHeight="1" x14ac:dyDescent="0.3">
      <c r="A1759">
        <v>1300040</v>
      </c>
      <c r="B1759" t="s">
        <v>1079</v>
      </c>
      <c r="C1759" t="s">
        <v>3760</v>
      </c>
      <c r="D1759" t="s">
        <v>3761</v>
      </c>
      <c r="E1759" s="1" t="s">
        <v>3762</v>
      </c>
      <c r="F1759" t="s">
        <v>24</v>
      </c>
      <c r="G1759" s="2">
        <v>44133.592962962961</v>
      </c>
    </row>
    <row r="1760" spans="1:7" ht="15" customHeight="1" x14ac:dyDescent="0.3">
      <c r="A1760">
        <v>1299931</v>
      </c>
      <c r="B1760" t="s">
        <v>95</v>
      </c>
      <c r="C1760" t="s">
        <v>129</v>
      </c>
      <c r="D1760" t="s">
        <v>3763</v>
      </c>
      <c r="E1760" s="1" t="s">
        <v>3764</v>
      </c>
      <c r="F1760" t="s">
        <v>11</v>
      </c>
      <c r="G1760" s="2">
        <v>44133.440509259257</v>
      </c>
    </row>
    <row r="1761" spans="1:7" ht="15" customHeight="1" x14ac:dyDescent="0.3">
      <c r="A1761">
        <v>1299925</v>
      </c>
      <c r="B1761" t="s">
        <v>184</v>
      </c>
      <c r="C1761" t="s">
        <v>825</v>
      </c>
      <c r="D1761" t="s">
        <v>3765</v>
      </c>
      <c r="E1761" s="1" t="s">
        <v>3766</v>
      </c>
      <c r="F1761" t="s">
        <v>11</v>
      </c>
      <c r="G1761" s="2">
        <v>44133.433946759258</v>
      </c>
    </row>
    <row r="1762" spans="1:7" ht="15" customHeight="1" x14ac:dyDescent="0.3">
      <c r="A1762">
        <v>1299861</v>
      </c>
      <c r="B1762" t="s">
        <v>20</v>
      </c>
      <c r="C1762" t="s">
        <v>3767</v>
      </c>
      <c r="D1762" t="s">
        <v>3768</v>
      </c>
      <c r="E1762" s="1" t="s">
        <v>3769</v>
      </c>
      <c r="F1762" t="s">
        <v>24</v>
      </c>
      <c r="G1762" s="2">
        <v>44133.378553240742</v>
      </c>
    </row>
    <row r="1763" spans="1:7" ht="15" customHeight="1" x14ac:dyDescent="0.3">
      <c r="A1763">
        <v>1299858</v>
      </c>
      <c r="B1763" t="s">
        <v>20</v>
      </c>
      <c r="C1763" t="s">
        <v>269</v>
      </c>
      <c r="D1763" t="s">
        <v>3770</v>
      </c>
      <c r="E1763" s="1" t="s">
        <v>3771</v>
      </c>
      <c r="F1763" t="s">
        <v>24</v>
      </c>
      <c r="G1763" s="2">
        <v>44133.3672337963</v>
      </c>
    </row>
    <row r="1764" spans="1:7" ht="15" customHeight="1" x14ac:dyDescent="0.3">
      <c r="A1764">
        <v>1299850</v>
      </c>
      <c r="B1764" t="s">
        <v>431</v>
      </c>
      <c r="C1764" t="s">
        <v>3772</v>
      </c>
      <c r="D1764" t="s">
        <v>3773</v>
      </c>
      <c r="E1764" s="1" t="s">
        <v>3774</v>
      </c>
      <c r="F1764" t="s">
        <v>24</v>
      </c>
      <c r="G1764" s="2">
        <v>44133.344502314816</v>
      </c>
    </row>
    <row r="1765" spans="1:7" ht="15" customHeight="1" x14ac:dyDescent="0.3">
      <c r="A1765">
        <v>1299472</v>
      </c>
      <c r="B1765" t="s">
        <v>431</v>
      </c>
      <c r="C1765" t="s">
        <v>432</v>
      </c>
      <c r="D1765" t="s">
        <v>3775</v>
      </c>
      <c r="E1765" s="1" t="s">
        <v>3776</v>
      </c>
      <c r="F1765" t="s">
        <v>11</v>
      </c>
      <c r="G1765" s="2">
        <v>44132.678229166668</v>
      </c>
    </row>
    <row r="1766" spans="1:7" ht="15" customHeight="1" x14ac:dyDescent="0.3">
      <c r="A1766">
        <v>1299359</v>
      </c>
      <c r="B1766" t="s">
        <v>184</v>
      </c>
      <c r="C1766" t="s">
        <v>1069</v>
      </c>
      <c r="D1766" t="s">
        <v>3777</v>
      </c>
      <c r="E1766" s="1" t="s">
        <v>3778</v>
      </c>
      <c r="F1766" t="s">
        <v>11</v>
      </c>
      <c r="G1766" s="2">
        <v>44132.483101851853</v>
      </c>
    </row>
    <row r="1767" spans="1:7" ht="15" customHeight="1" x14ac:dyDescent="0.3">
      <c r="A1767">
        <v>1299349</v>
      </c>
      <c r="B1767" t="s">
        <v>431</v>
      </c>
      <c r="C1767" t="s">
        <v>432</v>
      </c>
      <c r="D1767" t="s">
        <v>3779</v>
      </c>
      <c r="E1767" s="1" t="s">
        <v>3780</v>
      </c>
      <c r="F1767" t="s">
        <v>11</v>
      </c>
      <c r="G1767" s="2">
        <v>44132.461284722223</v>
      </c>
    </row>
    <row r="1768" spans="1:7" ht="15" customHeight="1" x14ac:dyDescent="0.3">
      <c r="A1768">
        <v>1299345</v>
      </c>
      <c r="B1768" t="s">
        <v>36</v>
      </c>
      <c r="C1768" t="s">
        <v>3781</v>
      </c>
      <c r="D1768" t="s">
        <v>3782</v>
      </c>
      <c r="E1768" s="1" t="s">
        <v>3783</v>
      </c>
      <c r="F1768" t="s">
        <v>24</v>
      </c>
      <c r="G1768" s="2">
        <v>44132.451388888891</v>
      </c>
    </row>
    <row r="1769" spans="1:7" ht="15" customHeight="1" x14ac:dyDescent="0.3">
      <c r="A1769">
        <v>1299336</v>
      </c>
      <c r="B1769" t="s">
        <v>431</v>
      </c>
      <c r="C1769" t="s">
        <v>432</v>
      </c>
      <c r="D1769" t="s">
        <v>3784</v>
      </c>
      <c r="E1769" s="1" t="s">
        <v>3785</v>
      </c>
      <c r="F1769" t="s">
        <v>24</v>
      </c>
      <c r="G1769" s="2">
        <v>44132.440405092595</v>
      </c>
    </row>
    <row r="1770" spans="1:7" ht="15" customHeight="1" x14ac:dyDescent="0.3">
      <c r="A1770">
        <v>1299199</v>
      </c>
      <c r="B1770" t="s">
        <v>431</v>
      </c>
      <c r="C1770" t="s">
        <v>3786</v>
      </c>
      <c r="D1770" t="s">
        <v>3787</v>
      </c>
      <c r="E1770" s="1" t="s">
        <v>3788</v>
      </c>
      <c r="F1770" t="s">
        <v>24</v>
      </c>
      <c r="G1770" s="2">
        <v>44132.333368055559</v>
      </c>
    </row>
    <row r="1771" spans="1:7" ht="15" customHeight="1" x14ac:dyDescent="0.3">
      <c r="A1771">
        <v>1298880</v>
      </c>
      <c r="B1771" t="s">
        <v>36</v>
      </c>
      <c r="C1771" t="s">
        <v>2426</v>
      </c>
      <c r="D1771" t="s">
        <v>3789</v>
      </c>
      <c r="E1771" s="1" t="s">
        <v>3790</v>
      </c>
      <c r="F1771" t="s">
        <v>24</v>
      </c>
      <c r="G1771" s="2">
        <v>44131.683379629627</v>
      </c>
    </row>
    <row r="1772" spans="1:7" ht="15" customHeight="1" x14ac:dyDescent="0.3">
      <c r="A1772">
        <v>1298857</v>
      </c>
      <c r="B1772" t="s">
        <v>32</v>
      </c>
      <c r="C1772" t="s">
        <v>3791</v>
      </c>
      <c r="D1772" t="s">
        <v>3792</v>
      </c>
      <c r="E1772" s="1" t="s">
        <v>3793</v>
      </c>
      <c r="F1772" t="s">
        <v>11</v>
      </c>
      <c r="G1772" s="2">
        <v>44131.644421296296</v>
      </c>
    </row>
    <row r="1773" spans="1:7" ht="15" customHeight="1" x14ac:dyDescent="0.3">
      <c r="A1773">
        <v>1298849</v>
      </c>
      <c r="B1773" t="s">
        <v>318</v>
      </c>
      <c r="C1773" t="s">
        <v>319</v>
      </c>
      <c r="D1773" t="s">
        <v>3794</v>
      </c>
      <c r="E1773" s="1" t="s">
        <v>3795</v>
      </c>
      <c r="F1773" t="s">
        <v>24</v>
      </c>
      <c r="G1773" s="2">
        <v>44131.637141203704</v>
      </c>
    </row>
    <row r="1774" spans="1:7" ht="15" customHeight="1" x14ac:dyDescent="0.3">
      <c r="A1774">
        <v>1298200</v>
      </c>
      <c r="B1774" t="s">
        <v>606</v>
      </c>
      <c r="C1774" t="s">
        <v>158</v>
      </c>
      <c r="D1774" t="s">
        <v>3796</v>
      </c>
      <c r="E1774" s="1" t="s">
        <v>3797</v>
      </c>
      <c r="F1774" t="s">
        <v>24</v>
      </c>
      <c r="G1774" s="2">
        <v>44130.536539351851</v>
      </c>
    </row>
    <row r="1775" spans="1:7" ht="15" customHeight="1" x14ac:dyDescent="0.3">
      <c r="A1775">
        <v>1298196</v>
      </c>
      <c r="B1775" t="s">
        <v>95</v>
      </c>
      <c r="D1775" t="s">
        <v>3798</v>
      </c>
      <c r="E1775" s="1" t="s">
        <v>3799</v>
      </c>
      <c r="F1775" t="s">
        <v>11</v>
      </c>
      <c r="G1775" s="2">
        <v>44130.521574074075</v>
      </c>
    </row>
    <row r="1776" spans="1:7" ht="15" customHeight="1" x14ac:dyDescent="0.3">
      <c r="A1776">
        <v>1297016</v>
      </c>
      <c r="B1776" t="s">
        <v>20</v>
      </c>
      <c r="C1776" t="s">
        <v>266</v>
      </c>
      <c r="D1776" t="s">
        <v>3800</v>
      </c>
      <c r="E1776" s="1" t="s">
        <v>3801</v>
      </c>
      <c r="F1776" t="s">
        <v>24</v>
      </c>
      <c r="G1776" s="2">
        <v>44127.605752314812</v>
      </c>
    </row>
    <row r="1777" spans="1:7" ht="15" customHeight="1" x14ac:dyDescent="0.3">
      <c r="A1777">
        <v>1296939</v>
      </c>
      <c r="B1777" t="s">
        <v>1684</v>
      </c>
      <c r="C1777" t="s">
        <v>2695</v>
      </c>
      <c r="D1777" t="s">
        <v>3802</v>
      </c>
      <c r="E1777" s="1" t="s">
        <v>3803</v>
      </c>
      <c r="F1777" t="s">
        <v>11</v>
      </c>
      <c r="G1777" s="2">
        <v>44127.467847222222</v>
      </c>
    </row>
    <row r="1778" spans="1:7" ht="15" customHeight="1" x14ac:dyDescent="0.3">
      <c r="A1778">
        <v>1296918</v>
      </c>
      <c r="B1778" t="s">
        <v>16</v>
      </c>
      <c r="C1778" t="s">
        <v>3804</v>
      </c>
      <c r="D1778" t="s">
        <v>3805</v>
      </c>
      <c r="E1778" s="1" t="s">
        <v>3806</v>
      </c>
      <c r="F1778" t="s">
        <v>11</v>
      </c>
      <c r="G1778" s="2">
        <v>44127.428067129629</v>
      </c>
    </row>
    <row r="1779" spans="1:7" ht="15" customHeight="1" x14ac:dyDescent="0.3">
      <c r="A1779">
        <v>1296863</v>
      </c>
      <c r="B1779" t="s">
        <v>3807</v>
      </c>
      <c r="C1779" t="s">
        <v>3808</v>
      </c>
      <c r="D1779" t="s">
        <v>3809</v>
      </c>
      <c r="E1779" s="1" t="s">
        <v>3810</v>
      </c>
      <c r="F1779" t="s">
        <v>11</v>
      </c>
      <c r="G1779" s="2">
        <v>44127.372835648152</v>
      </c>
    </row>
    <row r="1780" spans="1:7" ht="15" customHeight="1" x14ac:dyDescent="0.3">
      <c r="A1780">
        <v>1296824</v>
      </c>
      <c r="B1780" t="s">
        <v>301</v>
      </c>
      <c r="C1780" t="s">
        <v>2127</v>
      </c>
      <c r="D1780" t="s">
        <v>3811</v>
      </c>
      <c r="E1780" s="1" t="s">
        <v>3812</v>
      </c>
      <c r="F1780" t="s">
        <v>11</v>
      </c>
      <c r="G1780" s="2">
        <v>44127.236006944448</v>
      </c>
    </row>
    <row r="1781" spans="1:7" ht="15" customHeight="1" x14ac:dyDescent="0.3">
      <c r="A1781">
        <v>1296596</v>
      </c>
      <c r="B1781" t="s">
        <v>70</v>
      </c>
      <c r="C1781" t="s">
        <v>369</v>
      </c>
      <c r="D1781" t="s">
        <v>3813</v>
      </c>
      <c r="E1781" s="1" t="s">
        <v>3814</v>
      </c>
      <c r="F1781" t="s">
        <v>11</v>
      </c>
      <c r="G1781" s="2">
        <v>44126.818333333336</v>
      </c>
    </row>
    <row r="1782" spans="1:7" ht="15" customHeight="1" x14ac:dyDescent="0.3">
      <c r="A1782">
        <v>1296477</v>
      </c>
      <c r="B1782" t="s">
        <v>70</v>
      </c>
      <c r="C1782" t="s">
        <v>3815</v>
      </c>
      <c r="D1782" t="s">
        <v>3816</v>
      </c>
      <c r="E1782" s="1" t="s">
        <v>3817</v>
      </c>
      <c r="F1782" t="s">
        <v>11</v>
      </c>
      <c r="G1782" s="2">
        <v>44126.624282407407</v>
      </c>
    </row>
    <row r="1783" spans="1:7" ht="15" customHeight="1" x14ac:dyDescent="0.3">
      <c r="A1783">
        <v>1296422</v>
      </c>
      <c r="B1783" t="s">
        <v>36</v>
      </c>
      <c r="C1783" t="s">
        <v>700</v>
      </c>
      <c r="D1783" t="s">
        <v>3818</v>
      </c>
      <c r="E1783" s="1" t="s">
        <v>3819</v>
      </c>
      <c r="F1783" t="s">
        <v>24</v>
      </c>
      <c r="G1783" s="2">
        <v>44126.529687499999</v>
      </c>
    </row>
    <row r="1784" spans="1:7" ht="15" customHeight="1" x14ac:dyDescent="0.3">
      <c r="A1784">
        <v>1296408</v>
      </c>
      <c r="B1784" t="s">
        <v>32</v>
      </c>
      <c r="C1784" t="s">
        <v>115</v>
      </c>
      <c r="D1784" t="s">
        <v>3820</v>
      </c>
      <c r="E1784" s="1" t="s">
        <v>3821</v>
      </c>
      <c r="F1784" t="s">
        <v>11</v>
      </c>
      <c r="G1784" s="2">
        <v>44126.489664351851</v>
      </c>
    </row>
    <row r="1785" spans="1:7" ht="15" customHeight="1" x14ac:dyDescent="0.3">
      <c r="A1785">
        <v>1296319</v>
      </c>
      <c r="B1785" t="s">
        <v>184</v>
      </c>
      <c r="C1785" t="s">
        <v>1698</v>
      </c>
      <c r="D1785" t="s">
        <v>3822</v>
      </c>
      <c r="E1785" s="1" t="s">
        <v>3823</v>
      </c>
      <c r="F1785" t="s">
        <v>11</v>
      </c>
      <c r="G1785" s="2">
        <v>44126.388773148145</v>
      </c>
    </row>
    <row r="1786" spans="1:7" ht="15" customHeight="1" x14ac:dyDescent="0.3">
      <c r="A1786">
        <v>1295996</v>
      </c>
      <c r="B1786" t="s">
        <v>36</v>
      </c>
      <c r="C1786" t="s">
        <v>124</v>
      </c>
      <c r="D1786" t="s">
        <v>3824</v>
      </c>
      <c r="E1786" s="1" t="s">
        <v>3825</v>
      </c>
      <c r="F1786" t="s">
        <v>24</v>
      </c>
      <c r="G1786" s="2">
        <v>44125.770266203705</v>
      </c>
    </row>
    <row r="1787" spans="1:7" ht="15" customHeight="1" x14ac:dyDescent="0.3">
      <c r="A1787">
        <v>1295883</v>
      </c>
      <c r="B1787" t="s">
        <v>87</v>
      </c>
      <c r="C1787" t="s">
        <v>3826</v>
      </c>
      <c r="D1787" t="s">
        <v>3827</v>
      </c>
      <c r="E1787" s="1" t="s">
        <v>3828</v>
      </c>
      <c r="F1787" t="s">
        <v>24</v>
      </c>
      <c r="G1787" s="2">
        <v>44125.604039351849</v>
      </c>
    </row>
    <row r="1788" spans="1:7" ht="15" customHeight="1" x14ac:dyDescent="0.3">
      <c r="A1788">
        <v>1295856</v>
      </c>
      <c r="B1788" t="s">
        <v>477</v>
      </c>
      <c r="C1788" t="s">
        <v>158</v>
      </c>
      <c r="D1788" t="s">
        <v>3829</v>
      </c>
      <c r="E1788" s="1" t="s">
        <v>3830</v>
      </c>
      <c r="F1788" t="s">
        <v>24</v>
      </c>
      <c r="G1788" s="2">
        <v>44125.556979166664</v>
      </c>
    </row>
    <row r="1789" spans="1:7" ht="15" customHeight="1" x14ac:dyDescent="0.3">
      <c r="A1789">
        <v>1295799</v>
      </c>
      <c r="B1789" t="s">
        <v>25</v>
      </c>
      <c r="C1789" t="s">
        <v>3831</v>
      </c>
      <c r="D1789" t="s">
        <v>3832</v>
      </c>
      <c r="E1789" s="1" t="s">
        <v>3833</v>
      </c>
      <c r="F1789" t="s">
        <v>11</v>
      </c>
      <c r="G1789" s="2">
        <v>44125.448842592596</v>
      </c>
    </row>
    <row r="1790" spans="1:7" ht="15" customHeight="1" x14ac:dyDescent="0.3">
      <c r="A1790">
        <v>1295795</v>
      </c>
      <c r="B1790" t="s">
        <v>36</v>
      </c>
      <c r="C1790" t="s">
        <v>124</v>
      </c>
      <c r="D1790" t="s">
        <v>3834</v>
      </c>
      <c r="E1790" s="1" t="s">
        <v>3835</v>
      </c>
      <c r="F1790" t="s">
        <v>24</v>
      </c>
      <c r="G1790" s="2">
        <v>44125.447372685187</v>
      </c>
    </row>
    <row r="1791" spans="1:7" ht="15" customHeight="1" x14ac:dyDescent="0.3">
      <c r="A1791">
        <v>1295765</v>
      </c>
      <c r="B1791" t="s">
        <v>36</v>
      </c>
      <c r="C1791" t="s">
        <v>752</v>
      </c>
      <c r="D1791" t="s">
        <v>3836</v>
      </c>
      <c r="E1791" s="1" t="s">
        <v>3837</v>
      </c>
      <c r="F1791" t="s">
        <v>24</v>
      </c>
      <c r="G1791" s="2">
        <v>44125.418946759259</v>
      </c>
    </row>
    <row r="1792" spans="1:7" ht="15" customHeight="1" x14ac:dyDescent="0.3">
      <c r="A1792">
        <v>1295704</v>
      </c>
      <c r="B1792" t="s">
        <v>489</v>
      </c>
      <c r="C1792" t="s">
        <v>490</v>
      </c>
      <c r="D1792" t="s">
        <v>3838</v>
      </c>
      <c r="E1792" s="1" t="s">
        <v>3839</v>
      </c>
      <c r="F1792" t="s">
        <v>11</v>
      </c>
      <c r="G1792" s="2">
        <v>44125.3593287037</v>
      </c>
    </row>
    <row r="1793" spans="1:7" ht="15" customHeight="1" x14ac:dyDescent="0.3">
      <c r="A1793">
        <v>1295674</v>
      </c>
      <c r="B1793" t="s">
        <v>431</v>
      </c>
      <c r="C1793" t="s">
        <v>3772</v>
      </c>
      <c r="D1793" t="s">
        <v>3840</v>
      </c>
      <c r="E1793" s="1" t="s">
        <v>3841</v>
      </c>
      <c r="F1793" t="s">
        <v>24</v>
      </c>
      <c r="G1793" s="2">
        <v>44125.329722222225</v>
      </c>
    </row>
    <row r="1794" spans="1:7" ht="15" customHeight="1" x14ac:dyDescent="0.3">
      <c r="A1794">
        <v>1295488</v>
      </c>
      <c r="B1794" t="s">
        <v>335</v>
      </c>
      <c r="C1794" t="s">
        <v>2904</v>
      </c>
      <c r="D1794" t="s">
        <v>1323</v>
      </c>
      <c r="E1794" t="s">
        <v>1324</v>
      </c>
      <c r="F1794" t="s">
        <v>1158</v>
      </c>
      <c r="G1794" s="2">
        <v>44125.000069444446</v>
      </c>
    </row>
    <row r="1795" spans="1:7" ht="15" customHeight="1" x14ac:dyDescent="0.3">
      <c r="A1795">
        <v>1295230</v>
      </c>
      <c r="B1795" t="s">
        <v>53</v>
      </c>
      <c r="C1795" t="s">
        <v>3842</v>
      </c>
      <c r="D1795" t="s">
        <v>3843</v>
      </c>
      <c r="E1795" s="1" t="s">
        <v>3844</v>
      </c>
      <c r="F1795" t="s">
        <v>11</v>
      </c>
      <c r="G1795" s="2">
        <v>44124.6794212963</v>
      </c>
    </row>
    <row r="1796" spans="1:7" ht="15" customHeight="1" x14ac:dyDescent="0.3">
      <c r="A1796">
        <v>1295229</v>
      </c>
      <c r="B1796" t="s">
        <v>16</v>
      </c>
      <c r="C1796" t="s">
        <v>649</v>
      </c>
      <c r="D1796" t="s">
        <v>3845</v>
      </c>
      <c r="E1796" s="1" t="s">
        <v>3846</v>
      </c>
      <c r="F1796" t="s">
        <v>11</v>
      </c>
      <c r="G1796" s="2">
        <v>44124.677060185182</v>
      </c>
    </row>
    <row r="1797" spans="1:7" ht="15" customHeight="1" x14ac:dyDescent="0.3">
      <c r="A1797">
        <v>1295196</v>
      </c>
      <c r="B1797" t="s">
        <v>16</v>
      </c>
      <c r="C1797" t="s">
        <v>649</v>
      </c>
      <c r="D1797" t="s">
        <v>3847</v>
      </c>
      <c r="E1797" s="1" t="s">
        <v>3848</v>
      </c>
      <c r="F1797" t="s">
        <v>11</v>
      </c>
      <c r="G1797" s="2">
        <v>44124.602870370371</v>
      </c>
    </row>
    <row r="1798" spans="1:7" ht="15" customHeight="1" x14ac:dyDescent="0.3">
      <c r="A1798">
        <v>1295147</v>
      </c>
      <c r="B1798" t="s">
        <v>53</v>
      </c>
      <c r="C1798" t="s">
        <v>54</v>
      </c>
      <c r="D1798" t="s">
        <v>3849</v>
      </c>
      <c r="E1798" s="1" t="s">
        <v>3850</v>
      </c>
      <c r="F1798" t="s">
        <v>11</v>
      </c>
      <c r="G1798" s="2">
        <v>44124.468425925923</v>
      </c>
    </row>
    <row r="1799" spans="1:7" ht="15" customHeight="1" x14ac:dyDescent="0.3">
      <c r="A1799">
        <v>1295027</v>
      </c>
      <c r="B1799" t="s">
        <v>32</v>
      </c>
      <c r="C1799" t="s">
        <v>2771</v>
      </c>
      <c r="D1799" t="s">
        <v>3851</v>
      </c>
      <c r="E1799" s="1" t="s">
        <v>3852</v>
      </c>
      <c r="F1799" t="s">
        <v>11</v>
      </c>
      <c r="G1799" s="2">
        <v>44124.341006944444</v>
      </c>
    </row>
    <row r="1800" spans="1:7" ht="15" customHeight="1" x14ac:dyDescent="0.3">
      <c r="A1800">
        <v>1294666</v>
      </c>
      <c r="B1800" t="s">
        <v>36</v>
      </c>
      <c r="C1800" t="s">
        <v>343</v>
      </c>
      <c r="D1800" t="s">
        <v>3853</v>
      </c>
      <c r="E1800" s="1" t="s">
        <v>3854</v>
      </c>
      <c r="F1800" t="s">
        <v>24</v>
      </c>
      <c r="G1800" s="2">
        <v>44123.688842592594</v>
      </c>
    </row>
    <row r="1801" spans="1:7" ht="15" customHeight="1" x14ac:dyDescent="0.3">
      <c r="A1801">
        <v>1294620</v>
      </c>
      <c r="B1801" t="s">
        <v>3855</v>
      </c>
      <c r="C1801" t="s">
        <v>3856</v>
      </c>
      <c r="D1801" t="s">
        <v>3857</v>
      </c>
      <c r="E1801" s="1" t="s">
        <v>3858</v>
      </c>
      <c r="F1801" t="s">
        <v>11</v>
      </c>
      <c r="G1801" s="2">
        <v>44123.582627314812</v>
      </c>
    </row>
    <row r="1802" spans="1:7" ht="15" customHeight="1" x14ac:dyDescent="0.3">
      <c r="A1802">
        <v>1294615</v>
      </c>
      <c r="B1802" t="s">
        <v>214</v>
      </c>
      <c r="C1802" t="s">
        <v>3859</v>
      </c>
      <c r="D1802" t="s">
        <v>3860</v>
      </c>
      <c r="E1802" s="1" t="s">
        <v>3861</v>
      </c>
      <c r="F1802" t="s">
        <v>24</v>
      </c>
      <c r="G1802" s="2">
        <v>44123.566435185188</v>
      </c>
    </row>
    <row r="1803" spans="1:7" ht="15" customHeight="1" x14ac:dyDescent="0.3">
      <c r="A1803">
        <v>1294569</v>
      </c>
      <c r="B1803" t="s">
        <v>36</v>
      </c>
      <c r="C1803" t="s">
        <v>2426</v>
      </c>
      <c r="D1803" t="s">
        <v>3862</v>
      </c>
      <c r="E1803" s="1" t="s">
        <v>3863</v>
      </c>
      <c r="F1803" t="s">
        <v>24</v>
      </c>
      <c r="G1803" s="2">
        <v>44123.470717592594</v>
      </c>
    </row>
    <row r="1804" spans="1:7" ht="15" customHeight="1" x14ac:dyDescent="0.3">
      <c r="A1804">
        <v>1294567</v>
      </c>
      <c r="B1804" t="s">
        <v>2442</v>
      </c>
      <c r="C1804" t="s">
        <v>2443</v>
      </c>
      <c r="D1804" t="s">
        <v>3864</v>
      </c>
      <c r="E1804" s="1" t="s">
        <v>3865</v>
      </c>
      <c r="F1804" t="s">
        <v>11</v>
      </c>
      <c r="G1804" s="2">
        <v>44123.470243055555</v>
      </c>
    </row>
    <row r="1805" spans="1:7" ht="15" customHeight="1" x14ac:dyDescent="0.3">
      <c r="A1805">
        <v>1294564</v>
      </c>
      <c r="B1805" t="s">
        <v>12</v>
      </c>
      <c r="C1805" t="s">
        <v>1774</v>
      </c>
      <c r="D1805" t="s">
        <v>3866</v>
      </c>
      <c r="E1805" s="1" t="s">
        <v>3867</v>
      </c>
      <c r="F1805" t="s">
        <v>24</v>
      </c>
      <c r="G1805" s="2">
        <v>44123.467569444445</v>
      </c>
    </row>
    <row r="1806" spans="1:7" ht="15" customHeight="1" x14ac:dyDescent="0.3">
      <c r="A1806">
        <v>1294548</v>
      </c>
      <c r="B1806" t="s">
        <v>3868</v>
      </c>
      <c r="C1806" t="s">
        <v>3869</v>
      </c>
      <c r="D1806" t="s">
        <v>3870</v>
      </c>
      <c r="E1806" s="1" t="s">
        <v>3871</v>
      </c>
      <c r="F1806" t="s">
        <v>24</v>
      </c>
      <c r="G1806" s="2">
        <v>44123.44295138889</v>
      </c>
    </row>
    <row r="1807" spans="1:7" ht="15" customHeight="1" x14ac:dyDescent="0.3">
      <c r="A1807">
        <v>1294433</v>
      </c>
      <c r="B1807" t="s">
        <v>301</v>
      </c>
      <c r="C1807" t="s">
        <v>2127</v>
      </c>
      <c r="D1807" t="s">
        <v>3872</v>
      </c>
      <c r="E1807" s="1" t="s">
        <v>3873</v>
      </c>
      <c r="F1807" t="s">
        <v>11</v>
      </c>
      <c r="G1807" s="2">
        <v>44123.237060185187</v>
      </c>
    </row>
    <row r="1808" spans="1:7" ht="15" customHeight="1" x14ac:dyDescent="0.3">
      <c r="A1808">
        <v>1293257</v>
      </c>
      <c r="B1808" t="s">
        <v>36</v>
      </c>
      <c r="C1808" t="s">
        <v>324</v>
      </c>
      <c r="D1808" t="s">
        <v>3874</v>
      </c>
      <c r="E1808" s="1" t="s">
        <v>3875</v>
      </c>
      <c r="F1808" t="s">
        <v>24</v>
      </c>
      <c r="G1808" s="2">
        <v>44120.466620370367</v>
      </c>
    </row>
    <row r="1809" spans="1:7" ht="15" customHeight="1" x14ac:dyDescent="0.3">
      <c r="A1809">
        <v>1293254</v>
      </c>
      <c r="B1809" t="s">
        <v>63</v>
      </c>
      <c r="C1809" t="s">
        <v>1524</v>
      </c>
      <c r="D1809" t="s">
        <v>3876</v>
      </c>
      <c r="E1809" s="1" t="s">
        <v>3877</v>
      </c>
      <c r="F1809" t="s">
        <v>11</v>
      </c>
      <c r="G1809" s="2">
        <v>44120.462581018517</v>
      </c>
    </row>
    <row r="1810" spans="1:7" ht="15" customHeight="1" x14ac:dyDescent="0.3">
      <c r="A1810">
        <v>1293251</v>
      </c>
      <c r="B1810" t="s">
        <v>45</v>
      </c>
      <c r="C1810" t="s">
        <v>3878</v>
      </c>
      <c r="D1810" t="s">
        <v>3879</v>
      </c>
      <c r="E1810" s="1" t="s">
        <v>3880</v>
      </c>
      <c r="F1810" t="s">
        <v>11</v>
      </c>
      <c r="G1810" s="2">
        <v>44120.455254629633</v>
      </c>
    </row>
    <row r="1811" spans="1:7" ht="15" customHeight="1" x14ac:dyDescent="0.3">
      <c r="A1811">
        <v>1293245</v>
      </c>
      <c r="B1811" t="s">
        <v>53</v>
      </c>
      <c r="C1811" t="s">
        <v>60</v>
      </c>
      <c r="D1811" t="s">
        <v>3881</v>
      </c>
      <c r="E1811" s="1" t="s">
        <v>3882</v>
      </c>
      <c r="F1811" t="s">
        <v>11</v>
      </c>
      <c r="G1811" s="2">
        <v>44120.437361111108</v>
      </c>
    </row>
    <row r="1812" spans="1:7" ht="15" customHeight="1" x14ac:dyDescent="0.3">
      <c r="A1812">
        <v>1293189</v>
      </c>
      <c r="B1812" t="s">
        <v>489</v>
      </c>
      <c r="C1812" t="s">
        <v>3883</v>
      </c>
      <c r="D1812" t="s">
        <v>3884</v>
      </c>
      <c r="E1812" s="1" t="s">
        <v>3885</v>
      </c>
      <c r="F1812" t="s">
        <v>11</v>
      </c>
      <c r="G1812" s="2">
        <v>44120.37709490741</v>
      </c>
    </row>
    <row r="1813" spans="1:7" ht="15" customHeight="1" x14ac:dyDescent="0.3">
      <c r="A1813">
        <v>1293163</v>
      </c>
      <c r="B1813" t="s">
        <v>36</v>
      </c>
      <c r="C1813" t="s">
        <v>67</v>
      </c>
      <c r="D1813" t="s">
        <v>3886</v>
      </c>
      <c r="E1813" s="1" t="s">
        <v>3887</v>
      </c>
      <c r="F1813" t="s">
        <v>24</v>
      </c>
      <c r="G1813" s="2">
        <v>44120.331620370373</v>
      </c>
    </row>
    <row r="1814" spans="1:7" ht="15" customHeight="1" x14ac:dyDescent="0.3">
      <c r="A1814">
        <v>1292643</v>
      </c>
      <c r="B1814" t="s">
        <v>87</v>
      </c>
      <c r="C1814" t="s">
        <v>3888</v>
      </c>
      <c r="D1814" t="s">
        <v>3889</v>
      </c>
      <c r="E1814" s="1" t="s">
        <v>3890</v>
      </c>
      <c r="F1814" t="s">
        <v>24</v>
      </c>
      <c r="G1814" s="2">
        <v>44119.36791666667</v>
      </c>
    </row>
    <row r="1815" spans="1:7" ht="15" customHeight="1" x14ac:dyDescent="0.3">
      <c r="A1815">
        <v>1292633</v>
      </c>
      <c r="B1815" t="s">
        <v>446</v>
      </c>
      <c r="C1815" t="s">
        <v>3891</v>
      </c>
      <c r="D1815" t="s">
        <v>3892</v>
      </c>
      <c r="E1815" s="1" t="s">
        <v>3893</v>
      </c>
      <c r="F1815" t="s">
        <v>11</v>
      </c>
      <c r="G1815" s="2">
        <v>44119.344398148147</v>
      </c>
    </row>
    <row r="1816" spans="1:7" ht="15" customHeight="1" x14ac:dyDescent="0.3">
      <c r="A1816">
        <v>1292289</v>
      </c>
      <c r="B1816" t="s">
        <v>1079</v>
      </c>
      <c r="C1816" t="s">
        <v>3760</v>
      </c>
      <c r="D1816" t="s">
        <v>3894</v>
      </c>
      <c r="E1816" s="1" t="s">
        <v>3895</v>
      </c>
      <c r="F1816" t="s">
        <v>11</v>
      </c>
      <c r="G1816" s="2">
        <v>44118.702893518515</v>
      </c>
    </row>
    <row r="1817" spans="1:7" ht="15" customHeight="1" x14ac:dyDescent="0.3">
      <c r="A1817">
        <v>1292233</v>
      </c>
      <c r="B1817" t="s">
        <v>36</v>
      </c>
      <c r="C1817" t="s">
        <v>3403</v>
      </c>
      <c r="D1817" t="s">
        <v>3896</v>
      </c>
      <c r="E1817" s="1" t="s">
        <v>3897</v>
      </c>
      <c r="F1817" t="s">
        <v>24</v>
      </c>
      <c r="G1817" s="2">
        <v>44118.550462962965</v>
      </c>
    </row>
    <row r="1818" spans="1:7" ht="15" customHeight="1" x14ac:dyDescent="0.3">
      <c r="A1818">
        <v>1292125</v>
      </c>
      <c r="B1818" t="s">
        <v>3184</v>
      </c>
      <c r="C1818" t="s">
        <v>3185</v>
      </c>
      <c r="D1818" t="s">
        <v>3898</v>
      </c>
      <c r="E1818" s="1" t="s">
        <v>3899</v>
      </c>
      <c r="F1818" t="s">
        <v>11</v>
      </c>
      <c r="G1818" s="2">
        <v>44118.392106481479</v>
      </c>
    </row>
    <row r="1819" spans="1:7" ht="15" customHeight="1" x14ac:dyDescent="0.3">
      <c r="A1819">
        <v>1292096</v>
      </c>
      <c r="B1819" t="s">
        <v>318</v>
      </c>
      <c r="C1819" t="s">
        <v>319</v>
      </c>
      <c r="D1819" t="s">
        <v>3900</v>
      </c>
      <c r="E1819" s="1" t="s">
        <v>3901</v>
      </c>
      <c r="F1819" t="s">
        <v>11</v>
      </c>
      <c r="G1819" s="2">
        <v>44118.339444444442</v>
      </c>
    </row>
    <row r="1820" spans="1:7" ht="15" customHeight="1" x14ac:dyDescent="0.3">
      <c r="A1820">
        <v>1291747</v>
      </c>
      <c r="B1820" t="s">
        <v>25</v>
      </c>
      <c r="C1820" t="s">
        <v>26</v>
      </c>
      <c r="D1820" t="s">
        <v>3902</v>
      </c>
      <c r="E1820" s="1" t="s">
        <v>3903</v>
      </c>
      <c r="F1820" t="s">
        <v>11</v>
      </c>
      <c r="G1820" s="2">
        <v>44117.766053240739</v>
      </c>
    </row>
    <row r="1821" spans="1:7" ht="15" customHeight="1" x14ac:dyDescent="0.3">
      <c r="A1821">
        <v>1291696</v>
      </c>
      <c r="B1821" t="s">
        <v>36</v>
      </c>
      <c r="C1821" t="s">
        <v>700</v>
      </c>
      <c r="D1821" t="s">
        <v>3904</v>
      </c>
      <c r="E1821" s="1" t="s">
        <v>3905</v>
      </c>
      <c r="F1821" t="s">
        <v>24</v>
      </c>
      <c r="G1821" s="2">
        <v>44117.683877314812</v>
      </c>
    </row>
    <row r="1822" spans="1:7" ht="15" customHeight="1" x14ac:dyDescent="0.3">
      <c r="A1822">
        <v>1291681</v>
      </c>
      <c r="B1822" t="s">
        <v>36</v>
      </c>
      <c r="C1822" t="s">
        <v>1342</v>
      </c>
      <c r="D1822" t="s">
        <v>3906</v>
      </c>
      <c r="E1822" s="1" t="s">
        <v>3907</v>
      </c>
      <c r="F1822" t="s">
        <v>11</v>
      </c>
      <c r="G1822" s="2">
        <v>44117.652268518519</v>
      </c>
    </row>
    <row r="1823" spans="1:7" ht="15" customHeight="1" x14ac:dyDescent="0.3">
      <c r="A1823">
        <v>1291678</v>
      </c>
      <c r="B1823" t="s">
        <v>157</v>
      </c>
      <c r="C1823" t="s">
        <v>3908</v>
      </c>
      <c r="D1823" t="s">
        <v>3909</v>
      </c>
      <c r="E1823" s="1" t="s">
        <v>3910</v>
      </c>
      <c r="F1823" t="s">
        <v>24</v>
      </c>
      <c r="G1823" s="2">
        <v>44117.648969907408</v>
      </c>
    </row>
    <row r="1824" spans="1:7" ht="15" customHeight="1" x14ac:dyDescent="0.3">
      <c r="A1824">
        <v>1291659</v>
      </c>
      <c r="B1824" t="s">
        <v>150</v>
      </c>
      <c r="C1824" t="s">
        <v>3911</v>
      </c>
      <c r="D1824" t="s">
        <v>3912</v>
      </c>
      <c r="E1824" s="1" t="s">
        <v>3913</v>
      </c>
      <c r="F1824" t="s">
        <v>11</v>
      </c>
      <c r="G1824" s="2">
        <v>44117.601736111108</v>
      </c>
    </row>
    <row r="1825" spans="1:7" ht="15" customHeight="1" x14ac:dyDescent="0.3">
      <c r="A1825">
        <v>1291618</v>
      </c>
      <c r="B1825" t="s">
        <v>53</v>
      </c>
      <c r="C1825" t="s">
        <v>54</v>
      </c>
      <c r="D1825" t="s">
        <v>3914</v>
      </c>
      <c r="E1825" s="1" t="s">
        <v>3915</v>
      </c>
      <c r="F1825" t="s">
        <v>11</v>
      </c>
      <c r="G1825" s="2">
        <v>44117.539502314816</v>
      </c>
    </row>
    <row r="1826" spans="1:7" ht="15" customHeight="1" x14ac:dyDescent="0.3">
      <c r="A1826">
        <v>1291578</v>
      </c>
      <c r="B1826" t="s">
        <v>36</v>
      </c>
      <c r="C1826" t="s">
        <v>509</v>
      </c>
      <c r="D1826" t="s">
        <v>3916</v>
      </c>
      <c r="E1826" s="1" t="s">
        <v>3917</v>
      </c>
      <c r="F1826" t="s">
        <v>24</v>
      </c>
      <c r="G1826" s="2">
        <v>44117.475428240738</v>
      </c>
    </row>
    <row r="1827" spans="1:7" ht="15" customHeight="1" x14ac:dyDescent="0.3">
      <c r="A1827">
        <v>1291436</v>
      </c>
      <c r="B1827" t="s">
        <v>95</v>
      </c>
      <c r="C1827" t="s">
        <v>668</v>
      </c>
      <c r="D1827" t="s">
        <v>3918</v>
      </c>
      <c r="E1827" s="1" t="s">
        <v>3919</v>
      </c>
      <c r="F1827" t="s">
        <v>11</v>
      </c>
      <c r="G1827" s="2">
        <v>44117.380185185182</v>
      </c>
    </row>
    <row r="1828" spans="1:7" ht="15" customHeight="1" x14ac:dyDescent="0.3">
      <c r="A1828">
        <v>1291282</v>
      </c>
      <c r="B1828" t="s">
        <v>401</v>
      </c>
      <c r="C1828" t="s">
        <v>3920</v>
      </c>
      <c r="D1828" t="s">
        <v>3921</v>
      </c>
      <c r="E1828" t="s">
        <v>3922</v>
      </c>
      <c r="F1828" t="s">
        <v>188</v>
      </c>
      <c r="G1828" s="2">
        <v>44117.041956018518</v>
      </c>
    </row>
    <row r="1829" spans="1:7" ht="15" customHeight="1" x14ac:dyDescent="0.3">
      <c r="A1829">
        <v>1290086</v>
      </c>
      <c r="B1829" t="s">
        <v>350</v>
      </c>
      <c r="C1829" t="s">
        <v>351</v>
      </c>
      <c r="D1829" t="s">
        <v>3923</v>
      </c>
      <c r="E1829" s="1" t="s">
        <v>3924</v>
      </c>
      <c r="F1829" t="s">
        <v>24</v>
      </c>
      <c r="G1829" s="2">
        <v>44113.641574074078</v>
      </c>
    </row>
    <row r="1830" spans="1:7" ht="15" customHeight="1" x14ac:dyDescent="0.3">
      <c r="A1830">
        <v>1290082</v>
      </c>
      <c r="B1830" t="s">
        <v>16</v>
      </c>
      <c r="C1830" t="s">
        <v>3925</v>
      </c>
      <c r="D1830" t="s">
        <v>3926</v>
      </c>
      <c r="E1830" s="1" t="s">
        <v>3927</v>
      </c>
      <c r="F1830" t="s">
        <v>11</v>
      </c>
      <c r="G1830" s="2">
        <v>44113.626018518517</v>
      </c>
    </row>
    <row r="1831" spans="1:7" ht="15" customHeight="1" x14ac:dyDescent="0.3">
      <c r="A1831">
        <v>1290031</v>
      </c>
      <c r="B1831" t="s">
        <v>150</v>
      </c>
      <c r="C1831" t="s">
        <v>1797</v>
      </c>
      <c r="D1831" t="s">
        <v>650</v>
      </c>
      <c r="E1831" s="1" t="s">
        <v>3928</v>
      </c>
      <c r="F1831" t="s">
        <v>11</v>
      </c>
      <c r="G1831" s="2">
        <v>44113.526666666665</v>
      </c>
    </row>
    <row r="1832" spans="1:7" ht="15" customHeight="1" x14ac:dyDescent="0.3">
      <c r="A1832">
        <v>1290024</v>
      </c>
      <c r="B1832" t="s">
        <v>36</v>
      </c>
      <c r="C1832" t="s">
        <v>3403</v>
      </c>
      <c r="D1832" t="s">
        <v>3929</v>
      </c>
      <c r="E1832" s="1" t="s">
        <v>3930</v>
      </c>
      <c r="F1832" t="s">
        <v>24</v>
      </c>
      <c r="G1832" s="2">
        <v>44113.501099537039</v>
      </c>
    </row>
    <row r="1833" spans="1:7" ht="15" customHeight="1" x14ac:dyDescent="0.3">
      <c r="A1833">
        <v>1289964</v>
      </c>
      <c r="B1833" t="s">
        <v>36</v>
      </c>
      <c r="C1833" t="s">
        <v>974</v>
      </c>
      <c r="D1833" t="s">
        <v>3931</v>
      </c>
      <c r="E1833" s="1" t="s">
        <v>3932</v>
      </c>
      <c r="F1833" t="s">
        <v>11</v>
      </c>
      <c r="G1833" s="2">
        <v>44113.414189814815</v>
      </c>
    </row>
    <row r="1834" spans="1:7" ht="15" customHeight="1" x14ac:dyDescent="0.3">
      <c r="A1834">
        <v>1289526</v>
      </c>
      <c r="B1834" t="s">
        <v>277</v>
      </c>
      <c r="C1834" t="s">
        <v>3746</v>
      </c>
      <c r="D1834" t="s">
        <v>3933</v>
      </c>
      <c r="E1834" s="1" t="s">
        <v>3934</v>
      </c>
      <c r="F1834" t="s">
        <v>11</v>
      </c>
      <c r="G1834" s="2">
        <v>44112.687083333331</v>
      </c>
    </row>
    <row r="1835" spans="1:7" ht="15" customHeight="1" x14ac:dyDescent="0.3">
      <c r="A1835">
        <v>1289370</v>
      </c>
      <c r="B1835" t="s">
        <v>177</v>
      </c>
      <c r="C1835" t="s">
        <v>178</v>
      </c>
      <c r="D1835" t="s">
        <v>3935</v>
      </c>
      <c r="E1835" s="1" t="s">
        <v>3936</v>
      </c>
      <c r="F1835" t="s">
        <v>11</v>
      </c>
      <c r="G1835" s="2">
        <v>44112.420162037037</v>
      </c>
    </row>
    <row r="1836" spans="1:7" ht="15" customHeight="1" x14ac:dyDescent="0.3">
      <c r="A1836">
        <v>1288770</v>
      </c>
      <c r="B1836" t="s">
        <v>431</v>
      </c>
      <c r="C1836" t="s">
        <v>480</v>
      </c>
      <c r="D1836" t="s">
        <v>3937</v>
      </c>
      <c r="E1836" s="1" t="s">
        <v>3938</v>
      </c>
      <c r="F1836" t="s">
        <v>11</v>
      </c>
      <c r="G1836" s="2">
        <v>44111.436574074076</v>
      </c>
    </row>
    <row r="1837" spans="1:7" ht="15" customHeight="1" x14ac:dyDescent="0.3">
      <c r="A1837">
        <v>1288297</v>
      </c>
      <c r="B1837" t="s">
        <v>477</v>
      </c>
      <c r="C1837" t="s">
        <v>512</v>
      </c>
      <c r="D1837" t="s">
        <v>3939</v>
      </c>
      <c r="E1837" s="1" t="s">
        <v>3940</v>
      </c>
      <c r="F1837" t="s">
        <v>11</v>
      </c>
      <c r="G1837" s="2">
        <v>44110.642175925925</v>
      </c>
    </row>
    <row r="1838" spans="1:7" ht="15" customHeight="1" x14ac:dyDescent="0.3">
      <c r="A1838">
        <v>1288167</v>
      </c>
      <c r="B1838" t="s">
        <v>431</v>
      </c>
      <c r="C1838" t="s">
        <v>432</v>
      </c>
      <c r="D1838" t="s">
        <v>3941</v>
      </c>
      <c r="E1838" s="1" t="s">
        <v>3942</v>
      </c>
      <c r="F1838" t="s">
        <v>11</v>
      </c>
      <c r="G1838" s="2">
        <v>44110.480578703704</v>
      </c>
    </row>
    <row r="1839" spans="1:7" ht="15" customHeight="1" x14ac:dyDescent="0.3">
      <c r="A1839">
        <v>1288158</v>
      </c>
      <c r="B1839" t="s">
        <v>20</v>
      </c>
      <c r="C1839" t="s">
        <v>269</v>
      </c>
      <c r="D1839" t="s">
        <v>3943</v>
      </c>
      <c r="E1839" s="1" t="s">
        <v>3944</v>
      </c>
      <c r="F1839" t="s">
        <v>24</v>
      </c>
      <c r="G1839" s="2">
        <v>44110.470706018517</v>
      </c>
    </row>
    <row r="1840" spans="1:7" ht="15" customHeight="1" x14ac:dyDescent="0.3">
      <c r="A1840">
        <v>1288119</v>
      </c>
      <c r="B1840" t="s">
        <v>177</v>
      </c>
      <c r="C1840" t="s">
        <v>3945</v>
      </c>
      <c r="D1840" t="s">
        <v>3946</v>
      </c>
      <c r="E1840" s="1" t="s">
        <v>3947</v>
      </c>
      <c r="F1840" t="s">
        <v>24</v>
      </c>
      <c r="G1840" s="2">
        <v>44110.425925925927</v>
      </c>
    </row>
    <row r="1841" spans="1:7" ht="15" customHeight="1" x14ac:dyDescent="0.3">
      <c r="A1841">
        <v>1288061</v>
      </c>
      <c r="B1841" t="s">
        <v>277</v>
      </c>
      <c r="D1841" t="s">
        <v>3948</v>
      </c>
      <c r="E1841" s="1" t="s">
        <v>3949</v>
      </c>
      <c r="F1841" t="s">
        <v>11</v>
      </c>
      <c r="G1841" s="2">
        <v>44110.386643518519</v>
      </c>
    </row>
    <row r="1842" spans="1:7" ht="15" customHeight="1" x14ac:dyDescent="0.3">
      <c r="A1842">
        <v>1288028</v>
      </c>
      <c r="B1842" t="s">
        <v>3950</v>
      </c>
      <c r="C1842" t="s">
        <v>3951</v>
      </c>
      <c r="D1842" t="s">
        <v>3952</v>
      </c>
      <c r="E1842" s="1" t="s">
        <v>3953</v>
      </c>
      <c r="F1842" t="s">
        <v>11</v>
      </c>
      <c r="G1842" s="2">
        <v>44110.34034722222</v>
      </c>
    </row>
    <row r="1843" spans="1:7" ht="15" customHeight="1" x14ac:dyDescent="0.3">
      <c r="A1843">
        <v>1287670</v>
      </c>
      <c r="B1843" t="s">
        <v>350</v>
      </c>
      <c r="C1843" t="s">
        <v>351</v>
      </c>
      <c r="D1843" t="s">
        <v>3954</v>
      </c>
      <c r="E1843" s="1" t="s">
        <v>3955</v>
      </c>
      <c r="F1843" t="s">
        <v>24</v>
      </c>
      <c r="G1843" s="2">
        <v>44109.66605324074</v>
      </c>
    </row>
    <row r="1844" spans="1:7" ht="15" customHeight="1" x14ac:dyDescent="0.3">
      <c r="A1844">
        <v>1287650</v>
      </c>
      <c r="B1844" t="s">
        <v>36</v>
      </c>
      <c r="C1844" t="s">
        <v>263</v>
      </c>
      <c r="D1844" t="s">
        <v>3956</v>
      </c>
      <c r="E1844" s="1" t="s">
        <v>3957</v>
      </c>
      <c r="F1844" t="s">
        <v>24</v>
      </c>
      <c r="G1844" s="2">
        <v>44109.614363425928</v>
      </c>
    </row>
    <row r="1845" spans="1:7" ht="15" customHeight="1" x14ac:dyDescent="0.3">
      <c r="A1845">
        <v>1287593</v>
      </c>
      <c r="B1845" t="s">
        <v>982</v>
      </c>
      <c r="C1845" t="s">
        <v>1892</v>
      </c>
      <c r="D1845" t="s">
        <v>3958</v>
      </c>
      <c r="E1845" s="1" t="s">
        <v>3959</v>
      </c>
      <c r="F1845" t="s">
        <v>11</v>
      </c>
      <c r="G1845" s="2">
        <v>44109.4925</v>
      </c>
    </row>
    <row r="1846" spans="1:7" ht="15" customHeight="1" x14ac:dyDescent="0.3">
      <c r="A1846">
        <v>1287554</v>
      </c>
      <c r="B1846" t="s">
        <v>53</v>
      </c>
      <c r="C1846" t="s">
        <v>609</v>
      </c>
      <c r="D1846" t="s">
        <v>3960</v>
      </c>
      <c r="E1846" s="1" t="s">
        <v>3961</v>
      </c>
      <c r="F1846" t="s">
        <v>11</v>
      </c>
      <c r="G1846" s="2">
        <v>44109.455949074072</v>
      </c>
    </row>
    <row r="1847" spans="1:7" ht="15" customHeight="1" x14ac:dyDescent="0.3">
      <c r="A1847">
        <v>1287542</v>
      </c>
      <c r="B1847" t="s">
        <v>53</v>
      </c>
      <c r="C1847" t="s">
        <v>60</v>
      </c>
      <c r="D1847" t="s">
        <v>3962</v>
      </c>
      <c r="E1847" s="1" t="s">
        <v>3961</v>
      </c>
      <c r="F1847" t="s">
        <v>11</v>
      </c>
      <c r="G1847" s="2">
        <v>44109.444884259261</v>
      </c>
    </row>
    <row r="1848" spans="1:7" ht="15" customHeight="1" x14ac:dyDescent="0.3">
      <c r="A1848">
        <v>1287408</v>
      </c>
      <c r="B1848" t="s">
        <v>36</v>
      </c>
      <c r="C1848" t="s">
        <v>3335</v>
      </c>
      <c r="D1848" t="s">
        <v>3963</v>
      </c>
      <c r="E1848" s="1" t="s">
        <v>3964</v>
      </c>
      <c r="F1848" t="s">
        <v>24</v>
      </c>
      <c r="G1848" s="2">
        <v>44109.337384259263</v>
      </c>
    </row>
    <row r="1849" spans="1:7" ht="15" customHeight="1" x14ac:dyDescent="0.3">
      <c r="A1849">
        <v>1287383</v>
      </c>
      <c r="B1849" t="s">
        <v>139</v>
      </c>
      <c r="C1849" t="s">
        <v>3965</v>
      </c>
      <c r="D1849" t="s">
        <v>3966</v>
      </c>
      <c r="E1849" s="1" t="s">
        <v>3967</v>
      </c>
      <c r="F1849" t="s">
        <v>11</v>
      </c>
      <c r="G1849" s="2">
        <v>44109.301736111112</v>
      </c>
    </row>
    <row r="1850" spans="1:7" ht="15" customHeight="1" x14ac:dyDescent="0.3">
      <c r="A1850">
        <v>1286262</v>
      </c>
      <c r="B1850" t="s">
        <v>36</v>
      </c>
      <c r="C1850" t="s">
        <v>589</v>
      </c>
      <c r="D1850" t="s">
        <v>3968</v>
      </c>
      <c r="E1850" s="1" t="s">
        <v>3969</v>
      </c>
      <c r="F1850" t="s">
        <v>24</v>
      </c>
      <c r="G1850" s="2">
        <v>44106.646284722221</v>
      </c>
    </row>
    <row r="1851" spans="1:7" ht="15" customHeight="1" x14ac:dyDescent="0.3">
      <c r="A1851">
        <v>1286211</v>
      </c>
      <c r="B1851" t="s">
        <v>545</v>
      </c>
      <c r="C1851" t="s">
        <v>3704</v>
      </c>
      <c r="D1851" t="s">
        <v>3970</v>
      </c>
      <c r="E1851" s="1" t="s">
        <v>3971</v>
      </c>
      <c r="F1851" t="s">
        <v>24</v>
      </c>
      <c r="G1851" s="2">
        <v>44106.529780092591</v>
      </c>
    </row>
    <row r="1852" spans="1:7" ht="15" customHeight="1" x14ac:dyDescent="0.3">
      <c r="A1852">
        <v>1285632</v>
      </c>
      <c r="B1852" t="s">
        <v>36</v>
      </c>
      <c r="C1852" t="s">
        <v>700</v>
      </c>
      <c r="D1852" t="s">
        <v>3972</v>
      </c>
      <c r="E1852" s="1" t="s">
        <v>3973</v>
      </c>
      <c r="F1852" t="s">
        <v>24</v>
      </c>
      <c r="G1852" s="2">
        <v>44105.539525462962</v>
      </c>
    </row>
    <row r="1853" spans="1:7" ht="15" customHeight="1" x14ac:dyDescent="0.3">
      <c r="A1853">
        <v>1285607</v>
      </c>
      <c r="B1853" t="s">
        <v>95</v>
      </c>
      <c r="C1853" t="s">
        <v>3974</v>
      </c>
      <c r="D1853" t="s">
        <v>3975</v>
      </c>
      <c r="E1853" s="1" t="s">
        <v>3976</v>
      </c>
      <c r="F1853" t="s">
        <v>11</v>
      </c>
      <c r="G1853" s="2">
        <v>44105.497303240743</v>
      </c>
    </row>
    <row r="1854" spans="1:7" ht="15" customHeight="1" x14ac:dyDescent="0.3">
      <c r="A1854">
        <v>1285576</v>
      </c>
      <c r="B1854" t="s">
        <v>2442</v>
      </c>
      <c r="C1854" t="s">
        <v>3977</v>
      </c>
      <c r="D1854" t="s">
        <v>3978</v>
      </c>
      <c r="E1854" s="1" t="s">
        <v>3979</v>
      </c>
      <c r="F1854" t="s">
        <v>11</v>
      </c>
      <c r="G1854" s="2">
        <v>44105.457662037035</v>
      </c>
    </row>
    <row r="1855" spans="1:7" ht="15" customHeight="1" x14ac:dyDescent="0.3">
      <c r="A1855">
        <v>1285487</v>
      </c>
      <c r="B1855" t="s">
        <v>53</v>
      </c>
      <c r="C1855" t="s">
        <v>54</v>
      </c>
      <c r="D1855" t="s">
        <v>3980</v>
      </c>
      <c r="E1855" s="1" t="s">
        <v>3981</v>
      </c>
      <c r="F1855" t="s">
        <v>11</v>
      </c>
      <c r="G1855" s="2">
        <v>44105.408530092594</v>
      </c>
    </row>
    <row r="1856" spans="1:7" ht="15" customHeight="1" x14ac:dyDescent="0.3">
      <c r="A1856">
        <v>1285471</v>
      </c>
      <c r="B1856" t="s">
        <v>45</v>
      </c>
      <c r="C1856" t="s">
        <v>1743</v>
      </c>
      <c r="D1856" t="s">
        <v>3982</v>
      </c>
      <c r="E1856" s="1" t="s">
        <v>3983</v>
      </c>
      <c r="F1856" t="s">
        <v>11</v>
      </c>
      <c r="G1856" s="2">
        <v>44105.394791666666</v>
      </c>
    </row>
    <row r="1857" spans="1:7" ht="15" customHeight="1" x14ac:dyDescent="0.3">
      <c r="A1857">
        <v>1285439</v>
      </c>
      <c r="B1857" t="s">
        <v>36</v>
      </c>
      <c r="C1857" t="s">
        <v>3335</v>
      </c>
      <c r="D1857" t="s">
        <v>3984</v>
      </c>
      <c r="E1857" s="1" t="s">
        <v>3985</v>
      </c>
      <c r="F1857" t="s">
        <v>24</v>
      </c>
      <c r="G1857" s="2">
        <v>44105.35359953704</v>
      </c>
    </row>
    <row r="1858" spans="1:7" ht="15" customHeight="1" x14ac:dyDescent="0.3">
      <c r="A1858">
        <v>1285382</v>
      </c>
      <c r="B1858" t="s">
        <v>36</v>
      </c>
      <c r="C1858" t="s">
        <v>589</v>
      </c>
      <c r="D1858" t="s">
        <v>3986</v>
      </c>
      <c r="E1858" s="1" t="s">
        <v>3987</v>
      </c>
      <c r="F1858" t="s">
        <v>24</v>
      </c>
      <c r="G1858" s="2">
        <v>44105.311018518521</v>
      </c>
    </row>
    <row r="1859" spans="1:7" ht="15" customHeight="1" x14ac:dyDescent="0.3">
      <c r="A1859">
        <v>1285031</v>
      </c>
      <c r="B1859" t="s">
        <v>36</v>
      </c>
      <c r="C1859" t="s">
        <v>343</v>
      </c>
      <c r="D1859" t="s">
        <v>3988</v>
      </c>
      <c r="E1859" s="1" t="s">
        <v>3989</v>
      </c>
      <c r="F1859" t="s">
        <v>24</v>
      </c>
      <c r="G1859" s="2">
        <v>44104.66369212963</v>
      </c>
    </row>
    <row r="1860" spans="1:7" ht="15" customHeight="1" x14ac:dyDescent="0.3">
      <c r="A1860">
        <v>1284966</v>
      </c>
      <c r="B1860" t="s">
        <v>70</v>
      </c>
      <c r="C1860" t="s">
        <v>3815</v>
      </c>
      <c r="D1860" t="s">
        <v>3990</v>
      </c>
      <c r="E1860" s="1" t="s">
        <v>3991</v>
      </c>
      <c r="F1860" t="s">
        <v>11</v>
      </c>
      <c r="G1860" s="2">
        <v>44104.526238425926</v>
      </c>
    </row>
    <row r="1861" spans="1:7" ht="15" customHeight="1" x14ac:dyDescent="0.3">
      <c r="A1861">
        <v>1284886</v>
      </c>
      <c r="B1861" t="s">
        <v>2134</v>
      </c>
      <c r="C1861" t="s">
        <v>2135</v>
      </c>
      <c r="D1861" t="s">
        <v>3992</v>
      </c>
      <c r="E1861" s="1" t="s">
        <v>3993</v>
      </c>
      <c r="F1861" t="s">
        <v>11</v>
      </c>
      <c r="G1861" s="2">
        <v>44104.427916666667</v>
      </c>
    </row>
    <row r="1862" spans="1:7" ht="15" customHeight="1" x14ac:dyDescent="0.3">
      <c r="A1862">
        <v>1284825</v>
      </c>
      <c r="B1862" t="s">
        <v>184</v>
      </c>
      <c r="C1862" t="s">
        <v>1698</v>
      </c>
      <c r="D1862" t="s">
        <v>3994</v>
      </c>
      <c r="E1862" s="1" t="s">
        <v>3995</v>
      </c>
      <c r="F1862" t="s">
        <v>11</v>
      </c>
      <c r="G1862" s="2">
        <v>44104.387141203704</v>
      </c>
    </row>
    <row r="1863" spans="1:7" ht="15" customHeight="1" x14ac:dyDescent="0.3">
      <c r="A1863">
        <v>1284815</v>
      </c>
      <c r="B1863" t="s">
        <v>318</v>
      </c>
      <c r="C1863" t="s">
        <v>319</v>
      </c>
      <c r="D1863" t="s">
        <v>3996</v>
      </c>
      <c r="E1863" s="1" t="s">
        <v>3997</v>
      </c>
      <c r="F1863" t="s">
        <v>11</v>
      </c>
      <c r="G1863" s="2">
        <v>44104.371030092596</v>
      </c>
    </row>
    <row r="1864" spans="1:7" ht="15" customHeight="1" x14ac:dyDescent="0.3">
      <c r="A1864">
        <v>1284780</v>
      </c>
      <c r="B1864" t="s">
        <v>3998</v>
      </c>
      <c r="C1864" t="s">
        <v>3999</v>
      </c>
      <c r="D1864" t="s">
        <v>4000</v>
      </c>
      <c r="E1864" s="1" t="s">
        <v>4001</v>
      </c>
      <c r="F1864" t="s">
        <v>11</v>
      </c>
      <c r="G1864" s="2">
        <v>44104.344097222223</v>
      </c>
    </row>
    <row r="1865" spans="1:7" ht="15" customHeight="1" x14ac:dyDescent="0.3">
      <c r="A1865">
        <v>1284757</v>
      </c>
      <c r="B1865" t="s">
        <v>515</v>
      </c>
      <c r="C1865" t="s">
        <v>3533</v>
      </c>
      <c r="D1865" t="s">
        <v>4002</v>
      </c>
      <c r="E1865" s="1" t="s">
        <v>4003</v>
      </c>
      <c r="F1865" t="s">
        <v>11</v>
      </c>
      <c r="G1865" s="2">
        <v>44104.32372685185</v>
      </c>
    </row>
    <row r="1866" spans="1:7" ht="15" customHeight="1" x14ac:dyDescent="0.3">
      <c r="A1866">
        <v>1284740</v>
      </c>
      <c r="B1866" t="s">
        <v>16</v>
      </c>
      <c r="C1866" t="s">
        <v>4004</v>
      </c>
      <c r="D1866" t="s">
        <v>4005</v>
      </c>
      <c r="E1866" s="1" t="s">
        <v>4006</v>
      </c>
      <c r="F1866" t="s">
        <v>11</v>
      </c>
      <c r="G1866" s="2">
        <v>44104.264606481483</v>
      </c>
    </row>
    <row r="1867" spans="1:7" ht="15" customHeight="1" x14ac:dyDescent="0.3">
      <c r="A1867">
        <v>1284360</v>
      </c>
      <c r="B1867" t="s">
        <v>70</v>
      </c>
      <c r="C1867" t="s">
        <v>3815</v>
      </c>
      <c r="D1867" t="s">
        <v>4007</v>
      </c>
      <c r="E1867" s="1" t="s">
        <v>4008</v>
      </c>
      <c r="F1867" t="s">
        <v>11</v>
      </c>
      <c r="G1867" s="2">
        <v>44103.620567129627</v>
      </c>
    </row>
    <row r="1868" spans="1:7" ht="15" customHeight="1" x14ac:dyDescent="0.3">
      <c r="A1868">
        <v>1284185</v>
      </c>
      <c r="B1868" t="s">
        <v>36</v>
      </c>
      <c r="C1868" t="s">
        <v>589</v>
      </c>
      <c r="D1868" t="s">
        <v>4009</v>
      </c>
      <c r="E1868" s="1" t="s">
        <v>4010</v>
      </c>
      <c r="F1868" t="s">
        <v>24</v>
      </c>
      <c r="G1868" s="2">
        <v>44103.405150462961</v>
      </c>
    </row>
    <row r="1869" spans="1:7" ht="15" customHeight="1" x14ac:dyDescent="0.3">
      <c r="A1869">
        <v>1283788</v>
      </c>
      <c r="B1869" t="s">
        <v>226</v>
      </c>
      <c r="C1869" t="s">
        <v>1008</v>
      </c>
      <c r="D1869" t="s">
        <v>4011</v>
      </c>
      <c r="E1869" s="1" t="s">
        <v>4012</v>
      </c>
      <c r="F1869" t="s">
        <v>11</v>
      </c>
      <c r="G1869" s="2">
        <v>44102.688518518517</v>
      </c>
    </row>
    <row r="1870" spans="1:7" ht="15" customHeight="1" x14ac:dyDescent="0.3">
      <c r="A1870">
        <v>1283777</v>
      </c>
      <c r="B1870" t="s">
        <v>214</v>
      </c>
      <c r="C1870" t="s">
        <v>1718</v>
      </c>
      <c r="D1870" t="s">
        <v>4013</v>
      </c>
      <c r="E1870" s="1" t="s">
        <v>4014</v>
      </c>
      <c r="F1870" t="s">
        <v>11</v>
      </c>
      <c r="G1870" s="2">
        <v>44102.673356481479</v>
      </c>
    </row>
    <row r="1871" spans="1:7" ht="15" customHeight="1" x14ac:dyDescent="0.3">
      <c r="A1871">
        <v>1283767</v>
      </c>
      <c r="B1871" t="s">
        <v>214</v>
      </c>
      <c r="C1871" t="s">
        <v>1718</v>
      </c>
      <c r="D1871" t="s">
        <v>4015</v>
      </c>
      <c r="E1871" s="1" t="s">
        <v>4016</v>
      </c>
      <c r="F1871" t="s">
        <v>11</v>
      </c>
      <c r="G1871" s="2">
        <v>44102.668043981481</v>
      </c>
    </row>
    <row r="1872" spans="1:7" ht="15" customHeight="1" x14ac:dyDescent="0.3">
      <c r="A1872">
        <v>1283740</v>
      </c>
      <c r="B1872" t="s">
        <v>36</v>
      </c>
      <c r="C1872" t="s">
        <v>1175</v>
      </c>
      <c r="D1872" t="s">
        <v>4017</v>
      </c>
      <c r="E1872" s="1" t="s">
        <v>4018</v>
      </c>
      <c r="F1872" t="s">
        <v>24</v>
      </c>
      <c r="G1872" s="2">
        <v>44102.601018518515</v>
      </c>
    </row>
    <row r="1873" spans="1:7" ht="15" customHeight="1" x14ac:dyDescent="0.3">
      <c r="A1873">
        <v>1283697</v>
      </c>
      <c r="B1873" t="s">
        <v>374</v>
      </c>
      <c r="C1873" t="s">
        <v>663</v>
      </c>
      <c r="D1873" t="s">
        <v>4019</v>
      </c>
      <c r="E1873" s="1" t="s">
        <v>4020</v>
      </c>
      <c r="F1873" t="s">
        <v>11</v>
      </c>
      <c r="G1873" s="2">
        <v>44102.49858796296</v>
      </c>
    </row>
    <row r="1874" spans="1:7" ht="15" customHeight="1" x14ac:dyDescent="0.3">
      <c r="A1874">
        <v>1283677</v>
      </c>
      <c r="B1874" t="s">
        <v>45</v>
      </c>
      <c r="C1874" t="s">
        <v>1743</v>
      </c>
      <c r="D1874" t="s">
        <v>4021</v>
      </c>
      <c r="E1874" s="1" t="s">
        <v>4022</v>
      </c>
      <c r="F1874" t="s">
        <v>11</v>
      </c>
      <c r="G1874" s="2">
        <v>44102.470208333332</v>
      </c>
    </row>
    <row r="1875" spans="1:7" ht="15" customHeight="1" x14ac:dyDescent="0.3">
      <c r="A1875">
        <v>1283666</v>
      </c>
      <c r="B1875" t="s">
        <v>45</v>
      </c>
      <c r="C1875" t="s">
        <v>4023</v>
      </c>
      <c r="D1875" t="s">
        <v>4024</v>
      </c>
      <c r="E1875" s="1" t="s">
        <v>4022</v>
      </c>
      <c r="F1875" t="s">
        <v>11</v>
      </c>
      <c r="G1875" s="2">
        <v>44102.449270833335</v>
      </c>
    </row>
    <row r="1876" spans="1:7" ht="15" customHeight="1" x14ac:dyDescent="0.3">
      <c r="A1876">
        <v>1283638</v>
      </c>
      <c r="B1876" t="s">
        <v>70</v>
      </c>
      <c r="C1876" t="s">
        <v>3815</v>
      </c>
      <c r="D1876" t="s">
        <v>4025</v>
      </c>
      <c r="E1876" s="1" t="s">
        <v>4026</v>
      </c>
      <c r="F1876" t="s">
        <v>11</v>
      </c>
      <c r="G1876" s="2">
        <v>44102.430266203701</v>
      </c>
    </row>
    <row r="1877" spans="1:7" ht="15" customHeight="1" x14ac:dyDescent="0.3">
      <c r="A1877">
        <v>1283504</v>
      </c>
      <c r="B1877" t="s">
        <v>36</v>
      </c>
      <c r="C1877" t="s">
        <v>3335</v>
      </c>
      <c r="D1877" t="s">
        <v>4027</v>
      </c>
      <c r="E1877" s="1" t="s">
        <v>4028</v>
      </c>
      <c r="F1877" t="s">
        <v>24</v>
      </c>
      <c r="G1877" s="2">
        <v>44102.361689814818</v>
      </c>
    </row>
    <row r="1878" spans="1:7" ht="15" customHeight="1" x14ac:dyDescent="0.3">
      <c r="A1878">
        <v>1282335</v>
      </c>
      <c r="B1878" t="s">
        <v>36</v>
      </c>
      <c r="C1878" t="s">
        <v>822</v>
      </c>
      <c r="D1878" t="s">
        <v>4029</v>
      </c>
      <c r="E1878" s="1" t="s">
        <v>4030</v>
      </c>
      <c r="F1878" t="s">
        <v>24</v>
      </c>
      <c r="G1878" s="2">
        <v>44099.712453703702</v>
      </c>
    </row>
    <row r="1879" spans="1:7" ht="15" customHeight="1" x14ac:dyDescent="0.3">
      <c r="A1879">
        <v>1282231</v>
      </c>
      <c r="B1879" t="s">
        <v>614</v>
      </c>
      <c r="C1879" t="s">
        <v>2489</v>
      </c>
      <c r="D1879" t="s">
        <v>4031</v>
      </c>
      <c r="E1879" s="1" t="s">
        <v>4032</v>
      </c>
      <c r="F1879" t="s">
        <v>11</v>
      </c>
      <c r="G1879" s="2">
        <v>44099.455046296294</v>
      </c>
    </row>
    <row r="1880" spans="1:7" ht="15" customHeight="1" x14ac:dyDescent="0.3">
      <c r="A1880">
        <v>1281553</v>
      </c>
      <c r="B1880" t="s">
        <v>860</v>
      </c>
      <c r="C1880" t="s">
        <v>861</v>
      </c>
      <c r="D1880" t="s">
        <v>4033</v>
      </c>
      <c r="E1880" s="1" t="s">
        <v>4034</v>
      </c>
      <c r="F1880" t="s">
        <v>11</v>
      </c>
      <c r="G1880" s="2">
        <v>44098.623692129629</v>
      </c>
    </row>
    <row r="1881" spans="1:7" ht="15" customHeight="1" x14ac:dyDescent="0.3">
      <c r="A1881">
        <v>1281516</v>
      </c>
      <c r="B1881" t="s">
        <v>374</v>
      </c>
      <c r="C1881" t="s">
        <v>4035</v>
      </c>
      <c r="D1881" t="s">
        <v>4036</v>
      </c>
      <c r="E1881" s="1" t="s">
        <v>4037</v>
      </c>
      <c r="F1881" t="s">
        <v>11</v>
      </c>
      <c r="G1881" s="2">
        <v>44098.534930555557</v>
      </c>
    </row>
    <row r="1882" spans="1:7" ht="15" customHeight="1" x14ac:dyDescent="0.3">
      <c r="A1882">
        <v>1281486</v>
      </c>
      <c r="B1882" t="s">
        <v>2221</v>
      </c>
      <c r="C1882" t="s">
        <v>2222</v>
      </c>
      <c r="D1882" t="s">
        <v>4038</v>
      </c>
      <c r="E1882" s="1" t="s">
        <v>4039</v>
      </c>
      <c r="F1882" t="s">
        <v>24</v>
      </c>
      <c r="G1882" s="2">
        <v>44098.466562499998</v>
      </c>
    </row>
    <row r="1883" spans="1:7" ht="15" customHeight="1" x14ac:dyDescent="0.3">
      <c r="A1883">
        <v>1281412</v>
      </c>
      <c r="B1883" t="s">
        <v>1010</v>
      </c>
      <c r="C1883" t="s">
        <v>1011</v>
      </c>
      <c r="D1883" t="s">
        <v>4040</v>
      </c>
      <c r="E1883" s="1" t="s">
        <v>4041</v>
      </c>
      <c r="F1883" t="s">
        <v>24</v>
      </c>
      <c r="G1883" s="2">
        <v>44098.36991898148</v>
      </c>
    </row>
    <row r="1884" spans="1:7" ht="15" customHeight="1" x14ac:dyDescent="0.3">
      <c r="A1884">
        <v>1281391</v>
      </c>
      <c r="B1884" t="s">
        <v>36</v>
      </c>
      <c r="C1884" t="s">
        <v>67</v>
      </c>
      <c r="D1884" t="s">
        <v>4042</v>
      </c>
      <c r="E1884" s="1" t="s">
        <v>4043</v>
      </c>
      <c r="F1884" t="s">
        <v>24</v>
      </c>
      <c r="G1884" s="2">
        <v>44098.320509259262</v>
      </c>
    </row>
    <row r="1885" spans="1:7" ht="15" customHeight="1" x14ac:dyDescent="0.3">
      <c r="A1885">
        <v>1281000</v>
      </c>
      <c r="B1885" t="s">
        <v>36</v>
      </c>
      <c r="C1885" t="s">
        <v>67</v>
      </c>
      <c r="D1885" t="s">
        <v>4044</v>
      </c>
      <c r="E1885" s="1" t="s">
        <v>4045</v>
      </c>
      <c r="F1885" t="s">
        <v>24</v>
      </c>
      <c r="G1885" s="2">
        <v>44097.460763888892</v>
      </c>
    </row>
    <row r="1886" spans="1:7" ht="15" customHeight="1" x14ac:dyDescent="0.3">
      <c r="A1886">
        <v>1280836</v>
      </c>
      <c r="B1886" t="s">
        <v>1714</v>
      </c>
      <c r="C1886" t="s">
        <v>1715</v>
      </c>
      <c r="D1886" t="s">
        <v>1323</v>
      </c>
      <c r="E1886" t="s">
        <v>1324</v>
      </c>
      <c r="F1886" t="s">
        <v>1158</v>
      </c>
      <c r="G1886" s="2">
        <v>44097.000717592593</v>
      </c>
    </row>
    <row r="1887" spans="1:7" ht="15" customHeight="1" x14ac:dyDescent="0.3">
      <c r="A1887">
        <v>1280559</v>
      </c>
      <c r="B1887" t="s">
        <v>36</v>
      </c>
      <c r="C1887" t="s">
        <v>4046</v>
      </c>
      <c r="D1887" t="s">
        <v>4047</v>
      </c>
      <c r="E1887" s="1" t="s">
        <v>4048</v>
      </c>
      <c r="F1887" t="s">
        <v>24</v>
      </c>
      <c r="G1887" s="2">
        <v>44096.55332175926</v>
      </c>
    </row>
    <row r="1888" spans="1:7" ht="15" customHeight="1" x14ac:dyDescent="0.3">
      <c r="A1888">
        <v>1280557</v>
      </c>
      <c r="B1888" t="s">
        <v>53</v>
      </c>
      <c r="C1888" t="s">
        <v>54</v>
      </c>
      <c r="D1888" t="s">
        <v>4049</v>
      </c>
      <c r="E1888" s="1" t="s">
        <v>4050</v>
      </c>
      <c r="F1888" t="s">
        <v>11</v>
      </c>
      <c r="G1888" s="2">
        <v>44096.552800925929</v>
      </c>
    </row>
    <row r="1889" spans="1:7" ht="15" customHeight="1" x14ac:dyDescent="0.3">
      <c r="A1889">
        <v>1280536</v>
      </c>
      <c r="B1889" t="s">
        <v>36</v>
      </c>
      <c r="C1889" t="s">
        <v>509</v>
      </c>
      <c r="D1889" t="s">
        <v>4051</v>
      </c>
      <c r="E1889" s="1" t="s">
        <v>4052</v>
      </c>
      <c r="F1889" t="s">
        <v>24</v>
      </c>
      <c r="G1889" s="2">
        <v>44096.473923611113</v>
      </c>
    </row>
    <row r="1890" spans="1:7" ht="15" customHeight="1" x14ac:dyDescent="0.3">
      <c r="A1890">
        <v>1280464</v>
      </c>
      <c r="B1890" t="s">
        <v>32</v>
      </c>
      <c r="C1890" t="s">
        <v>463</v>
      </c>
      <c r="D1890" t="s">
        <v>4053</v>
      </c>
      <c r="E1890" s="1" t="s">
        <v>4054</v>
      </c>
      <c r="F1890" t="s">
        <v>11</v>
      </c>
      <c r="G1890" s="2">
        <v>44096.390057870369</v>
      </c>
    </row>
    <row r="1891" spans="1:7" ht="15" customHeight="1" x14ac:dyDescent="0.3">
      <c r="A1891">
        <v>1280437</v>
      </c>
      <c r="B1891" t="s">
        <v>70</v>
      </c>
      <c r="C1891" t="s">
        <v>660</v>
      </c>
      <c r="D1891" t="s">
        <v>4055</v>
      </c>
      <c r="E1891" s="1" t="s">
        <v>4056</v>
      </c>
      <c r="F1891" t="s">
        <v>11</v>
      </c>
      <c r="G1891" s="2">
        <v>44096.356145833335</v>
      </c>
    </row>
    <row r="1892" spans="1:7" ht="15" customHeight="1" x14ac:dyDescent="0.3">
      <c r="A1892">
        <v>1280428</v>
      </c>
      <c r="B1892" t="s">
        <v>489</v>
      </c>
      <c r="C1892" t="s">
        <v>1791</v>
      </c>
      <c r="D1892" t="s">
        <v>4057</v>
      </c>
      <c r="E1892" s="1" t="s">
        <v>4058</v>
      </c>
      <c r="F1892" t="s">
        <v>11</v>
      </c>
      <c r="G1892" s="2">
        <v>44096.342164351852</v>
      </c>
    </row>
    <row r="1893" spans="1:7" ht="15" customHeight="1" x14ac:dyDescent="0.3">
      <c r="A1893">
        <v>1280404</v>
      </c>
      <c r="B1893" t="s">
        <v>36</v>
      </c>
      <c r="C1893" t="s">
        <v>67</v>
      </c>
      <c r="D1893" t="s">
        <v>4059</v>
      </c>
      <c r="E1893" s="1" t="s">
        <v>4060</v>
      </c>
      <c r="F1893" t="s">
        <v>24</v>
      </c>
      <c r="G1893" s="2">
        <v>44096.31722222222</v>
      </c>
    </row>
    <row r="1894" spans="1:7" ht="15" customHeight="1" x14ac:dyDescent="0.3">
      <c r="A1894">
        <v>1280104</v>
      </c>
      <c r="B1894" t="s">
        <v>20</v>
      </c>
      <c r="C1894" t="s">
        <v>136</v>
      </c>
      <c r="D1894" t="s">
        <v>4061</v>
      </c>
      <c r="E1894" s="1" t="s">
        <v>4062</v>
      </c>
      <c r="F1894" t="s">
        <v>11</v>
      </c>
      <c r="G1894" s="2">
        <v>44095.886863425927</v>
      </c>
    </row>
    <row r="1895" spans="1:7" ht="15" customHeight="1" x14ac:dyDescent="0.3">
      <c r="A1895">
        <v>1279947</v>
      </c>
      <c r="B1895" t="s">
        <v>36</v>
      </c>
      <c r="C1895" t="s">
        <v>2387</v>
      </c>
      <c r="D1895" t="s">
        <v>4063</v>
      </c>
      <c r="E1895" s="1" t="s">
        <v>4064</v>
      </c>
      <c r="F1895" t="s">
        <v>24</v>
      </c>
      <c r="G1895" s="2">
        <v>44095.704085648147</v>
      </c>
    </row>
    <row r="1896" spans="1:7" ht="15" customHeight="1" x14ac:dyDescent="0.3">
      <c r="A1896">
        <v>1279930</v>
      </c>
      <c r="B1896" t="s">
        <v>36</v>
      </c>
      <c r="C1896" t="s">
        <v>589</v>
      </c>
      <c r="D1896" t="s">
        <v>4065</v>
      </c>
      <c r="E1896" s="1" t="s">
        <v>4066</v>
      </c>
      <c r="F1896" t="s">
        <v>24</v>
      </c>
      <c r="G1896" s="2">
        <v>44095.668553240743</v>
      </c>
    </row>
    <row r="1897" spans="1:7" ht="15" customHeight="1" x14ac:dyDescent="0.3">
      <c r="A1897">
        <v>1279886</v>
      </c>
      <c r="B1897" t="s">
        <v>843</v>
      </c>
      <c r="C1897" t="s">
        <v>4067</v>
      </c>
      <c r="D1897" t="s">
        <v>4068</v>
      </c>
      <c r="E1897" s="1" t="s">
        <v>4069</v>
      </c>
      <c r="F1897" t="s">
        <v>11</v>
      </c>
      <c r="G1897" s="2">
        <v>44095.580104166664</v>
      </c>
    </row>
    <row r="1898" spans="1:7" ht="15" customHeight="1" x14ac:dyDescent="0.3">
      <c r="A1898">
        <v>1279870</v>
      </c>
      <c r="B1898" t="s">
        <v>431</v>
      </c>
      <c r="C1898" t="s">
        <v>432</v>
      </c>
      <c r="D1898" t="s">
        <v>4070</v>
      </c>
      <c r="E1898" s="1" t="s">
        <v>4071</v>
      </c>
      <c r="F1898" t="s">
        <v>11</v>
      </c>
      <c r="G1898" s="2">
        <v>44095.560833333337</v>
      </c>
    </row>
    <row r="1899" spans="1:7" ht="15" customHeight="1" x14ac:dyDescent="0.3">
      <c r="A1899">
        <v>1279841</v>
      </c>
      <c r="B1899" t="s">
        <v>63</v>
      </c>
      <c r="C1899" t="s">
        <v>1524</v>
      </c>
      <c r="D1899" t="s">
        <v>4072</v>
      </c>
      <c r="E1899" s="1" t="s">
        <v>4073</v>
      </c>
      <c r="F1899" t="s">
        <v>11</v>
      </c>
      <c r="G1899" s="2">
        <v>44095.503240740742</v>
      </c>
    </row>
    <row r="1900" spans="1:7" ht="15" customHeight="1" x14ac:dyDescent="0.3">
      <c r="A1900">
        <v>1279818</v>
      </c>
      <c r="B1900" t="s">
        <v>20</v>
      </c>
      <c r="C1900" t="s">
        <v>757</v>
      </c>
      <c r="D1900" t="s">
        <v>4074</v>
      </c>
      <c r="E1900" s="1" t="s">
        <v>4075</v>
      </c>
      <c r="F1900" t="s">
        <v>11</v>
      </c>
      <c r="G1900" s="2">
        <v>44095.462500000001</v>
      </c>
    </row>
    <row r="1901" spans="1:7" ht="15" customHeight="1" x14ac:dyDescent="0.3">
      <c r="A1901">
        <v>1279738</v>
      </c>
      <c r="B1901" t="s">
        <v>70</v>
      </c>
      <c r="C1901" t="s">
        <v>660</v>
      </c>
      <c r="D1901" t="s">
        <v>4076</v>
      </c>
      <c r="E1901" s="1" t="s">
        <v>4077</v>
      </c>
      <c r="F1901" t="s">
        <v>24</v>
      </c>
      <c r="G1901" s="2">
        <v>44095.400277777779</v>
      </c>
    </row>
    <row r="1902" spans="1:7" ht="15" customHeight="1" x14ac:dyDescent="0.3">
      <c r="A1902">
        <v>1278855</v>
      </c>
      <c r="B1902" t="s">
        <v>4078</v>
      </c>
      <c r="C1902" t="s">
        <v>4079</v>
      </c>
      <c r="D1902" t="s">
        <v>4080</v>
      </c>
      <c r="E1902" s="1" t="s">
        <v>4081</v>
      </c>
      <c r="F1902" t="s">
        <v>11</v>
      </c>
      <c r="G1902" s="2">
        <v>44093.62599537037</v>
      </c>
    </row>
    <row r="1903" spans="1:7" ht="15" customHeight="1" x14ac:dyDescent="0.3">
      <c r="A1903">
        <v>1278286</v>
      </c>
      <c r="B1903" t="s">
        <v>4082</v>
      </c>
      <c r="C1903" t="s">
        <v>4083</v>
      </c>
      <c r="D1903" t="s">
        <v>4084</v>
      </c>
      <c r="E1903" s="1" t="s">
        <v>4085</v>
      </c>
      <c r="F1903" t="s">
        <v>24</v>
      </c>
      <c r="G1903" s="2">
        <v>44092.70684027778</v>
      </c>
    </row>
    <row r="1904" spans="1:7" ht="15" customHeight="1" x14ac:dyDescent="0.3">
      <c r="A1904">
        <v>1277553</v>
      </c>
      <c r="B1904" t="s">
        <v>70</v>
      </c>
      <c r="C1904" t="s">
        <v>3815</v>
      </c>
      <c r="D1904" t="s">
        <v>4086</v>
      </c>
      <c r="E1904" s="1" t="s">
        <v>4087</v>
      </c>
      <c r="F1904" t="s">
        <v>24</v>
      </c>
      <c r="G1904" s="2">
        <v>44091.698055555556</v>
      </c>
    </row>
    <row r="1905" spans="1:7" ht="15" customHeight="1" x14ac:dyDescent="0.3">
      <c r="A1905">
        <v>1277440</v>
      </c>
      <c r="B1905" t="s">
        <v>25</v>
      </c>
      <c r="C1905" t="s">
        <v>26</v>
      </c>
      <c r="D1905" t="s">
        <v>4088</v>
      </c>
      <c r="E1905" s="1" t="s">
        <v>4089</v>
      </c>
      <c r="F1905" t="s">
        <v>11</v>
      </c>
      <c r="G1905" s="2">
        <v>44091.494768518518</v>
      </c>
    </row>
    <row r="1906" spans="1:7" ht="15" customHeight="1" x14ac:dyDescent="0.3">
      <c r="A1906">
        <v>1277320</v>
      </c>
      <c r="B1906" t="s">
        <v>1105</v>
      </c>
      <c r="C1906" t="s">
        <v>4090</v>
      </c>
      <c r="D1906" t="s">
        <v>4091</v>
      </c>
      <c r="E1906" s="1" t="s">
        <v>4092</v>
      </c>
      <c r="F1906" t="s">
        <v>11</v>
      </c>
      <c r="G1906" s="2">
        <v>44091.373101851852</v>
      </c>
    </row>
    <row r="1907" spans="1:7" ht="15" customHeight="1" x14ac:dyDescent="0.3">
      <c r="A1907">
        <v>1277266</v>
      </c>
      <c r="B1907" t="s">
        <v>25</v>
      </c>
      <c r="C1907" t="s">
        <v>1995</v>
      </c>
      <c r="D1907" t="s">
        <v>4093</v>
      </c>
      <c r="E1907" s="1" t="s">
        <v>4094</v>
      </c>
      <c r="F1907" t="s">
        <v>11</v>
      </c>
      <c r="G1907" s="2">
        <v>44091.308333333334</v>
      </c>
    </row>
    <row r="1908" spans="1:7" ht="15" customHeight="1" x14ac:dyDescent="0.3">
      <c r="A1908">
        <v>1276999</v>
      </c>
      <c r="B1908" t="s">
        <v>70</v>
      </c>
      <c r="C1908" t="s">
        <v>3815</v>
      </c>
      <c r="D1908" t="s">
        <v>4095</v>
      </c>
      <c r="E1908" s="1" t="s">
        <v>4096</v>
      </c>
      <c r="F1908" t="s">
        <v>11</v>
      </c>
      <c r="G1908" s="2">
        <v>44090.801041666666</v>
      </c>
    </row>
    <row r="1909" spans="1:7" ht="15" customHeight="1" x14ac:dyDescent="0.3">
      <c r="A1909">
        <v>1276933</v>
      </c>
      <c r="B1909" t="s">
        <v>214</v>
      </c>
      <c r="C1909" t="s">
        <v>158</v>
      </c>
      <c r="D1909" t="s">
        <v>4097</v>
      </c>
      <c r="E1909" s="1" t="s">
        <v>4098</v>
      </c>
      <c r="F1909" t="s">
        <v>11</v>
      </c>
      <c r="G1909" s="2">
        <v>44090.731909722221</v>
      </c>
    </row>
    <row r="1910" spans="1:7" ht="15" customHeight="1" x14ac:dyDescent="0.3">
      <c r="A1910">
        <v>1276920</v>
      </c>
      <c r="B1910" t="s">
        <v>70</v>
      </c>
      <c r="C1910" t="s">
        <v>4099</v>
      </c>
      <c r="D1910" t="s">
        <v>4100</v>
      </c>
      <c r="E1910" s="1" t="s">
        <v>4101</v>
      </c>
      <c r="F1910" t="s">
        <v>11</v>
      </c>
      <c r="G1910" s="2">
        <v>44090.717430555553</v>
      </c>
    </row>
    <row r="1911" spans="1:7" ht="15" customHeight="1" x14ac:dyDescent="0.3">
      <c r="A1911">
        <v>1276907</v>
      </c>
      <c r="B1911" t="s">
        <v>191</v>
      </c>
      <c r="C1911" t="s">
        <v>4102</v>
      </c>
      <c r="D1911" t="s">
        <v>4103</v>
      </c>
      <c r="E1911" s="1" t="s">
        <v>4104</v>
      </c>
      <c r="F1911" t="s">
        <v>11</v>
      </c>
      <c r="G1911" s="2">
        <v>44090.7</v>
      </c>
    </row>
    <row r="1912" spans="1:7" ht="15" customHeight="1" x14ac:dyDescent="0.3">
      <c r="A1912">
        <v>1276862</v>
      </c>
      <c r="B1912" t="s">
        <v>446</v>
      </c>
      <c r="C1912" t="s">
        <v>4105</v>
      </c>
      <c r="D1912" t="s">
        <v>4106</v>
      </c>
      <c r="E1912" s="1" t="s">
        <v>4107</v>
      </c>
      <c r="F1912" t="s">
        <v>11</v>
      </c>
      <c r="G1912" s="2">
        <v>44090.607673611114</v>
      </c>
    </row>
    <row r="1913" spans="1:7" ht="15" customHeight="1" x14ac:dyDescent="0.3">
      <c r="A1913">
        <v>1276835</v>
      </c>
      <c r="B1913" t="s">
        <v>70</v>
      </c>
      <c r="C1913" t="s">
        <v>660</v>
      </c>
      <c r="D1913" t="s">
        <v>4108</v>
      </c>
      <c r="E1913" s="1" t="s">
        <v>4109</v>
      </c>
      <c r="F1913" t="s">
        <v>24</v>
      </c>
      <c r="G1913" s="2">
        <v>44090.569768518515</v>
      </c>
    </row>
    <row r="1914" spans="1:7" ht="15" customHeight="1" x14ac:dyDescent="0.3">
      <c r="A1914">
        <v>1276822</v>
      </c>
      <c r="B1914" t="s">
        <v>32</v>
      </c>
      <c r="C1914" t="s">
        <v>463</v>
      </c>
      <c r="D1914" t="s">
        <v>4110</v>
      </c>
      <c r="E1914" s="1" t="s">
        <v>4111</v>
      </c>
      <c r="F1914" t="s">
        <v>11</v>
      </c>
      <c r="G1914" s="2">
        <v>44090.533888888887</v>
      </c>
    </row>
    <row r="1915" spans="1:7" ht="15" customHeight="1" x14ac:dyDescent="0.3">
      <c r="A1915">
        <v>1276810</v>
      </c>
      <c r="B1915" t="s">
        <v>4112</v>
      </c>
      <c r="C1915" t="s">
        <v>4113</v>
      </c>
      <c r="D1915" t="s">
        <v>4114</v>
      </c>
      <c r="E1915" s="1" t="s">
        <v>4115</v>
      </c>
      <c r="F1915" t="s">
        <v>11</v>
      </c>
      <c r="G1915" s="2">
        <v>44090.519375000003</v>
      </c>
    </row>
    <row r="1916" spans="1:7" ht="15" customHeight="1" x14ac:dyDescent="0.3">
      <c r="A1916">
        <v>1276794</v>
      </c>
      <c r="B1916" t="s">
        <v>32</v>
      </c>
      <c r="C1916" t="s">
        <v>4116</v>
      </c>
      <c r="D1916" t="s">
        <v>4117</v>
      </c>
      <c r="E1916" s="1" t="s">
        <v>4118</v>
      </c>
      <c r="F1916" t="s">
        <v>11</v>
      </c>
      <c r="G1916" s="2">
        <v>44090.501770833333</v>
      </c>
    </row>
    <row r="1917" spans="1:7" ht="15" customHeight="1" x14ac:dyDescent="0.3">
      <c r="A1917">
        <v>1276279</v>
      </c>
      <c r="B1917" t="s">
        <v>606</v>
      </c>
      <c r="C1917" t="s">
        <v>4119</v>
      </c>
      <c r="D1917" t="s">
        <v>4120</v>
      </c>
      <c r="E1917" s="1" t="s">
        <v>4121</v>
      </c>
      <c r="F1917" t="s">
        <v>11</v>
      </c>
      <c r="G1917" s="2">
        <v>44089.66511574074</v>
      </c>
    </row>
    <row r="1918" spans="1:7" ht="15" customHeight="1" x14ac:dyDescent="0.3">
      <c r="A1918">
        <v>1276267</v>
      </c>
      <c r="B1918" t="s">
        <v>157</v>
      </c>
      <c r="C1918" t="s">
        <v>627</v>
      </c>
      <c r="D1918" t="s">
        <v>4122</v>
      </c>
      <c r="E1918" s="1" t="s">
        <v>4123</v>
      </c>
      <c r="F1918" t="s">
        <v>11</v>
      </c>
      <c r="G1918" s="2">
        <v>44089.63821759259</v>
      </c>
    </row>
    <row r="1919" spans="1:7" ht="15" customHeight="1" x14ac:dyDescent="0.3">
      <c r="A1919">
        <v>1276220</v>
      </c>
      <c r="B1919" t="s">
        <v>431</v>
      </c>
      <c r="C1919" t="s">
        <v>4124</v>
      </c>
      <c r="D1919" t="s">
        <v>4125</v>
      </c>
      <c r="E1919" s="1" t="s">
        <v>4126</v>
      </c>
      <c r="F1919" t="s">
        <v>24</v>
      </c>
      <c r="G1919" s="2">
        <v>44089.504178240742</v>
      </c>
    </row>
    <row r="1920" spans="1:7" ht="15" customHeight="1" x14ac:dyDescent="0.3">
      <c r="A1920">
        <v>1276158</v>
      </c>
      <c r="B1920" t="s">
        <v>95</v>
      </c>
      <c r="C1920" t="s">
        <v>96</v>
      </c>
      <c r="D1920" t="s">
        <v>4127</v>
      </c>
      <c r="E1920" s="1" t="s">
        <v>4128</v>
      </c>
      <c r="F1920" t="s">
        <v>11</v>
      </c>
      <c r="G1920" s="2">
        <v>44089.419108796297</v>
      </c>
    </row>
    <row r="1921" spans="1:7" ht="15" customHeight="1" x14ac:dyDescent="0.3">
      <c r="A1921">
        <v>1275473</v>
      </c>
      <c r="B1921" t="s">
        <v>16</v>
      </c>
      <c r="C1921" t="s">
        <v>181</v>
      </c>
      <c r="D1921" t="s">
        <v>4129</v>
      </c>
      <c r="E1921" s="1" t="s">
        <v>4130</v>
      </c>
      <c r="F1921" t="s">
        <v>11</v>
      </c>
      <c r="G1921" s="2">
        <v>44088.384884259256</v>
      </c>
    </row>
    <row r="1922" spans="1:7" ht="15" customHeight="1" x14ac:dyDescent="0.3">
      <c r="A1922">
        <v>1273807</v>
      </c>
      <c r="B1922" t="s">
        <v>70</v>
      </c>
      <c r="C1922" t="s">
        <v>1496</v>
      </c>
      <c r="D1922" t="s">
        <v>4131</v>
      </c>
      <c r="E1922" s="1" t="s">
        <v>4132</v>
      </c>
      <c r="F1922" t="s">
        <v>11</v>
      </c>
      <c r="G1922" s="2">
        <v>44085.521469907406</v>
      </c>
    </row>
    <row r="1923" spans="1:7" ht="15" customHeight="1" x14ac:dyDescent="0.3">
      <c r="A1923">
        <v>1273790</v>
      </c>
      <c r="B1923" t="s">
        <v>32</v>
      </c>
      <c r="C1923" t="s">
        <v>463</v>
      </c>
      <c r="D1923" t="s">
        <v>4133</v>
      </c>
      <c r="E1923" s="1" t="s">
        <v>4134</v>
      </c>
      <c r="F1923" t="s">
        <v>11</v>
      </c>
      <c r="G1923" s="2">
        <v>44085.494803240741</v>
      </c>
    </row>
    <row r="1924" spans="1:7" ht="15" customHeight="1" x14ac:dyDescent="0.3">
      <c r="A1924">
        <v>1273684</v>
      </c>
      <c r="B1924" t="s">
        <v>70</v>
      </c>
      <c r="C1924" t="s">
        <v>4135</v>
      </c>
      <c r="D1924" t="s">
        <v>4136</v>
      </c>
      <c r="E1924" s="1" t="s">
        <v>4137</v>
      </c>
      <c r="F1924" t="s">
        <v>11</v>
      </c>
      <c r="G1924" s="2">
        <v>44085.370312500003</v>
      </c>
    </row>
    <row r="1925" spans="1:7" ht="15" customHeight="1" x14ac:dyDescent="0.3">
      <c r="A1925">
        <v>1273269</v>
      </c>
      <c r="B1925" t="s">
        <v>606</v>
      </c>
      <c r="C1925" t="s">
        <v>158</v>
      </c>
      <c r="D1925" t="s">
        <v>4138</v>
      </c>
      <c r="E1925" s="1" t="s">
        <v>4139</v>
      </c>
      <c r="F1925" t="s">
        <v>11</v>
      </c>
      <c r="G1925" s="2">
        <v>44084.712962962964</v>
      </c>
    </row>
    <row r="1926" spans="1:7" ht="15" customHeight="1" x14ac:dyDescent="0.3">
      <c r="A1926">
        <v>1273118</v>
      </c>
      <c r="B1926" t="s">
        <v>226</v>
      </c>
      <c r="C1926" t="s">
        <v>1008</v>
      </c>
      <c r="D1926" t="s">
        <v>4140</v>
      </c>
      <c r="E1926" s="1" t="s">
        <v>4141</v>
      </c>
      <c r="F1926" t="s">
        <v>11</v>
      </c>
      <c r="G1926" s="2">
        <v>44084.432986111111</v>
      </c>
    </row>
    <row r="1927" spans="1:7" ht="15" customHeight="1" x14ac:dyDescent="0.3">
      <c r="A1927">
        <v>1273023</v>
      </c>
      <c r="B1927" t="s">
        <v>301</v>
      </c>
      <c r="C1927" t="s">
        <v>2127</v>
      </c>
      <c r="D1927" t="s">
        <v>4142</v>
      </c>
      <c r="E1927" s="1" t="s">
        <v>4143</v>
      </c>
      <c r="F1927" t="s">
        <v>11</v>
      </c>
      <c r="G1927" s="2">
        <v>44084.36178240741</v>
      </c>
    </row>
    <row r="1928" spans="1:7" ht="15" customHeight="1" x14ac:dyDescent="0.3">
      <c r="A1928">
        <v>1272618</v>
      </c>
      <c r="B1928" t="s">
        <v>545</v>
      </c>
      <c r="C1928" t="s">
        <v>4144</v>
      </c>
      <c r="D1928" t="s">
        <v>4145</v>
      </c>
      <c r="E1928" s="1" t="s">
        <v>4146</v>
      </c>
      <c r="F1928" t="s">
        <v>24</v>
      </c>
      <c r="G1928" s="2">
        <v>44083.620474537034</v>
      </c>
    </row>
    <row r="1929" spans="1:7" ht="15" customHeight="1" x14ac:dyDescent="0.3">
      <c r="A1929">
        <v>1272391</v>
      </c>
      <c r="B1929" t="s">
        <v>813</v>
      </c>
      <c r="C1929" t="s">
        <v>814</v>
      </c>
      <c r="D1929" t="s">
        <v>4147</v>
      </c>
      <c r="E1929" s="1" t="s">
        <v>4148</v>
      </c>
      <c r="F1929" t="s">
        <v>24</v>
      </c>
      <c r="G1929" s="2">
        <v>44083.366435185184</v>
      </c>
    </row>
    <row r="1930" spans="1:7" ht="15" customHeight="1" x14ac:dyDescent="0.3">
      <c r="A1930">
        <v>1272347</v>
      </c>
      <c r="B1930" t="s">
        <v>25</v>
      </c>
      <c r="C1930" t="s">
        <v>26</v>
      </c>
      <c r="D1930" t="s">
        <v>4149</v>
      </c>
      <c r="E1930" s="1" t="s">
        <v>4150</v>
      </c>
      <c r="F1930" t="s">
        <v>11</v>
      </c>
      <c r="G1930" s="2">
        <v>44083.310682870368</v>
      </c>
    </row>
    <row r="1931" spans="1:7" ht="15" customHeight="1" x14ac:dyDescent="0.3">
      <c r="A1931">
        <v>1271930</v>
      </c>
      <c r="B1931" t="s">
        <v>4151</v>
      </c>
      <c r="C1931" t="s">
        <v>4152</v>
      </c>
      <c r="D1931" t="s">
        <v>4153</v>
      </c>
      <c r="E1931" s="1" t="s">
        <v>4154</v>
      </c>
      <c r="F1931" t="s">
        <v>11</v>
      </c>
      <c r="G1931" s="2">
        <v>44082.562314814815</v>
      </c>
    </row>
    <row r="1932" spans="1:7" ht="15" customHeight="1" x14ac:dyDescent="0.3">
      <c r="A1932">
        <v>1271904</v>
      </c>
      <c r="B1932" t="s">
        <v>774</v>
      </c>
      <c r="C1932" t="s">
        <v>4155</v>
      </c>
      <c r="D1932" t="s">
        <v>4156</v>
      </c>
      <c r="E1932" s="1" t="s">
        <v>4157</v>
      </c>
      <c r="F1932" t="s">
        <v>11</v>
      </c>
      <c r="G1932" s="2">
        <v>44082.504293981481</v>
      </c>
    </row>
    <row r="1933" spans="1:7" ht="15" customHeight="1" x14ac:dyDescent="0.3">
      <c r="A1933">
        <v>1270170</v>
      </c>
      <c r="B1933" t="s">
        <v>157</v>
      </c>
      <c r="C1933" t="s">
        <v>414</v>
      </c>
      <c r="D1933" t="s">
        <v>4158</v>
      </c>
      <c r="E1933" s="1" t="s">
        <v>4159</v>
      </c>
      <c r="F1933" t="s">
        <v>11</v>
      </c>
      <c r="G1933" s="2">
        <v>44078.651990740742</v>
      </c>
    </row>
    <row r="1934" spans="1:7" ht="15" customHeight="1" x14ac:dyDescent="0.3">
      <c r="A1934">
        <v>1268781</v>
      </c>
      <c r="B1934" t="s">
        <v>70</v>
      </c>
      <c r="C1934" t="s">
        <v>3815</v>
      </c>
      <c r="D1934" t="s">
        <v>4160</v>
      </c>
      <c r="E1934" s="1" t="s">
        <v>4161</v>
      </c>
      <c r="F1934" t="s">
        <v>11</v>
      </c>
      <c r="G1934" s="2">
        <v>44076.447708333333</v>
      </c>
    </row>
    <row r="1935" spans="1:7" ht="15" customHeight="1" x14ac:dyDescent="0.3">
      <c r="A1935">
        <v>1268246</v>
      </c>
      <c r="B1935" t="s">
        <v>2442</v>
      </c>
      <c r="C1935" t="s">
        <v>2443</v>
      </c>
      <c r="D1935" t="s">
        <v>4162</v>
      </c>
      <c r="E1935" s="1" t="s">
        <v>4163</v>
      </c>
      <c r="F1935" t="s">
        <v>11</v>
      </c>
      <c r="G1935" s="2">
        <v>44075.598738425928</v>
      </c>
    </row>
    <row r="1936" spans="1:7" ht="15" customHeight="1" x14ac:dyDescent="0.3">
      <c r="A1936">
        <v>1268012</v>
      </c>
      <c r="B1936" t="s">
        <v>222</v>
      </c>
      <c r="C1936" t="s">
        <v>4164</v>
      </c>
      <c r="D1936" t="s">
        <v>4165</v>
      </c>
      <c r="E1936" s="1" t="s">
        <v>4166</v>
      </c>
      <c r="F1936" t="s">
        <v>11</v>
      </c>
      <c r="G1936" s="2">
        <v>44075.329039351855</v>
      </c>
    </row>
    <row r="1937" spans="1:7" ht="15" customHeight="1" x14ac:dyDescent="0.3">
      <c r="A1937">
        <v>1265432</v>
      </c>
      <c r="B1937" t="s">
        <v>157</v>
      </c>
      <c r="C1937" t="s">
        <v>4167</v>
      </c>
      <c r="D1937" t="s">
        <v>4168</v>
      </c>
      <c r="E1937" s="1" t="s">
        <v>4169</v>
      </c>
      <c r="F1937" t="s">
        <v>11</v>
      </c>
      <c r="G1937" s="2">
        <v>44070.379756944443</v>
      </c>
    </row>
    <row r="1938" spans="1:7" ht="15" customHeight="1" x14ac:dyDescent="0.3">
      <c r="A1938">
        <v>1264396</v>
      </c>
      <c r="B1938" t="s">
        <v>214</v>
      </c>
      <c r="C1938" t="s">
        <v>215</v>
      </c>
      <c r="D1938" t="s">
        <v>4170</v>
      </c>
      <c r="E1938" s="1" t="s">
        <v>4171</v>
      </c>
      <c r="F1938" t="s">
        <v>11</v>
      </c>
      <c r="G1938" s="2">
        <v>44069.629965277774</v>
      </c>
    </row>
    <row r="1939" spans="1:7" ht="15" customHeight="1" x14ac:dyDescent="0.3">
      <c r="A1939">
        <v>1263580</v>
      </c>
      <c r="B1939" t="s">
        <v>12</v>
      </c>
      <c r="C1939" t="s">
        <v>338</v>
      </c>
      <c r="D1939" t="s">
        <v>4172</v>
      </c>
      <c r="E1939" s="1" t="s">
        <v>4173</v>
      </c>
      <c r="F1939" t="s">
        <v>11</v>
      </c>
      <c r="G1939" s="2">
        <v>44068.469849537039</v>
      </c>
    </row>
    <row r="1940" spans="1:7" ht="15" customHeight="1" x14ac:dyDescent="0.3">
      <c r="A1940">
        <v>1262921</v>
      </c>
      <c r="B1940" t="s">
        <v>4174</v>
      </c>
      <c r="C1940" t="s">
        <v>4175</v>
      </c>
      <c r="D1940" t="s">
        <v>4176</v>
      </c>
      <c r="E1940" s="1" t="s">
        <v>4177</v>
      </c>
      <c r="F1940" t="s">
        <v>11</v>
      </c>
      <c r="G1940" s="2">
        <v>44067.582106481481</v>
      </c>
    </row>
    <row r="1941" spans="1:7" ht="15" customHeight="1" x14ac:dyDescent="0.3">
      <c r="A1941">
        <v>1262880</v>
      </c>
      <c r="B1941" t="s">
        <v>74</v>
      </c>
      <c r="C1941" t="s">
        <v>1656</v>
      </c>
      <c r="D1941" t="s">
        <v>4178</v>
      </c>
      <c r="E1941" s="1" t="s">
        <v>4179</v>
      </c>
      <c r="F1941" t="s">
        <v>11</v>
      </c>
      <c r="G1941" s="2">
        <v>44067.525682870371</v>
      </c>
    </row>
    <row r="1942" spans="1:7" ht="15" customHeight="1" x14ac:dyDescent="0.3">
      <c r="A1942">
        <v>1260599</v>
      </c>
      <c r="B1942" t="s">
        <v>53</v>
      </c>
      <c r="C1942" t="s">
        <v>54</v>
      </c>
      <c r="D1942" t="s">
        <v>4180</v>
      </c>
      <c r="E1942" s="1" t="s">
        <v>4181</v>
      </c>
      <c r="F1942" t="s">
        <v>11</v>
      </c>
      <c r="G1942" s="2">
        <v>44063.385648148149</v>
      </c>
    </row>
    <row r="1943" spans="1:7" ht="15" customHeight="1" x14ac:dyDescent="0.3">
      <c r="A1943">
        <v>1260210</v>
      </c>
      <c r="B1943" t="s">
        <v>32</v>
      </c>
      <c r="C1943" t="s">
        <v>115</v>
      </c>
      <c r="D1943" t="s">
        <v>4182</v>
      </c>
      <c r="E1943" s="1" t="s">
        <v>4183</v>
      </c>
      <c r="F1943" t="s">
        <v>11</v>
      </c>
      <c r="G1943" s="2">
        <v>44062.68136574074</v>
      </c>
    </row>
    <row r="1944" spans="1:7" ht="15" customHeight="1" x14ac:dyDescent="0.3">
      <c r="A1944">
        <v>1260204</v>
      </c>
      <c r="B1944" t="s">
        <v>545</v>
      </c>
      <c r="C1944" t="s">
        <v>4144</v>
      </c>
      <c r="D1944" t="s">
        <v>4184</v>
      </c>
      <c r="E1944" s="1" t="s">
        <v>4185</v>
      </c>
      <c r="F1944" t="s">
        <v>24</v>
      </c>
      <c r="G1944" s="2">
        <v>44062.670937499999</v>
      </c>
    </row>
    <row r="1945" spans="1:7" ht="15" customHeight="1" x14ac:dyDescent="0.3">
      <c r="A1945">
        <v>1260158</v>
      </c>
      <c r="B1945" t="s">
        <v>4186</v>
      </c>
      <c r="C1945" t="s">
        <v>4187</v>
      </c>
      <c r="D1945" t="s">
        <v>4188</v>
      </c>
      <c r="E1945" s="1" t="s">
        <v>4189</v>
      </c>
      <c r="F1945" t="s">
        <v>11</v>
      </c>
      <c r="G1945" s="2">
        <v>44062.590497685182</v>
      </c>
    </row>
    <row r="1946" spans="1:7" ht="15" customHeight="1" x14ac:dyDescent="0.3">
      <c r="A1946">
        <v>1260157</v>
      </c>
      <c r="B1946" t="s">
        <v>70</v>
      </c>
      <c r="C1946" t="s">
        <v>3815</v>
      </c>
      <c r="D1946" t="s">
        <v>4190</v>
      </c>
      <c r="E1946" s="1" t="s">
        <v>4191</v>
      </c>
      <c r="F1946" t="s">
        <v>11</v>
      </c>
      <c r="G1946" s="2">
        <v>44062.590127314812</v>
      </c>
    </row>
    <row r="1947" spans="1:7" ht="15" customHeight="1" x14ac:dyDescent="0.3">
      <c r="A1947">
        <v>1259432</v>
      </c>
      <c r="B1947" t="s">
        <v>87</v>
      </c>
      <c r="C1947" t="s">
        <v>88</v>
      </c>
      <c r="D1947" t="s">
        <v>4192</v>
      </c>
      <c r="E1947" s="1" t="s">
        <v>4193</v>
      </c>
      <c r="F1947" t="s">
        <v>11</v>
      </c>
      <c r="G1947" s="2">
        <v>44061.576469907406</v>
      </c>
    </row>
    <row r="1948" spans="1:7" ht="15" customHeight="1" x14ac:dyDescent="0.3">
      <c r="A1948">
        <v>1258886</v>
      </c>
      <c r="B1948" t="s">
        <v>36</v>
      </c>
      <c r="C1948" t="s">
        <v>2387</v>
      </c>
      <c r="D1948" t="s">
        <v>4194</v>
      </c>
      <c r="E1948" s="1" t="s">
        <v>4195</v>
      </c>
      <c r="F1948" t="s">
        <v>24</v>
      </c>
      <c r="G1948" s="2">
        <v>44060.616759259261</v>
      </c>
    </row>
    <row r="1949" spans="1:7" ht="15" customHeight="1" x14ac:dyDescent="0.3">
      <c r="A1949">
        <v>1258877</v>
      </c>
      <c r="B1949" t="s">
        <v>515</v>
      </c>
      <c r="D1949" t="s">
        <v>4196</v>
      </c>
      <c r="E1949" s="1" t="s">
        <v>4197</v>
      </c>
      <c r="F1949" t="s">
        <v>24</v>
      </c>
      <c r="G1949" s="2">
        <v>44060.607847222222</v>
      </c>
    </row>
    <row r="1950" spans="1:7" ht="15" customHeight="1" x14ac:dyDescent="0.3">
      <c r="A1950">
        <v>1258715</v>
      </c>
      <c r="B1950" t="s">
        <v>446</v>
      </c>
      <c r="C1950" t="s">
        <v>4198</v>
      </c>
      <c r="D1950" t="s">
        <v>4199</v>
      </c>
      <c r="E1950" s="1" t="s">
        <v>4200</v>
      </c>
      <c r="F1950" t="s">
        <v>11</v>
      </c>
      <c r="G1950" s="2">
        <v>44060.414675925924</v>
      </c>
    </row>
    <row r="1951" spans="1:7" ht="15" customHeight="1" x14ac:dyDescent="0.3">
      <c r="A1951">
        <v>1257306</v>
      </c>
      <c r="B1951" t="s">
        <v>16</v>
      </c>
      <c r="C1951" t="s">
        <v>4201</v>
      </c>
      <c r="D1951" t="s">
        <v>4202</v>
      </c>
      <c r="E1951" s="1" t="s">
        <v>4203</v>
      </c>
      <c r="F1951" t="s">
        <v>11</v>
      </c>
      <c r="G1951" s="2">
        <v>44057.423182870371</v>
      </c>
    </row>
    <row r="1952" spans="1:7" ht="15" customHeight="1" x14ac:dyDescent="0.3">
      <c r="A1952">
        <v>1256781</v>
      </c>
      <c r="B1952" t="s">
        <v>139</v>
      </c>
      <c r="C1952" t="s">
        <v>2846</v>
      </c>
      <c r="D1952" t="s">
        <v>4204</v>
      </c>
      <c r="E1952" s="1" t="s">
        <v>4205</v>
      </c>
      <c r="F1952" t="s">
        <v>11</v>
      </c>
      <c r="G1952" s="2">
        <v>44056.565208333333</v>
      </c>
    </row>
    <row r="1953" spans="1:7" ht="15" customHeight="1" x14ac:dyDescent="0.3">
      <c r="A1953">
        <v>1256114</v>
      </c>
      <c r="B1953" t="s">
        <v>4206</v>
      </c>
      <c r="C1953" t="s">
        <v>4207</v>
      </c>
      <c r="D1953" t="s">
        <v>4208</v>
      </c>
      <c r="E1953" s="1" t="s">
        <v>4209</v>
      </c>
      <c r="F1953" t="s">
        <v>24</v>
      </c>
      <c r="G1953" s="2">
        <v>44055.396168981482</v>
      </c>
    </row>
    <row r="1954" spans="1:7" ht="15" customHeight="1" x14ac:dyDescent="0.3">
      <c r="A1954">
        <v>1256068</v>
      </c>
      <c r="B1954" t="s">
        <v>70</v>
      </c>
      <c r="C1954" t="s">
        <v>3815</v>
      </c>
      <c r="D1954" t="s">
        <v>4210</v>
      </c>
      <c r="E1954" s="1" t="s">
        <v>4211</v>
      </c>
      <c r="F1954" t="s">
        <v>11</v>
      </c>
      <c r="G1954" s="2">
        <v>44055.369930555556</v>
      </c>
    </row>
    <row r="1955" spans="1:7" ht="15" customHeight="1" x14ac:dyDescent="0.3">
      <c r="A1955">
        <v>1255275</v>
      </c>
      <c r="B1955" t="s">
        <v>4082</v>
      </c>
      <c r="C1955" t="s">
        <v>4212</v>
      </c>
      <c r="D1955" t="s">
        <v>4213</v>
      </c>
      <c r="E1955" s="1" t="s">
        <v>4214</v>
      </c>
      <c r="F1955" t="s">
        <v>11</v>
      </c>
      <c r="G1955" s="2">
        <v>44054.663773148146</v>
      </c>
    </row>
    <row r="1956" spans="1:7" ht="15" customHeight="1" x14ac:dyDescent="0.3">
      <c r="A1956">
        <v>1255143</v>
      </c>
      <c r="B1956" t="s">
        <v>36</v>
      </c>
      <c r="C1956" t="s">
        <v>1461</v>
      </c>
      <c r="D1956" t="s">
        <v>4215</v>
      </c>
      <c r="E1956" s="1" t="s">
        <v>4216</v>
      </c>
      <c r="F1956" t="s">
        <v>24</v>
      </c>
      <c r="G1956" s="2">
        <v>44054.42046296296</v>
      </c>
    </row>
    <row r="1957" spans="1:7" ht="15" customHeight="1" x14ac:dyDescent="0.3">
      <c r="A1957">
        <v>1254554</v>
      </c>
      <c r="B1957" t="s">
        <v>25</v>
      </c>
      <c r="C1957" t="s">
        <v>26</v>
      </c>
      <c r="D1957" t="s">
        <v>4217</v>
      </c>
      <c r="E1957" s="1" t="s">
        <v>4218</v>
      </c>
      <c r="F1957" t="s">
        <v>11</v>
      </c>
      <c r="G1957" s="2">
        <v>44053.487326388888</v>
      </c>
    </row>
    <row r="1958" spans="1:7" ht="15" customHeight="1" x14ac:dyDescent="0.3">
      <c r="A1958">
        <v>1254400</v>
      </c>
      <c r="B1958" t="s">
        <v>446</v>
      </c>
      <c r="C1958" t="s">
        <v>4219</v>
      </c>
      <c r="D1958" t="s">
        <v>4220</v>
      </c>
      <c r="E1958" s="1" t="s">
        <v>4221</v>
      </c>
      <c r="F1958" t="s">
        <v>11</v>
      </c>
      <c r="G1958" s="2">
        <v>44053.276053240741</v>
      </c>
    </row>
    <row r="1959" spans="1:7" ht="15" customHeight="1" x14ac:dyDescent="0.3">
      <c r="A1959">
        <v>1252620</v>
      </c>
      <c r="B1959" t="s">
        <v>36</v>
      </c>
      <c r="C1959" t="s">
        <v>2562</v>
      </c>
      <c r="D1959" t="s">
        <v>4222</v>
      </c>
      <c r="E1959" s="1" t="s">
        <v>4223</v>
      </c>
      <c r="F1959" t="s">
        <v>24</v>
      </c>
      <c r="G1959" s="2">
        <v>44049.461145833331</v>
      </c>
    </row>
    <row r="1960" spans="1:7" ht="15" customHeight="1" x14ac:dyDescent="0.3">
      <c r="A1960">
        <v>1252608</v>
      </c>
      <c r="B1960" t="s">
        <v>277</v>
      </c>
      <c r="D1960" t="s">
        <v>4224</v>
      </c>
      <c r="E1960" s="1" t="s">
        <v>4225</v>
      </c>
      <c r="F1960" t="s">
        <v>11</v>
      </c>
      <c r="G1960" s="2">
        <v>44049.443749999999</v>
      </c>
    </row>
    <row r="1961" spans="1:7" ht="15" customHeight="1" x14ac:dyDescent="0.3">
      <c r="A1961">
        <v>1251884</v>
      </c>
      <c r="B1961" t="s">
        <v>1413</v>
      </c>
      <c r="C1961" t="s">
        <v>4226</v>
      </c>
      <c r="D1961" t="s">
        <v>4227</v>
      </c>
      <c r="E1961" s="1" t="s">
        <v>4228</v>
      </c>
      <c r="F1961" t="s">
        <v>11</v>
      </c>
      <c r="G1961" s="2">
        <v>44048.30541666667</v>
      </c>
    </row>
    <row r="1962" spans="1:7" ht="15" customHeight="1" x14ac:dyDescent="0.3">
      <c r="A1962">
        <v>1251382</v>
      </c>
      <c r="B1962" t="s">
        <v>12</v>
      </c>
      <c r="C1962" t="s">
        <v>338</v>
      </c>
      <c r="D1962" t="s">
        <v>4229</v>
      </c>
      <c r="E1962" s="1" t="s">
        <v>4230</v>
      </c>
      <c r="F1962" t="s">
        <v>11</v>
      </c>
      <c r="G1962" s="2">
        <v>44047.451493055552</v>
      </c>
    </row>
    <row r="1963" spans="1:7" ht="15" customHeight="1" x14ac:dyDescent="0.3">
      <c r="A1963">
        <v>1251311</v>
      </c>
      <c r="B1963" t="s">
        <v>746</v>
      </c>
      <c r="C1963" t="s">
        <v>1203</v>
      </c>
      <c r="D1963" t="s">
        <v>4231</v>
      </c>
      <c r="E1963" s="1" t="s">
        <v>4232</v>
      </c>
      <c r="F1963" t="s">
        <v>11</v>
      </c>
      <c r="G1963" s="2">
        <v>44047.39025462963</v>
      </c>
    </row>
    <row r="1964" spans="1:7" ht="15" customHeight="1" x14ac:dyDescent="0.3">
      <c r="A1964">
        <v>1250787</v>
      </c>
      <c r="B1964" t="s">
        <v>25</v>
      </c>
      <c r="C1964" t="s">
        <v>1995</v>
      </c>
      <c r="D1964" t="s">
        <v>4233</v>
      </c>
      <c r="E1964" s="1" t="s">
        <v>4234</v>
      </c>
      <c r="F1964" t="s">
        <v>11</v>
      </c>
      <c r="G1964" s="2">
        <v>44046.367372685185</v>
      </c>
    </row>
    <row r="1965" spans="1:7" ht="15" customHeight="1" x14ac:dyDescent="0.3">
      <c r="A1965">
        <v>1249439</v>
      </c>
      <c r="B1965" t="s">
        <v>36</v>
      </c>
      <c r="C1965" t="s">
        <v>3163</v>
      </c>
      <c r="D1965" t="s">
        <v>4235</v>
      </c>
      <c r="E1965" s="1" t="s">
        <v>4236</v>
      </c>
      <c r="F1965" t="s">
        <v>11</v>
      </c>
      <c r="G1965" s="2">
        <v>44043.654247685183</v>
      </c>
    </row>
    <row r="1966" spans="1:7" ht="15" customHeight="1" x14ac:dyDescent="0.3">
      <c r="A1966">
        <v>1249436</v>
      </c>
      <c r="B1966" t="s">
        <v>281</v>
      </c>
      <c r="C1966" t="s">
        <v>1222</v>
      </c>
      <c r="D1966" t="s">
        <v>4237</v>
      </c>
      <c r="E1966" s="1" t="s">
        <v>4238</v>
      </c>
      <c r="F1966" t="s">
        <v>11</v>
      </c>
      <c r="G1966" s="2">
        <v>44043.648287037038</v>
      </c>
    </row>
    <row r="1967" spans="1:7" ht="15" customHeight="1" x14ac:dyDescent="0.3">
      <c r="A1967">
        <v>1249394</v>
      </c>
      <c r="B1967" t="s">
        <v>32</v>
      </c>
      <c r="C1967" t="s">
        <v>4239</v>
      </c>
      <c r="D1967" t="s">
        <v>4240</v>
      </c>
      <c r="E1967" s="1" t="s">
        <v>4241</v>
      </c>
      <c r="F1967" t="s">
        <v>11</v>
      </c>
      <c r="G1967" s="2">
        <v>44043.568067129629</v>
      </c>
    </row>
    <row r="1968" spans="1:7" ht="15" customHeight="1" x14ac:dyDescent="0.3">
      <c r="A1968">
        <v>1248877</v>
      </c>
      <c r="B1968" t="s">
        <v>36</v>
      </c>
      <c r="C1968" t="s">
        <v>589</v>
      </c>
      <c r="D1968" t="s">
        <v>4242</v>
      </c>
      <c r="E1968" s="1" t="s">
        <v>4243</v>
      </c>
      <c r="F1968" t="s">
        <v>24</v>
      </c>
      <c r="G1968" s="2">
        <v>44042.501979166664</v>
      </c>
    </row>
    <row r="1969" spans="1:7" ht="15" customHeight="1" x14ac:dyDescent="0.3">
      <c r="A1969">
        <v>1248781</v>
      </c>
      <c r="B1969" t="s">
        <v>2221</v>
      </c>
      <c r="C1969" t="s">
        <v>2222</v>
      </c>
      <c r="D1969" t="s">
        <v>4244</v>
      </c>
      <c r="E1969" s="1" t="s">
        <v>4245</v>
      </c>
      <c r="F1969" t="s">
        <v>11</v>
      </c>
      <c r="G1969" s="2">
        <v>44042.384340277778</v>
      </c>
    </row>
    <row r="1970" spans="1:7" ht="15" customHeight="1" x14ac:dyDescent="0.3">
      <c r="A1970">
        <v>1248390</v>
      </c>
      <c r="B1970" t="s">
        <v>36</v>
      </c>
      <c r="C1970" t="s">
        <v>1175</v>
      </c>
      <c r="D1970" t="s">
        <v>4246</v>
      </c>
      <c r="E1970" s="1" t="s">
        <v>4247</v>
      </c>
      <c r="F1970" t="s">
        <v>24</v>
      </c>
      <c r="G1970" s="2">
        <v>44041.55541666667</v>
      </c>
    </row>
    <row r="1971" spans="1:7" ht="15" customHeight="1" x14ac:dyDescent="0.3">
      <c r="A1971">
        <v>1248363</v>
      </c>
      <c r="B1971" t="s">
        <v>16</v>
      </c>
      <c r="C1971" t="s">
        <v>4248</v>
      </c>
      <c r="D1971" t="s">
        <v>4249</v>
      </c>
      <c r="E1971" s="1" t="s">
        <v>4250</v>
      </c>
      <c r="F1971" t="s">
        <v>11</v>
      </c>
      <c r="G1971" s="2">
        <v>44041.49796296296</v>
      </c>
    </row>
    <row r="1972" spans="1:7" ht="15" customHeight="1" x14ac:dyDescent="0.3">
      <c r="A1972">
        <v>1248216</v>
      </c>
      <c r="B1972" t="s">
        <v>45</v>
      </c>
      <c r="C1972" t="s">
        <v>4251</v>
      </c>
      <c r="D1972" t="s">
        <v>4252</v>
      </c>
      <c r="E1972" s="1" t="s">
        <v>4253</v>
      </c>
      <c r="F1972" t="s">
        <v>11</v>
      </c>
      <c r="G1972" s="2">
        <v>44041.322916666664</v>
      </c>
    </row>
    <row r="1973" spans="1:7" ht="15" customHeight="1" x14ac:dyDescent="0.3">
      <c r="A1973">
        <v>1247420</v>
      </c>
      <c r="B1973" t="s">
        <v>446</v>
      </c>
      <c r="C1973" t="s">
        <v>4254</v>
      </c>
      <c r="D1973" t="s">
        <v>4255</v>
      </c>
      <c r="E1973" s="1" t="s">
        <v>4256</v>
      </c>
      <c r="F1973" t="s">
        <v>24</v>
      </c>
      <c r="G1973" s="2">
        <v>44039.65457175926</v>
      </c>
    </row>
    <row r="1974" spans="1:7" ht="15" customHeight="1" x14ac:dyDescent="0.3">
      <c r="A1974">
        <v>1246667</v>
      </c>
      <c r="B1974" t="s">
        <v>2442</v>
      </c>
      <c r="C1974" t="s">
        <v>3977</v>
      </c>
      <c r="D1974" t="s">
        <v>4257</v>
      </c>
      <c r="E1974" s="1" t="s">
        <v>4258</v>
      </c>
      <c r="F1974" t="s">
        <v>11</v>
      </c>
      <c r="G1974" s="2">
        <v>44039.372465277775</v>
      </c>
    </row>
    <row r="1975" spans="1:7" ht="15" customHeight="1" x14ac:dyDescent="0.3">
      <c r="A1975">
        <v>1244696</v>
      </c>
      <c r="B1975" t="s">
        <v>20</v>
      </c>
      <c r="C1975" t="s">
        <v>136</v>
      </c>
      <c r="D1975" t="s">
        <v>4259</v>
      </c>
      <c r="E1975" s="1" t="s">
        <v>4260</v>
      </c>
      <c r="F1975" t="s">
        <v>11</v>
      </c>
      <c r="G1975" s="2">
        <v>44034.715694444443</v>
      </c>
    </row>
    <row r="1976" spans="1:7" ht="15" customHeight="1" x14ac:dyDescent="0.3">
      <c r="A1976">
        <v>1244455</v>
      </c>
      <c r="B1976" t="s">
        <v>311</v>
      </c>
      <c r="C1976" t="s">
        <v>312</v>
      </c>
      <c r="D1976" t="s">
        <v>4261</v>
      </c>
      <c r="E1976" s="1" t="s">
        <v>4262</v>
      </c>
      <c r="F1976" t="s">
        <v>11</v>
      </c>
      <c r="G1976" s="2">
        <v>44034.298668981479</v>
      </c>
    </row>
    <row r="1977" spans="1:7" ht="15" customHeight="1" x14ac:dyDescent="0.3">
      <c r="A1977">
        <v>1244113</v>
      </c>
      <c r="B1977" t="s">
        <v>74</v>
      </c>
      <c r="C1977" t="s">
        <v>450</v>
      </c>
      <c r="D1977" t="s">
        <v>4263</v>
      </c>
      <c r="E1977" s="1" t="s">
        <v>4264</v>
      </c>
      <c r="F1977" t="s">
        <v>11</v>
      </c>
      <c r="G1977" s="2">
        <v>44033.701828703706</v>
      </c>
    </row>
    <row r="1978" spans="1:7" ht="15" customHeight="1" x14ac:dyDescent="0.3">
      <c r="A1978">
        <v>1244061</v>
      </c>
      <c r="B1978" t="s">
        <v>401</v>
      </c>
      <c r="C1978" t="s">
        <v>836</v>
      </c>
      <c r="D1978" t="s">
        <v>4265</v>
      </c>
      <c r="E1978" s="1" t="s">
        <v>4266</v>
      </c>
      <c r="F1978" t="s">
        <v>11</v>
      </c>
      <c r="G1978" s="2">
        <v>44033.586157407408</v>
      </c>
    </row>
    <row r="1979" spans="1:7" ht="15" customHeight="1" x14ac:dyDescent="0.3">
      <c r="A1979">
        <v>1243531</v>
      </c>
      <c r="B1979" t="s">
        <v>431</v>
      </c>
      <c r="C1979" t="s">
        <v>4267</v>
      </c>
      <c r="D1979" t="s">
        <v>4268</v>
      </c>
      <c r="E1979" s="1" t="s">
        <v>4269</v>
      </c>
      <c r="F1979" t="s">
        <v>11</v>
      </c>
      <c r="G1979" s="2">
        <v>44032.624907407408</v>
      </c>
    </row>
    <row r="1980" spans="1:7" ht="15" customHeight="1" x14ac:dyDescent="0.3">
      <c r="A1980">
        <v>1243400</v>
      </c>
      <c r="B1980" t="s">
        <v>277</v>
      </c>
      <c r="C1980" t="s">
        <v>3746</v>
      </c>
      <c r="D1980" t="s">
        <v>4270</v>
      </c>
      <c r="E1980" s="1" t="s">
        <v>4271</v>
      </c>
      <c r="F1980" t="s">
        <v>11</v>
      </c>
      <c r="G1980" s="2">
        <v>44032.422881944447</v>
      </c>
    </row>
    <row r="1981" spans="1:7" ht="15" customHeight="1" x14ac:dyDescent="0.3">
      <c r="A1981">
        <v>1242283</v>
      </c>
      <c r="B1981" t="s">
        <v>45</v>
      </c>
      <c r="C1981" t="s">
        <v>1472</v>
      </c>
      <c r="D1981" t="s">
        <v>4272</v>
      </c>
      <c r="E1981" s="1" t="s">
        <v>4273</v>
      </c>
      <c r="F1981" t="s">
        <v>11</v>
      </c>
      <c r="G1981" s="2">
        <v>44029.540231481478</v>
      </c>
    </row>
    <row r="1982" spans="1:7" ht="15" customHeight="1" x14ac:dyDescent="0.3">
      <c r="A1982">
        <v>1242176</v>
      </c>
      <c r="B1982" t="s">
        <v>1105</v>
      </c>
      <c r="C1982" t="s">
        <v>4090</v>
      </c>
      <c r="D1982" t="s">
        <v>4274</v>
      </c>
      <c r="E1982" s="1" t="s">
        <v>4275</v>
      </c>
      <c r="F1982" t="s">
        <v>11</v>
      </c>
      <c r="G1982" s="2">
        <v>44029.388252314813</v>
      </c>
    </row>
    <row r="1983" spans="1:7" ht="15" customHeight="1" x14ac:dyDescent="0.3">
      <c r="A1983">
        <v>1242149</v>
      </c>
      <c r="B1983" t="s">
        <v>32</v>
      </c>
      <c r="C1983" t="s">
        <v>463</v>
      </c>
      <c r="D1983" t="s">
        <v>4276</v>
      </c>
      <c r="E1983" s="1" t="s">
        <v>4277</v>
      </c>
      <c r="F1983" t="s">
        <v>11</v>
      </c>
      <c r="G1983" s="2">
        <v>44029.3358912037</v>
      </c>
    </row>
    <row r="1984" spans="1:7" ht="15" customHeight="1" x14ac:dyDescent="0.3">
      <c r="A1984">
        <v>1238829</v>
      </c>
      <c r="B1984" t="s">
        <v>53</v>
      </c>
      <c r="C1984" t="s">
        <v>54</v>
      </c>
      <c r="D1984" t="s">
        <v>4278</v>
      </c>
      <c r="E1984" s="1" t="s">
        <v>4279</v>
      </c>
      <c r="F1984" t="s">
        <v>11</v>
      </c>
      <c r="G1984" s="2">
        <v>44025.438611111109</v>
      </c>
    </row>
    <row r="1985" spans="1:7" ht="15" customHeight="1" x14ac:dyDescent="0.3">
      <c r="A1985">
        <v>1236795</v>
      </c>
      <c r="B1985" t="s">
        <v>222</v>
      </c>
      <c r="C1985" t="s">
        <v>4164</v>
      </c>
      <c r="D1985" t="s">
        <v>4280</v>
      </c>
      <c r="E1985" s="1" t="s">
        <v>4281</v>
      </c>
      <c r="F1985" t="s">
        <v>24</v>
      </c>
      <c r="G1985" s="2">
        <v>44020.569710648146</v>
      </c>
    </row>
    <row r="1986" spans="1:7" ht="15" customHeight="1" x14ac:dyDescent="0.3">
      <c r="A1986">
        <v>1236638</v>
      </c>
      <c r="B1986" t="s">
        <v>446</v>
      </c>
      <c r="C1986" t="s">
        <v>4282</v>
      </c>
      <c r="D1986" t="s">
        <v>4283</v>
      </c>
      <c r="E1986" s="1" t="s">
        <v>4284</v>
      </c>
      <c r="F1986" t="s">
        <v>11</v>
      </c>
      <c r="G1986" s="2">
        <v>44020.333333333336</v>
      </c>
    </row>
    <row r="1987" spans="1:7" ht="15" customHeight="1" x14ac:dyDescent="0.3">
      <c r="A1987">
        <v>1236347</v>
      </c>
      <c r="B1987" t="s">
        <v>20</v>
      </c>
      <c r="C1987" t="s">
        <v>136</v>
      </c>
      <c r="D1987" t="s">
        <v>4285</v>
      </c>
      <c r="E1987" s="1" t="s">
        <v>4286</v>
      </c>
      <c r="F1987" t="s">
        <v>11</v>
      </c>
      <c r="G1987" s="2">
        <v>44019.679386574076</v>
      </c>
    </row>
    <row r="1988" spans="1:7" ht="15" customHeight="1" x14ac:dyDescent="0.3">
      <c r="A1988">
        <v>1236183</v>
      </c>
      <c r="B1988" t="s">
        <v>70</v>
      </c>
      <c r="C1988" t="s">
        <v>4287</v>
      </c>
      <c r="D1988" t="s">
        <v>4288</v>
      </c>
      <c r="E1988" s="1" t="s">
        <v>4289</v>
      </c>
      <c r="F1988" t="s">
        <v>11</v>
      </c>
      <c r="G1988" s="2">
        <v>44019.35597222222</v>
      </c>
    </row>
    <row r="1989" spans="1:7" ht="15" customHeight="1" x14ac:dyDescent="0.3">
      <c r="A1989">
        <v>1234919</v>
      </c>
      <c r="B1989" t="s">
        <v>25</v>
      </c>
      <c r="C1989" t="s">
        <v>26</v>
      </c>
      <c r="D1989" t="s">
        <v>4290</v>
      </c>
      <c r="E1989" s="1" t="s">
        <v>4291</v>
      </c>
      <c r="F1989" t="s">
        <v>11</v>
      </c>
      <c r="G1989" s="2">
        <v>44016.39366898148</v>
      </c>
    </row>
    <row r="1990" spans="1:7" ht="15" customHeight="1" x14ac:dyDescent="0.3">
      <c r="A1990">
        <v>1234551</v>
      </c>
      <c r="B1990" t="s">
        <v>446</v>
      </c>
      <c r="C1990" t="s">
        <v>4105</v>
      </c>
      <c r="D1990" t="s">
        <v>4292</v>
      </c>
      <c r="E1990" s="1" t="s">
        <v>4293</v>
      </c>
      <c r="F1990" t="s">
        <v>11</v>
      </c>
      <c r="G1990" s="2">
        <v>44015.431909722225</v>
      </c>
    </row>
    <row r="1991" spans="1:7" ht="15" customHeight="1" x14ac:dyDescent="0.3">
      <c r="A1991">
        <v>1234535</v>
      </c>
      <c r="B1991" t="s">
        <v>91</v>
      </c>
      <c r="C1991" t="s">
        <v>305</v>
      </c>
      <c r="D1991" t="s">
        <v>4294</v>
      </c>
      <c r="E1991" s="1" t="s">
        <v>4295</v>
      </c>
      <c r="F1991" t="s">
        <v>11</v>
      </c>
      <c r="G1991" s="2">
        <v>44015.417453703703</v>
      </c>
    </row>
    <row r="1992" spans="1:7" ht="15" customHeight="1" x14ac:dyDescent="0.3">
      <c r="A1992">
        <v>1234138</v>
      </c>
      <c r="B1992" t="s">
        <v>91</v>
      </c>
      <c r="C1992" t="s">
        <v>305</v>
      </c>
      <c r="D1992" t="s">
        <v>4296</v>
      </c>
      <c r="E1992" s="1" t="s">
        <v>4297</v>
      </c>
      <c r="F1992" t="s">
        <v>11</v>
      </c>
      <c r="G1992" s="2">
        <v>44014.567800925928</v>
      </c>
    </row>
    <row r="1993" spans="1:7" ht="15" customHeight="1" x14ac:dyDescent="0.3">
      <c r="A1993">
        <v>1233036</v>
      </c>
      <c r="B1993" t="s">
        <v>277</v>
      </c>
      <c r="C1993" t="s">
        <v>816</v>
      </c>
      <c r="D1993" t="s">
        <v>4298</v>
      </c>
      <c r="E1993" s="1" t="s">
        <v>4299</v>
      </c>
      <c r="F1993" t="s">
        <v>11</v>
      </c>
      <c r="G1993" s="2">
        <v>44012.393900462965</v>
      </c>
    </row>
    <row r="1994" spans="1:7" ht="15" customHeight="1" x14ac:dyDescent="0.3">
      <c r="A1994">
        <v>1232597</v>
      </c>
      <c r="B1994" t="s">
        <v>12</v>
      </c>
      <c r="C1994" t="s">
        <v>338</v>
      </c>
      <c r="D1994" t="s">
        <v>4300</v>
      </c>
      <c r="E1994" s="1" t="s">
        <v>4301</v>
      </c>
      <c r="F1994" t="s">
        <v>11</v>
      </c>
      <c r="G1994" s="2">
        <v>44011.468854166669</v>
      </c>
    </row>
    <row r="1995" spans="1:7" ht="15" customHeight="1" x14ac:dyDescent="0.3">
      <c r="A1995">
        <v>1232503</v>
      </c>
      <c r="B1995" t="s">
        <v>1013</v>
      </c>
      <c r="C1995" t="s">
        <v>1014</v>
      </c>
      <c r="D1995" t="s">
        <v>4302</v>
      </c>
      <c r="E1995" s="1" t="s">
        <v>4303</v>
      </c>
      <c r="F1995" t="s">
        <v>11</v>
      </c>
      <c r="G1995" s="2">
        <v>44011.384293981479</v>
      </c>
    </row>
    <row r="1996" spans="1:7" ht="15" customHeight="1" x14ac:dyDescent="0.3">
      <c r="A1996">
        <v>1226843</v>
      </c>
      <c r="B1996" t="s">
        <v>4304</v>
      </c>
      <c r="C1996" t="s">
        <v>4305</v>
      </c>
      <c r="D1996" t="s">
        <v>4306</v>
      </c>
      <c r="E1996" s="1" t="s">
        <v>4307</v>
      </c>
      <c r="F1996" t="s">
        <v>24</v>
      </c>
      <c r="G1996" s="2">
        <v>43998.480775462966</v>
      </c>
    </row>
    <row r="1997" spans="1:7" ht="15" customHeight="1" x14ac:dyDescent="0.3">
      <c r="A1997">
        <v>1225170</v>
      </c>
      <c r="B1997" t="s">
        <v>53</v>
      </c>
      <c r="C1997" t="s">
        <v>54</v>
      </c>
      <c r="D1997" t="s">
        <v>4308</v>
      </c>
      <c r="E1997" s="1" t="s">
        <v>4309</v>
      </c>
      <c r="F1997" t="s">
        <v>11</v>
      </c>
      <c r="G1997" s="2">
        <v>43994.466608796298</v>
      </c>
    </row>
    <row r="1998" spans="1:7" ht="15" customHeight="1" x14ac:dyDescent="0.3">
      <c r="A1998">
        <v>1209148</v>
      </c>
      <c r="B1998" t="s">
        <v>70</v>
      </c>
      <c r="C1998" t="s">
        <v>369</v>
      </c>
      <c r="D1998" t="s">
        <v>4310</v>
      </c>
      <c r="E1998" s="1" t="s">
        <v>4311</v>
      </c>
      <c r="F1998" t="s">
        <v>11</v>
      </c>
      <c r="G1998" s="2">
        <v>43962.282118055555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925236-8F0D-48A6-AE8F-B33C8D1632F4}">
  <dimension ref="A1:H1999"/>
  <sheetViews>
    <sheetView workbookViewId="0">
      <selection activeCell="A2" sqref="A2"/>
    </sheetView>
  </sheetViews>
  <sheetFormatPr defaultRowHeight="14.25" customHeight="1" x14ac:dyDescent="0.3"/>
  <cols>
    <col min="1" max="1" width="13.6640625" bestFit="1" customWidth="1"/>
    <col min="2" max="2" width="17.109375" customWidth="1"/>
    <col min="3" max="3" width="32.44140625" customWidth="1"/>
    <col min="4" max="4" width="15.5546875" bestFit="1" customWidth="1"/>
    <col min="5" max="5" width="13.109375" bestFit="1" customWidth="1"/>
    <col min="6" max="6" width="14.44140625" bestFit="1" customWidth="1"/>
    <col min="7" max="7" width="12.109375" bestFit="1" customWidth="1"/>
    <col min="8" max="8" width="14.88671875" bestFit="1" customWidth="1"/>
  </cols>
  <sheetData>
    <row r="1" spans="1:8" ht="14.25" customHeight="1" x14ac:dyDescent="0.3">
      <c r="A1" t="s">
        <v>4312</v>
      </c>
      <c r="B1" t="s">
        <v>3</v>
      </c>
      <c r="C1" t="s">
        <v>4</v>
      </c>
      <c r="D1" t="s">
        <v>5</v>
      </c>
      <c r="E1" t="s">
        <v>4313</v>
      </c>
      <c r="F1" t="s">
        <v>4314</v>
      </c>
      <c r="G1" t="s">
        <v>4315</v>
      </c>
      <c r="H1" t="s">
        <v>4316</v>
      </c>
    </row>
    <row r="2" spans="1:8" ht="14.25" customHeight="1" x14ac:dyDescent="0.3">
      <c r="A2">
        <v>1360820</v>
      </c>
      <c r="B2" t="s">
        <v>4317</v>
      </c>
      <c r="C2" s="1" t="s">
        <v>4318</v>
      </c>
      <c r="D2" t="s">
        <v>11</v>
      </c>
      <c r="E2">
        <v>1</v>
      </c>
      <c r="F2">
        <v>1</v>
      </c>
      <c r="G2">
        <v>41</v>
      </c>
      <c r="H2" s="2">
        <v>44238.888425925928</v>
      </c>
    </row>
    <row r="3" spans="1:8" ht="14.25" customHeight="1" x14ac:dyDescent="0.3">
      <c r="A3">
        <v>1360815</v>
      </c>
      <c r="B3" t="e">
        <f>- accounts receivable email</f>
        <v>#NAME?</v>
      </c>
      <c r="C3" s="1" t="s">
        <v>4319</v>
      </c>
      <c r="D3" t="s">
        <v>11</v>
      </c>
      <c r="E3">
        <v>1</v>
      </c>
      <c r="F3">
        <v>2</v>
      </c>
      <c r="G3">
        <v>43</v>
      </c>
      <c r="H3" s="2">
        <v>44238.977060185185</v>
      </c>
    </row>
    <row r="4" spans="1:8" ht="14.25" customHeight="1" x14ac:dyDescent="0.3">
      <c r="A4">
        <v>1360859</v>
      </c>
      <c r="B4" t="e">
        <f>- password issue</f>
        <v>#NAME?</v>
      </c>
      <c r="C4" s="1" t="s">
        <v>4320</v>
      </c>
      <c r="D4" t="s">
        <v>11</v>
      </c>
      <c r="E4">
        <v>1</v>
      </c>
      <c r="F4">
        <v>3</v>
      </c>
      <c r="G4">
        <v>41</v>
      </c>
      <c r="H4" s="2">
        <v>44238.978912037041</v>
      </c>
    </row>
    <row r="5" spans="1:8" ht="14.25" customHeight="1" x14ac:dyDescent="0.3">
      <c r="A5">
        <v>1360856</v>
      </c>
      <c r="B5" t="e">
        <f>- email setup on new phone</f>
        <v>#NAME?</v>
      </c>
      <c r="C5" s="1" t="s">
        <v>4321</v>
      </c>
      <c r="D5" t="s">
        <v>11</v>
      </c>
      <c r="E5">
        <v>1</v>
      </c>
      <c r="F5">
        <v>2</v>
      </c>
      <c r="G5">
        <v>43</v>
      </c>
      <c r="H5" s="2">
        <v>44238.992210648146</v>
      </c>
    </row>
    <row r="6" spans="1:8" ht="14.25" customHeight="1" x14ac:dyDescent="0.3">
      <c r="A6">
        <v>1360906</v>
      </c>
      <c r="B6" t="e">
        <f>- opal doc review - setup O365 tenant</f>
        <v>#NAME?</v>
      </c>
      <c r="C6" s="1" t="s">
        <v>4322</v>
      </c>
      <c r="D6" t="s">
        <v>24</v>
      </c>
      <c r="E6">
        <v>1</v>
      </c>
      <c r="F6">
        <v>1</v>
      </c>
      <c r="G6">
        <v>43</v>
      </c>
      <c r="H6" s="2">
        <v>44238.992476851854</v>
      </c>
    </row>
    <row r="7" spans="1:8" ht="14.25" customHeight="1" x14ac:dyDescent="0.3">
      <c r="A7">
        <v>1360853</v>
      </c>
      <c r="B7" t="e">
        <f>- password issue</f>
        <v>#NAME?</v>
      </c>
      <c r="C7" s="1" t="s">
        <v>4323</v>
      </c>
      <c r="D7" t="s">
        <v>11</v>
      </c>
      <c r="E7">
        <v>1</v>
      </c>
      <c r="F7">
        <v>3</v>
      </c>
      <c r="G7">
        <v>41</v>
      </c>
      <c r="H7" s="2">
        <v>44239.000763888886</v>
      </c>
    </row>
    <row r="8" spans="1:8" ht="14.25" customHeight="1" x14ac:dyDescent="0.3">
      <c r="A8">
        <v>1360781</v>
      </c>
      <c r="B8" t="e">
        <f>- email delivery issues from</f>
        <v>#NAME?</v>
      </c>
      <c r="C8" s="1" t="s">
        <v>4324</v>
      </c>
      <c r="D8" t="s">
        <v>24</v>
      </c>
      <c r="E8">
        <v>1</v>
      </c>
      <c r="F8">
        <v>2</v>
      </c>
      <c r="G8">
        <v>41</v>
      </c>
      <c r="H8" s="2">
        <v>44239.001585648148</v>
      </c>
    </row>
    <row r="9" spans="1:8" ht="14.25" customHeight="1" x14ac:dyDescent="0.3">
      <c r="A9">
        <v>1360722</v>
      </c>
      <c r="B9" t="e">
        <f>- download  scanner</f>
        <v>#NAME?</v>
      </c>
      <c r="C9" s="1" t="s">
        <v>4325</v>
      </c>
      <c r="D9" t="s">
        <v>24</v>
      </c>
      <c r="E9">
        <v>1</v>
      </c>
      <c r="F9">
        <v>2</v>
      </c>
      <c r="G9">
        <v>43</v>
      </c>
      <c r="H9" s="2">
        <v>44239.002986111111</v>
      </c>
    </row>
    <row r="10" spans="1:8" ht="14.25" customHeight="1" x14ac:dyDescent="0.3">
      <c r="A10">
        <v>1360703</v>
      </c>
      <c r="B10" t="e">
        <f>- need changes to calmont sales group email list</f>
        <v>#NAME?</v>
      </c>
      <c r="C10" s="1" t="s">
        <v>4326</v>
      </c>
      <c r="D10" t="s">
        <v>24</v>
      </c>
      <c r="E10">
        <v>2</v>
      </c>
      <c r="F10">
        <v>2</v>
      </c>
      <c r="G10">
        <v>43</v>
      </c>
      <c r="H10" s="2">
        <v>44239.004317129627</v>
      </c>
    </row>
    <row r="11" spans="1:8" ht="14.25" customHeight="1" x14ac:dyDescent="0.3">
      <c r="A11">
        <v>1360708</v>
      </c>
      <c r="B11" t="e">
        <f>- expand drive</f>
        <v>#NAME?</v>
      </c>
      <c r="C11" s="1" t="s">
        <v>4327</v>
      </c>
      <c r="D11" t="s">
        <v>24</v>
      </c>
      <c r="E11">
        <v>3</v>
      </c>
      <c r="F11">
        <v>2</v>
      </c>
      <c r="G11">
        <v>43</v>
      </c>
      <c r="H11" s="2">
        <v>44239.006377314814</v>
      </c>
    </row>
    <row r="12" spans="1:8" ht="14.25" customHeight="1" x14ac:dyDescent="0.3">
      <c r="A12">
        <v>1360392</v>
      </c>
      <c r="B12" t="s">
        <v>4328</v>
      </c>
      <c r="C12" t="s">
        <v>4329</v>
      </c>
      <c r="D12" t="s">
        <v>462</v>
      </c>
      <c r="E12">
        <v>1</v>
      </c>
      <c r="F12">
        <v>1</v>
      </c>
      <c r="G12">
        <v>36</v>
      </c>
      <c r="H12" s="2">
        <v>44239.007175925923</v>
      </c>
    </row>
    <row r="13" spans="1:8" ht="14.25" customHeight="1" x14ac:dyDescent="0.3">
      <c r="A13">
        <v>1360788</v>
      </c>
      <c r="B13" t="s">
        <v>4330</v>
      </c>
      <c r="C13" s="1" t="s">
        <v>4331</v>
      </c>
      <c r="D13" t="s">
        <v>11</v>
      </c>
      <c r="E13">
        <v>1</v>
      </c>
      <c r="F13">
        <v>1</v>
      </c>
      <c r="G13">
        <v>36</v>
      </c>
      <c r="H13" s="2">
        <v>44239.012083333335</v>
      </c>
    </row>
    <row r="14" spans="1:8" ht="14.25" customHeight="1" x14ac:dyDescent="0.3">
      <c r="A14">
        <v>1360355</v>
      </c>
      <c r="B14" t="s">
        <v>4332</v>
      </c>
      <c r="C14" s="1" t="s">
        <v>4333</v>
      </c>
      <c r="D14" t="s">
        <v>11</v>
      </c>
      <c r="E14">
        <v>1</v>
      </c>
      <c r="F14">
        <v>2</v>
      </c>
      <c r="G14">
        <v>43</v>
      </c>
      <c r="H14" s="2">
        <v>44239.024317129632</v>
      </c>
    </row>
    <row r="15" spans="1:8" ht="14.25" customHeight="1" x14ac:dyDescent="0.3">
      <c r="A15">
        <v>1360714</v>
      </c>
      <c r="B15" t="s">
        <v>4334</v>
      </c>
      <c r="C15" s="1" t="s">
        <v>4335</v>
      </c>
      <c r="D15" t="s">
        <v>11</v>
      </c>
      <c r="E15">
        <v>1</v>
      </c>
      <c r="F15">
        <v>2</v>
      </c>
      <c r="G15">
        <v>41</v>
      </c>
      <c r="H15" s="2">
        <v>44239.024687500001</v>
      </c>
    </row>
    <row r="16" spans="1:8" ht="14.25" customHeight="1" x14ac:dyDescent="0.3">
      <c r="A16">
        <v>1360337</v>
      </c>
      <c r="B16" t="s">
        <v>4336</v>
      </c>
      <c r="C16" s="1" t="s">
        <v>4337</v>
      </c>
      <c r="D16" t="s">
        <v>11</v>
      </c>
      <c r="E16">
        <v>1</v>
      </c>
      <c r="F16">
        <v>1</v>
      </c>
      <c r="G16">
        <v>43</v>
      </c>
      <c r="H16" s="2">
        <v>44239.025671296295</v>
      </c>
    </row>
    <row r="17" spans="1:8" ht="14.25" customHeight="1" x14ac:dyDescent="0.3">
      <c r="A17">
        <v>1360725</v>
      </c>
      <c r="B17" t="s">
        <v>4338</v>
      </c>
      <c r="C17" s="1" t="s">
        <v>4339</v>
      </c>
      <c r="D17" t="s">
        <v>11</v>
      </c>
      <c r="E17">
        <v>1</v>
      </c>
      <c r="F17">
        <v>1</v>
      </c>
      <c r="G17">
        <v>43</v>
      </c>
      <c r="H17" s="2">
        <v>44239.702962962961</v>
      </c>
    </row>
    <row r="18" spans="1:8" ht="14.25" customHeight="1" x14ac:dyDescent="0.3">
      <c r="A18">
        <v>1360304</v>
      </c>
      <c r="B18" t="s">
        <v>4340</v>
      </c>
      <c r="C18" s="1" t="s">
        <v>4341</v>
      </c>
      <c r="D18" t="s">
        <v>11</v>
      </c>
      <c r="E18">
        <v>1</v>
      </c>
      <c r="F18">
        <v>2</v>
      </c>
      <c r="G18">
        <v>41</v>
      </c>
      <c r="H18" s="2">
        <v>44239.703379629631</v>
      </c>
    </row>
    <row r="19" spans="1:8" ht="14.25" customHeight="1" x14ac:dyDescent="0.3">
      <c r="A19">
        <v>1360273</v>
      </c>
      <c r="B19" t="e">
        <f>- folder access and title change for breanne stephen</f>
        <v>#NAME?</v>
      </c>
      <c r="C19" s="1" t="s">
        <v>4342</v>
      </c>
      <c r="D19" t="s">
        <v>24</v>
      </c>
      <c r="E19">
        <v>1</v>
      </c>
      <c r="F19">
        <v>2</v>
      </c>
      <c r="G19">
        <v>43</v>
      </c>
      <c r="H19" s="2">
        <v>44239.704027777778</v>
      </c>
    </row>
    <row r="20" spans="1:8" ht="14.25" customHeight="1" x14ac:dyDescent="0.3">
      <c r="A20">
        <v>1360265</v>
      </c>
      <c r="B20" t="e">
        <f>- email settings - laura culham-lovig</f>
        <v>#NAME?</v>
      </c>
      <c r="C20" s="1" t="s">
        <v>4343</v>
      </c>
      <c r="D20" t="s">
        <v>24</v>
      </c>
      <c r="E20">
        <v>1</v>
      </c>
      <c r="F20">
        <v>2</v>
      </c>
      <c r="G20">
        <v>43</v>
      </c>
      <c r="H20" s="2">
        <v>44239.706365740742</v>
      </c>
    </row>
    <row r="21" spans="1:8" ht="14.25" customHeight="1" x14ac:dyDescent="0.3">
      <c r="A21">
        <v>1360289</v>
      </c>
      <c r="B21" t="s">
        <v>523</v>
      </c>
      <c r="C21" t="s">
        <v>4344</v>
      </c>
      <c r="D21" t="s">
        <v>11</v>
      </c>
      <c r="E21">
        <v>1</v>
      </c>
      <c r="F21">
        <v>1</v>
      </c>
      <c r="G21">
        <v>43</v>
      </c>
      <c r="H21" s="2">
        <v>44239.711331018516</v>
      </c>
    </row>
    <row r="22" spans="1:8" ht="14.25" customHeight="1" x14ac:dyDescent="0.3">
      <c r="A22">
        <v>1360306</v>
      </c>
      <c r="B22" t="s">
        <v>4345</v>
      </c>
      <c r="C22" s="1" t="s">
        <v>4346</v>
      </c>
      <c r="D22" t="s">
        <v>11</v>
      </c>
      <c r="E22">
        <v>1</v>
      </c>
      <c r="F22">
        <v>1</v>
      </c>
      <c r="G22">
        <v>36</v>
      </c>
      <c r="H22" s="2">
        <v>44239.714803240742</v>
      </c>
    </row>
    <row r="23" spans="1:8" ht="14.25" customHeight="1" x14ac:dyDescent="0.3">
      <c r="A23">
        <v>1360275</v>
      </c>
      <c r="B23" t="e">
        <f>- signature change - add pronouns</f>
        <v>#NAME?</v>
      </c>
      <c r="C23" t="s">
        <v>4347</v>
      </c>
      <c r="D23" t="s">
        <v>24</v>
      </c>
      <c r="E23">
        <v>1</v>
      </c>
      <c r="F23">
        <v>1</v>
      </c>
      <c r="G23">
        <v>43</v>
      </c>
      <c r="H23" s="2">
        <v>44239.715868055559</v>
      </c>
    </row>
    <row r="24" spans="1:8" ht="14.25" customHeight="1" x14ac:dyDescent="0.3">
      <c r="A24">
        <v>1360335</v>
      </c>
      <c r="B24" t="s">
        <v>4348</v>
      </c>
      <c r="C24" s="1" t="s">
        <v>4349</v>
      </c>
      <c r="D24" t="s">
        <v>11</v>
      </c>
      <c r="E24">
        <v>1</v>
      </c>
      <c r="F24">
        <v>1</v>
      </c>
      <c r="G24">
        <v>43</v>
      </c>
      <c r="H24" s="2">
        <v>44239.718182870369</v>
      </c>
    </row>
    <row r="25" spans="1:8" ht="14.25" customHeight="1" x14ac:dyDescent="0.3">
      <c r="A25">
        <v>1360303</v>
      </c>
      <c r="B25" t="e">
        <f>- blue circle ins.  nc-bci-BE2 drive expansion</f>
        <v>#NAME?</v>
      </c>
      <c r="C25" s="1" t="s">
        <v>4350</v>
      </c>
      <c r="D25" t="s">
        <v>24</v>
      </c>
      <c r="E25">
        <v>3</v>
      </c>
      <c r="F25">
        <v>2</v>
      </c>
      <c r="G25">
        <v>43</v>
      </c>
      <c r="H25" s="2">
        <v>44239.718333333331</v>
      </c>
    </row>
    <row r="26" spans="1:8" ht="14.25" customHeight="1" x14ac:dyDescent="0.3">
      <c r="A26">
        <v>1360247</v>
      </c>
      <c r="B26" t="e">
        <f>- registration required for bluebeam revu</f>
        <v>#NAME?</v>
      </c>
      <c r="C26" s="1" t="s">
        <v>4351</v>
      </c>
      <c r="D26" t="s">
        <v>24</v>
      </c>
      <c r="E26">
        <v>1</v>
      </c>
      <c r="F26">
        <v>1</v>
      </c>
      <c r="G26">
        <v>41</v>
      </c>
      <c r="H26" s="2">
        <v>44239.729039351849</v>
      </c>
    </row>
    <row r="27" spans="1:8" ht="14.25" customHeight="1" x14ac:dyDescent="0.3">
      <c r="A27">
        <v>1360299</v>
      </c>
      <c r="B27" t="s">
        <v>4352</v>
      </c>
      <c r="C27" t="s">
        <v>4353</v>
      </c>
      <c r="D27" t="s">
        <v>11</v>
      </c>
      <c r="E27">
        <v>1</v>
      </c>
      <c r="F27">
        <v>1</v>
      </c>
      <c r="G27">
        <v>43</v>
      </c>
      <c r="H27" s="2">
        <v>44239.743680555555</v>
      </c>
    </row>
    <row r="28" spans="1:8" ht="14.25" customHeight="1" x14ac:dyDescent="0.3">
      <c r="A28">
        <v>1360204</v>
      </c>
      <c r="B28" t="s">
        <v>4354</v>
      </c>
      <c r="C28" s="1" t="s">
        <v>4355</v>
      </c>
      <c r="D28" t="s">
        <v>11</v>
      </c>
      <c r="E28">
        <v>1</v>
      </c>
      <c r="F28">
        <v>1</v>
      </c>
      <c r="G28">
        <v>41</v>
      </c>
      <c r="H28" s="2">
        <v>44239.745254629626</v>
      </c>
    </row>
    <row r="29" spans="1:8" ht="14.25" customHeight="1" x14ac:dyDescent="0.3">
      <c r="A29">
        <v>1360175</v>
      </c>
      <c r="B29" t="s">
        <v>4356</v>
      </c>
      <c r="C29" s="1" t="s">
        <v>4357</v>
      </c>
      <c r="D29" t="s">
        <v>11</v>
      </c>
      <c r="E29">
        <v>1</v>
      </c>
      <c r="F29">
        <v>3</v>
      </c>
      <c r="G29">
        <v>41</v>
      </c>
      <c r="H29" s="2">
        <v>44239.745648148149</v>
      </c>
    </row>
    <row r="30" spans="1:8" ht="14.25" customHeight="1" x14ac:dyDescent="0.3">
      <c r="A30">
        <v>1360184</v>
      </c>
      <c r="B30" t="s">
        <v>4358</v>
      </c>
      <c r="C30" s="1" t="s">
        <v>4359</v>
      </c>
      <c r="D30" t="s">
        <v>11</v>
      </c>
      <c r="E30">
        <v>1</v>
      </c>
      <c r="F30">
        <v>3</v>
      </c>
      <c r="G30">
        <v>41</v>
      </c>
      <c r="H30" s="2">
        <v>44239.745891203704</v>
      </c>
    </row>
    <row r="31" spans="1:8" ht="14.25" customHeight="1" x14ac:dyDescent="0.3">
      <c r="A31">
        <v>1360174</v>
      </c>
      <c r="B31" t="s">
        <v>4360</v>
      </c>
      <c r="C31" s="1" t="s">
        <v>4361</v>
      </c>
      <c r="D31" t="s">
        <v>11</v>
      </c>
      <c r="E31">
        <v>1</v>
      </c>
      <c r="F31">
        <v>1</v>
      </c>
      <c r="G31">
        <v>43</v>
      </c>
      <c r="H31" s="2">
        <v>44239.746307870373</v>
      </c>
    </row>
    <row r="32" spans="1:8" ht="14.25" customHeight="1" x14ac:dyDescent="0.3">
      <c r="A32">
        <v>1360213</v>
      </c>
      <c r="B32" t="e">
        <f>- group client not recieving clientconnect invitation</f>
        <v>#NAME?</v>
      </c>
      <c r="C32" s="1" t="s">
        <v>4362</v>
      </c>
      <c r="D32" t="s">
        <v>24</v>
      </c>
      <c r="E32">
        <v>1</v>
      </c>
      <c r="F32">
        <v>2</v>
      </c>
      <c r="G32">
        <v>41</v>
      </c>
      <c r="H32" s="2">
        <v>44239.767094907409</v>
      </c>
    </row>
    <row r="33" spans="1:8" ht="14.25" customHeight="1" x14ac:dyDescent="0.3">
      <c r="A33">
        <v>1360307</v>
      </c>
      <c r="B33" t="s">
        <v>4363</v>
      </c>
      <c r="C33" s="1" t="s">
        <v>4364</v>
      </c>
      <c r="D33" t="s">
        <v>11</v>
      </c>
      <c r="E33">
        <v>1</v>
      </c>
      <c r="F33">
        <v>1</v>
      </c>
      <c r="G33">
        <v>36</v>
      </c>
      <c r="H33" s="2">
        <v>44243.678263888891</v>
      </c>
    </row>
    <row r="34" spans="1:8" ht="14.25" customHeight="1" x14ac:dyDescent="0.3">
      <c r="A34">
        <v>1360363</v>
      </c>
      <c r="B34" t="e">
        <f>- email account created</f>
        <v>#NAME?</v>
      </c>
      <c r="C34" s="1" t="s">
        <v>4365</v>
      </c>
      <c r="D34" t="s">
        <v>24</v>
      </c>
      <c r="E34">
        <v>1</v>
      </c>
      <c r="F34">
        <v>3</v>
      </c>
      <c r="G34">
        <v>43</v>
      </c>
      <c r="H34" s="2">
        <v>44243.679618055554</v>
      </c>
    </row>
    <row r="35" spans="1:8" ht="14.25" customHeight="1" x14ac:dyDescent="0.3">
      <c r="A35">
        <v>1360251</v>
      </c>
      <c r="B35" t="s">
        <v>4366</v>
      </c>
      <c r="C35" t="s">
        <v>4367</v>
      </c>
      <c r="D35" t="s">
        <v>24</v>
      </c>
      <c r="E35">
        <v>1</v>
      </c>
      <c r="F35">
        <v>2</v>
      </c>
      <c r="G35">
        <v>41</v>
      </c>
      <c r="H35" s="2">
        <v>44243.973113425927</v>
      </c>
    </row>
    <row r="36" spans="1:8" ht="14.25" customHeight="1" x14ac:dyDescent="0.3">
      <c r="A36">
        <v>1360905</v>
      </c>
      <c r="B36" t="s">
        <v>4368</v>
      </c>
      <c r="C36" s="1" t="s">
        <v>4369</v>
      </c>
      <c r="D36" t="s">
        <v>11</v>
      </c>
      <c r="E36">
        <v>1</v>
      </c>
      <c r="F36">
        <v>1</v>
      </c>
      <c r="G36">
        <v>43</v>
      </c>
      <c r="H36" s="2">
        <v>44243.981423611112</v>
      </c>
    </row>
    <row r="37" spans="1:8" ht="14.25" customHeight="1" x14ac:dyDescent="0.3">
      <c r="A37">
        <v>1360894</v>
      </c>
      <c r="B37" t="e">
        <f>- printers</f>
        <v>#NAME?</v>
      </c>
      <c r="C37" s="1" t="s">
        <v>4370</v>
      </c>
      <c r="D37" t="s">
        <v>24</v>
      </c>
      <c r="E37">
        <v>2</v>
      </c>
      <c r="F37">
        <v>1</v>
      </c>
      <c r="G37">
        <v>43</v>
      </c>
      <c r="H37" s="2">
        <v>44243.981886574074</v>
      </c>
    </row>
    <row r="38" spans="1:8" ht="14.25" customHeight="1" x14ac:dyDescent="0.3">
      <c r="A38">
        <v>1360806</v>
      </c>
      <c r="B38" t="s">
        <v>4371</v>
      </c>
      <c r="C38" s="1" t="s">
        <v>4372</v>
      </c>
      <c r="D38" t="s">
        <v>11</v>
      </c>
      <c r="E38">
        <v>1</v>
      </c>
      <c r="F38">
        <v>1</v>
      </c>
      <c r="G38">
        <v>36</v>
      </c>
      <c r="H38" s="2">
        <v>44243.982395833336</v>
      </c>
    </row>
    <row r="39" spans="1:8" ht="14.25" customHeight="1" x14ac:dyDescent="0.3">
      <c r="A39">
        <v>1360887</v>
      </c>
      <c r="B39" t="s">
        <v>4373</v>
      </c>
      <c r="C39" s="1" t="s">
        <v>4374</v>
      </c>
      <c r="D39" t="s">
        <v>11</v>
      </c>
      <c r="E39">
        <v>2</v>
      </c>
      <c r="F39">
        <v>2</v>
      </c>
      <c r="G39">
        <v>41</v>
      </c>
      <c r="H39" s="2">
        <v>44243.983807870369</v>
      </c>
    </row>
    <row r="40" spans="1:8" ht="14.25" customHeight="1" x14ac:dyDescent="0.3">
      <c r="A40">
        <v>1360728</v>
      </c>
      <c r="B40" t="s">
        <v>4375</v>
      </c>
      <c r="C40" s="1" t="s">
        <v>4376</v>
      </c>
      <c r="D40" t="s">
        <v>11</v>
      </c>
      <c r="E40">
        <v>1</v>
      </c>
      <c r="F40">
        <v>1</v>
      </c>
      <c r="G40">
        <v>43</v>
      </c>
      <c r="H40" s="2">
        <v>44243.9843287037</v>
      </c>
    </row>
    <row r="41" spans="1:8" ht="14.25" customHeight="1" x14ac:dyDescent="0.3">
      <c r="A41">
        <v>1360824</v>
      </c>
      <c r="B41" t="s">
        <v>4377</v>
      </c>
      <c r="C41" s="1" t="s">
        <v>4378</v>
      </c>
      <c r="D41" t="s">
        <v>11</v>
      </c>
      <c r="E41">
        <v>2</v>
      </c>
      <c r="F41">
        <v>1</v>
      </c>
      <c r="G41">
        <v>43</v>
      </c>
      <c r="H41" s="2">
        <v>44243.984988425924</v>
      </c>
    </row>
    <row r="42" spans="1:8" ht="14.25" customHeight="1" x14ac:dyDescent="0.3">
      <c r="A42">
        <v>1360883</v>
      </c>
      <c r="B42" t="s">
        <v>4379</v>
      </c>
      <c r="C42" s="1" t="s">
        <v>4380</v>
      </c>
      <c r="D42" t="s">
        <v>11</v>
      </c>
      <c r="E42">
        <v>1</v>
      </c>
      <c r="F42">
        <v>2</v>
      </c>
      <c r="G42">
        <v>41</v>
      </c>
      <c r="H42" s="2">
        <v>44243.985300925924</v>
      </c>
    </row>
    <row r="43" spans="1:8" ht="14.25" customHeight="1" x14ac:dyDescent="0.3">
      <c r="A43">
        <v>1360915</v>
      </c>
      <c r="B43" t="e">
        <f>- ip-it shaw modem replacement red deer</f>
        <v>#NAME?</v>
      </c>
      <c r="C43" s="1" t="s">
        <v>4381</v>
      </c>
      <c r="D43" t="s">
        <v>11</v>
      </c>
      <c r="E43">
        <v>3</v>
      </c>
      <c r="F43">
        <v>3</v>
      </c>
      <c r="G43">
        <v>43</v>
      </c>
      <c r="H43" s="2">
        <v>44243.986643518518</v>
      </c>
    </row>
    <row r="44" spans="1:8" ht="14.25" customHeight="1" x14ac:dyDescent="0.3">
      <c r="A44">
        <v>1360719</v>
      </c>
      <c r="B44" t="e">
        <f>- do not see messages for chat in mitel.</f>
        <v>#NAME?</v>
      </c>
      <c r="C44" s="1" t="s">
        <v>4382</v>
      </c>
      <c r="D44" t="s">
        <v>24</v>
      </c>
      <c r="E44">
        <v>1</v>
      </c>
      <c r="F44">
        <v>2</v>
      </c>
      <c r="G44">
        <v>41</v>
      </c>
      <c r="H44" s="2">
        <v>44243.987037037034</v>
      </c>
    </row>
    <row r="45" spans="1:8" ht="14.25" customHeight="1" x14ac:dyDescent="0.3">
      <c r="A45">
        <v>1360726</v>
      </c>
      <c r="B45" t="s">
        <v>4383</v>
      </c>
      <c r="C45" s="1" t="s">
        <v>4384</v>
      </c>
      <c r="D45" t="s">
        <v>11</v>
      </c>
      <c r="E45">
        <v>2</v>
      </c>
      <c r="F45">
        <v>2</v>
      </c>
      <c r="G45">
        <v>43</v>
      </c>
      <c r="H45" s="2">
        <v>44243.987592592595</v>
      </c>
    </row>
    <row r="46" spans="1:8" ht="14.25" customHeight="1" x14ac:dyDescent="0.3">
      <c r="A46">
        <v>1360713</v>
      </c>
      <c r="B46" t="e">
        <f>- open files in background</f>
        <v>#NAME?</v>
      </c>
      <c r="C46" s="1" t="s">
        <v>4385</v>
      </c>
      <c r="D46" t="s">
        <v>24</v>
      </c>
      <c r="E46">
        <v>1</v>
      </c>
      <c r="F46">
        <v>2</v>
      </c>
      <c r="G46">
        <v>41</v>
      </c>
      <c r="H46" s="2">
        <v>44243.988182870373</v>
      </c>
    </row>
    <row r="47" spans="1:8" ht="14.25" customHeight="1" x14ac:dyDescent="0.3">
      <c r="A47">
        <v>1360886</v>
      </c>
      <c r="B47" t="s">
        <v>4386</v>
      </c>
      <c r="C47" s="1" t="s">
        <v>4387</v>
      </c>
      <c r="D47" t="s">
        <v>11</v>
      </c>
      <c r="E47">
        <v>1</v>
      </c>
      <c r="F47">
        <v>2</v>
      </c>
      <c r="G47">
        <v>41</v>
      </c>
      <c r="H47" s="2">
        <v>44243.988761574074</v>
      </c>
    </row>
    <row r="48" spans="1:8" ht="14.25" customHeight="1" x14ac:dyDescent="0.3">
      <c r="A48">
        <v>1360366</v>
      </c>
      <c r="B48" t="s">
        <v>4388</v>
      </c>
      <c r="C48" s="1" t="s">
        <v>4389</v>
      </c>
      <c r="D48" t="s">
        <v>11</v>
      </c>
      <c r="E48">
        <v>1</v>
      </c>
      <c r="F48">
        <v>1</v>
      </c>
      <c r="G48">
        <v>43</v>
      </c>
      <c r="H48" s="2">
        <v>44243.989178240743</v>
      </c>
    </row>
    <row r="49" spans="1:8" ht="14.25" customHeight="1" x14ac:dyDescent="0.3">
      <c r="A49">
        <v>1360914</v>
      </c>
      <c r="B49" t="e">
        <f>- warranty check on monitor</f>
        <v>#NAME?</v>
      </c>
      <c r="C49" s="1" t="s">
        <v>4390</v>
      </c>
      <c r="D49" t="s">
        <v>11</v>
      </c>
      <c r="E49">
        <v>1</v>
      </c>
      <c r="F49">
        <v>1</v>
      </c>
      <c r="G49">
        <v>43</v>
      </c>
      <c r="H49" s="2">
        <v>44243.989907407406</v>
      </c>
    </row>
    <row r="50" spans="1:8" ht="14.25" customHeight="1" x14ac:dyDescent="0.3">
      <c r="A50">
        <v>1360874</v>
      </c>
      <c r="B50" t="e">
        <f>- printer accessed by other programs within e4c</f>
        <v>#NAME?</v>
      </c>
      <c r="C50" s="1" t="s">
        <v>4391</v>
      </c>
      <c r="D50" t="s">
        <v>24</v>
      </c>
      <c r="E50">
        <v>2</v>
      </c>
      <c r="F50">
        <v>1</v>
      </c>
      <c r="G50">
        <v>43</v>
      </c>
      <c r="H50" s="2">
        <v>44243.990787037037</v>
      </c>
    </row>
    <row r="51" spans="1:8" ht="14.25" customHeight="1" x14ac:dyDescent="0.3">
      <c r="A51">
        <v>1360833</v>
      </c>
      <c r="B51" t="s">
        <v>4392</v>
      </c>
      <c r="C51" s="1" t="s">
        <v>4393</v>
      </c>
      <c r="D51" t="s">
        <v>24</v>
      </c>
      <c r="E51">
        <v>1</v>
      </c>
      <c r="F51">
        <v>3</v>
      </c>
      <c r="G51">
        <v>41</v>
      </c>
      <c r="H51" s="2">
        <v>44243.99114583333</v>
      </c>
    </row>
    <row r="52" spans="1:8" ht="14.25" customHeight="1" x14ac:dyDescent="0.3">
      <c r="A52">
        <v>1360364</v>
      </c>
      <c r="B52" t="s">
        <v>4394</v>
      </c>
      <c r="C52" s="1" t="s">
        <v>4395</v>
      </c>
      <c r="D52" t="s">
        <v>11</v>
      </c>
      <c r="E52">
        <v>1</v>
      </c>
      <c r="F52">
        <v>1</v>
      </c>
      <c r="G52">
        <v>43</v>
      </c>
      <c r="H52" s="2">
        <v>44243.991365740738</v>
      </c>
    </row>
    <row r="53" spans="1:8" ht="14.25" customHeight="1" x14ac:dyDescent="0.3">
      <c r="A53">
        <v>1360780</v>
      </c>
      <c r="B53" t="e">
        <f>- phishing email</f>
        <v>#NAME?</v>
      </c>
      <c r="C53" s="1" t="s">
        <v>4396</v>
      </c>
      <c r="D53" t="s">
        <v>11</v>
      </c>
      <c r="E53">
        <v>1</v>
      </c>
      <c r="F53">
        <v>1</v>
      </c>
      <c r="G53">
        <v>41</v>
      </c>
      <c r="H53" s="2">
        <v>44243.991620370369</v>
      </c>
    </row>
    <row r="54" spans="1:8" ht="14.25" customHeight="1" x14ac:dyDescent="0.3">
      <c r="A54">
        <v>1360800</v>
      </c>
      <c r="B54" t="s">
        <v>4397</v>
      </c>
      <c r="C54" s="1" t="s">
        <v>4398</v>
      </c>
      <c r="D54" t="s">
        <v>11</v>
      </c>
      <c r="E54">
        <v>1</v>
      </c>
      <c r="F54">
        <v>1</v>
      </c>
      <c r="G54">
        <v>43</v>
      </c>
      <c r="H54" s="2">
        <v>44243.994317129633</v>
      </c>
    </row>
    <row r="55" spans="1:8" ht="14.25" customHeight="1" x14ac:dyDescent="0.3">
      <c r="A55">
        <v>1360348</v>
      </c>
      <c r="B55" t="s">
        <v>4399</v>
      </c>
      <c r="C55" s="1" t="s">
        <v>4400</v>
      </c>
      <c r="D55" t="s">
        <v>24</v>
      </c>
      <c r="E55">
        <v>1</v>
      </c>
      <c r="F55">
        <v>1</v>
      </c>
      <c r="G55">
        <v>36</v>
      </c>
      <c r="H55" s="2">
        <v>44243.994699074072</v>
      </c>
    </row>
    <row r="56" spans="1:8" ht="14.25" customHeight="1" x14ac:dyDescent="0.3">
      <c r="A56">
        <v>1360297</v>
      </c>
      <c r="B56" t="e">
        <f>- kim bussey</f>
        <v>#NAME?</v>
      </c>
      <c r="C56" s="1" t="s">
        <v>4401</v>
      </c>
      <c r="D56" t="s">
        <v>24</v>
      </c>
      <c r="E56">
        <v>1</v>
      </c>
      <c r="F56">
        <v>1</v>
      </c>
      <c r="G56">
        <v>43</v>
      </c>
      <c r="H56" s="2">
        <v>44243.995104166665</v>
      </c>
    </row>
    <row r="57" spans="1:8" ht="14.25" customHeight="1" x14ac:dyDescent="0.3">
      <c r="A57">
        <v>1360864</v>
      </c>
      <c r="B57" t="s">
        <v>4402</v>
      </c>
      <c r="C57" s="1" t="s">
        <v>4403</v>
      </c>
      <c r="D57" t="s">
        <v>11</v>
      </c>
      <c r="E57">
        <v>1</v>
      </c>
      <c r="F57">
        <v>1</v>
      </c>
      <c r="G57">
        <v>43</v>
      </c>
      <c r="H57" s="2">
        <v>44243.995370370372</v>
      </c>
    </row>
    <row r="58" spans="1:8" ht="14.25" customHeight="1" x14ac:dyDescent="0.3">
      <c r="A58">
        <v>1360838</v>
      </c>
      <c r="B58" t="s">
        <v>4404</v>
      </c>
      <c r="C58" s="1" t="s">
        <v>4405</v>
      </c>
      <c r="D58" t="s">
        <v>11</v>
      </c>
      <c r="E58">
        <v>2</v>
      </c>
      <c r="F58">
        <v>1</v>
      </c>
      <c r="G58">
        <v>43</v>
      </c>
      <c r="H58" s="2">
        <v>44243.998784722222</v>
      </c>
    </row>
    <row r="59" spans="1:8" ht="14.25" customHeight="1" x14ac:dyDescent="0.3">
      <c r="A59">
        <v>1360268</v>
      </c>
      <c r="B59" t="s">
        <v>4406</v>
      </c>
      <c r="C59" s="1" t="s">
        <v>4407</v>
      </c>
      <c r="D59" t="s">
        <v>24</v>
      </c>
      <c r="E59">
        <v>1</v>
      </c>
      <c r="F59">
        <v>1</v>
      </c>
      <c r="G59">
        <v>43</v>
      </c>
      <c r="H59" s="2">
        <v>44243.999143518522</v>
      </c>
    </row>
    <row r="60" spans="1:8" ht="14.25" customHeight="1" x14ac:dyDescent="0.3">
      <c r="A60">
        <v>1360267</v>
      </c>
      <c r="B60" t="s">
        <v>4408</v>
      </c>
      <c r="C60" s="1" t="s">
        <v>4409</v>
      </c>
      <c r="D60" t="s">
        <v>11</v>
      </c>
      <c r="E60">
        <v>2</v>
      </c>
      <c r="F60">
        <v>1</v>
      </c>
      <c r="G60">
        <v>43</v>
      </c>
      <c r="H60" s="2">
        <v>44244.000069444446</v>
      </c>
    </row>
    <row r="61" spans="1:8" ht="14.25" customHeight="1" x14ac:dyDescent="0.3">
      <c r="A61">
        <v>1360331</v>
      </c>
      <c r="B61" t="s">
        <v>4410</v>
      </c>
      <c r="C61" s="1" t="s">
        <v>4337</v>
      </c>
      <c r="D61" t="s">
        <v>11</v>
      </c>
      <c r="E61">
        <v>1</v>
      </c>
      <c r="F61">
        <v>1</v>
      </c>
      <c r="G61">
        <v>43</v>
      </c>
      <c r="H61" s="2">
        <v>44244.000289351854</v>
      </c>
    </row>
    <row r="62" spans="1:8" ht="14.25" customHeight="1" x14ac:dyDescent="0.3">
      <c r="A62">
        <v>1360369</v>
      </c>
      <c r="B62" t="s">
        <v>4411</v>
      </c>
      <c r="C62" s="1" t="s">
        <v>4412</v>
      </c>
      <c r="D62" t="s">
        <v>11</v>
      </c>
      <c r="E62">
        <v>1</v>
      </c>
      <c r="F62">
        <v>1</v>
      </c>
      <c r="G62">
        <v>36</v>
      </c>
      <c r="H62" s="2">
        <v>44244.000486111108</v>
      </c>
    </row>
    <row r="63" spans="1:8" ht="14.25" customHeight="1" x14ac:dyDescent="0.3">
      <c r="A63">
        <v>1360749</v>
      </c>
      <c r="B63" t="s">
        <v>4413</v>
      </c>
      <c r="C63" s="1" t="s">
        <v>4414</v>
      </c>
      <c r="D63" t="s">
        <v>11</v>
      </c>
      <c r="E63">
        <v>1</v>
      </c>
      <c r="F63">
        <v>2</v>
      </c>
      <c r="G63">
        <v>41</v>
      </c>
      <c r="H63" s="2">
        <v>44244.002256944441</v>
      </c>
    </row>
    <row r="64" spans="1:8" ht="14.25" customHeight="1" x14ac:dyDescent="0.3">
      <c r="A64">
        <v>1360272</v>
      </c>
      <c r="B64" t="e">
        <f>- teams privileges</f>
        <v>#NAME?</v>
      </c>
      <c r="C64" s="1" t="s">
        <v>4415</v>
      </c>
      <c r="D64" t="s">
        <v>11</v>
      </c>
      <c r="E64">
        <v>1</v>
      </c>
      <c r="F64">
        <v>1</v>
      </c>
      <c r="G64">
        <v>43</v>
      </c>
      <c r="H64" s="2">
        <v>44244.002465277779</v>
      </c>
    </row>
    <row r="65" spans="1:8" ht="14.25" customHeight="1" x14ac:dyDescent="0.3">
      <c r="A65">
        <v>1360188</v>
      </c>
      <c r="B65" t="s">
        <v>4416</v>
      </c>
      <c r="C65" s="1" t="s">
        <v>4417</v>
      </c>
      <c r="D65" t="s">
        <v>11</v>
      </c>
      <c r="E65">
        <v>3</v>
      </c>
      <c r="F65">
        <v>1</v>
      </c>
      <c r="G65">
        <v>43</v>
      </c>
      <c r="H65" s="2">
        <v>44244.00304398148</v>
      </c>
    </row>
    <row r="66" spans="1:8" ht="14.25" customHeight="1" x14ac:dyDescent="0.3">
      <c r="A66">
        <v>1360352</v>
      </c>
      <c r="B66" t="s">
        <v>4418</v>
      </c>
      <c r="C66" s="1" t="s">
        <v>4419</v>
      </c>
      <c r="D66" t="s">
        <v>11</v>
      </c>
      <c r="E66">
        <v>1</v>
      </c>
      <c r="F66">
        <v>1</v>
      </c>
      <c r="G66">
        <v>43</v>
      </c>
      <c r="H66" s="2">
        <v>44244.003761574073</v>
      </c>
    </row>
    <row r="67" spans="1:8" ht="14.25" customHeight="1" x14ac:dyDescent="0.3">
      <c r="A67">
        <v>1360812</v>
      </c>
      <c r="B67" t="e">
        <f>- new service request - lifestyle options</f>
        <v>#NAME?</v>
      </c>
      <c r="C67" s="1" t="s">
        <v>4420</v>
      </c>
      <c r="D67" t="s">
        <v>11</v>
      </c>
      <c r="E67">
        <v>1</v>
      </c>
      <c r="F67">
        <v>1</v>
      </c>
      <c r="G67">
        <v>43</v>
      </c>
      <c r="H67" s="2">
        <v>44244.706643518519</v>
      </c>
    </row>
    <row r="68" spans="1:8" ht="14.25" customHeight="1" x14ac:dyDescent="0.3">
      <c r="A68">
        <v>1359838</v>
      </c>
      <c r="B68" t="s">
        <v>4421</v>
      </c>
      <c r="C68" s="1" t="s">
        <v>4422</v>
      </c>
      <c r="D68" t="s">
        <v>11</v>
      </c>
      <c r="E68">
        <v>1</v>
      </c>
      <c r="F68">
        <v>1</v>
      </c>
      <c r="G68">
        <v>43</v>
      </c>
      <c r="H68" s="2">
        <v>44244.706805555557</v>
      </c>
    </row>
    <row r="69" spans="1:8" ht="14.25" customHeight="1" x14ac:dyDescent="0.3">
      <c r="A69">
        <v>1358996</v>
      </c>
      <c r="B69" t="s">
        <v>4423</v>
      </c>
      <c r="C69" s="1" t="s">
        <v>4424</v>
      </c>
      <c r="D69" t="s">
        <v>11</v>
      </c>
      <c r="E69">
        <v>1</v>
      </c>
      <c r="F69">
        <v>3</v>
      </c>
      <c r="G69">
        <v>43</v>
      </c>
      <c r="H69" s="2">
        <v>44244.710300925923</v>
      </c>
    </row>
    <row r="70" spans="1:8" ht="14.25" customHeight="1" x14ac:dyDescent="0.3">
      <c r="A70">
        <v>1360162</v>
      </c>
      <c r="B70" t="e">
        <f>- itms phone system down</f>
        <v>#NAME?</v>
      </c>
      <c r="C70" s="1" t="s">
        <v>4425</v>
      </c>
      <c r="D70" t="s">
        <v>24</v>
      </c>
      <c r="E70">
        <v>3</v>
      </c>
      <c r="F70">
        <v>3</v>
      </c>
      <c r="G70">
        <v>41</v>
      </c>
      <c r="H70" s="2">
        <v>44244.710868055554</v>
      </c>
    </row>
    <row r="71" spans="1:8" ht="14.25" customHeight="1" x14ac:dyDescent="0.3">
      <c r="A71">
        <v>1360245</v>
      </c>
      <c r="B71" t="s">
        <v>4426</v>
      </c>
      <c r="C71" s="1" t="s">
        <v>4427</v>
      </c>
      <c r="D71" t="s">
        <v>24</v>
      </c>
      <c r="E71">
        <v>1</v>
      </c>
      <c r="F71">
        <v>1</v>
      </c>
      <c r="G71">
        <v>41</v>
      </c>
      <c r="H71" s="2">
        <v>44244.713761574072</v>
      </c>
    </row>
    <row r="72" spans="1:8" ht="14.25" customHeight="1" x14ac:dyDescent="0.3">
      <c r="A72">
        <v>1358848</v>
      </c>
      <c r="B72" t="e">
        <f>- opal - tech guide review - nc low disk space</f>
        <v>#NAME?</v>
      </c>
      <c r="C72" s="1" t="s">
        <v>4428</v>
      </c>
      <c r="D72" t="s">
        <v>24</v>
      </c>
      <c r="E72">
        <v>1</v>
      </c>
      <c r="F72">
        <v>1</v>
      </c>
      <c r="G72">
        <v>43</v>
      </c>
      <c r="H72" s="2">
        <v>44244.716284722221</v>
      </c>
    </row>
    <row r="73" spans="1:8" ht="14.25" customHeight="1" x14ac:dyDescent="0.3">
      <c r="A73">
        <v>1359008</v>
      </c>
      <c r="B73" t="e">
        <f>- sajjad moving offices, please move adobe acrobat</f>
        <v>#NAME?</v>
      </c>
      <c r="C73" s="1" t="s">
        <v>4429</v>
      </c>
      <c r="D73" t="s">
        <v>24</v>
      </c>
      <c r="E73">
        <v>1</v>
      </c>
      <c r="F73">
        <v>2</v>
      </c>
      <c r="G73">
        <v>43</v>
      </c>
      <c r="H73" s="2">
        <v>44244.716504629629</v>
      </c>
    </row>
    <row r="74" spans="1:8" ht="14.25" customHeight="1" x14ac:dyDescent="0.3">
      <c r="A74">
        <v>1358966</v>
      </c>
      <c r="B74" t="s">
        <v>4430</v>
      </c>
      <c r="C74" s="1" t="s">
        <v>4431</v>
      </c>
      <c r="D74" t="s">
        <v>11</v>
      </c>
      <c r="E74">
        <v>1</v>
      </c>
      <c r="F74">
        <v>3</v>
      </c>
      <c r="G74">
        <v>43</v>
      </c>
      <c r="H74" s="2">
        <v>44244.716979166667</v>
      </c>
    </row>
    <row r="75" spans="1:8" ht="14.25" customHeight="1" x14ac:dyDescent="0.3">
      <c r="A75">
        <v>1358813</v>
      </c>
      <c r="B75" t="e">
        <f>- outlook</f>
        <v>#NAME?</v>
      </c>
      <c r="C75" s="1" t="s">
        <v>4432</v>
      </c>
      <c r="D75" t="s">
        <v>24</v>
      </c>
      <c r="E75">
        <v>1</v>
      </c>
      <c r="F75">
        <v>3</v>
      </c>
      <c r="G75">
        <v>41</v>
      </c>
      <c r="H75" s="2">
        <v>44244.717106481483</v>
      </c>
    </row>
    <row r="76" spans="1:8" ht="14.25" customHeight="1" x14ac:dyDescent="0.3">
      <c r="A76">
        <v>1358851</v>
      </c>
      <c r="B76" t="e">
        <f>- cannot log into laptop</f>
        <v>#NAME?</v>
      </c>
      <c r="C76" s="1" t="s">
        <v>4433</v>
      </c>
      <c r="D76" t="s">
        <v>11</v>
      </c>
      <c r="E76">
        <v>1</v>
      </c>
      <c r="F76">
        <v>3</v>
      </c>
      <c r="G76">
        <v>41</v>
      </c>
      <c r="H76" s="2">
        <v>44244.719733796293</v>
      </c>
    </row>
    <row r="77" spans="1:8" ht="14.25" customHeight="1" x14ac:dyDescent="0.3">
      <c r="A77">
        <v>1360346</v>
      </c>
      <c r="B77" t="e">
        <f>- hot jar account ownership</f>
        <v>#NAME?</v>
      </c>
      <c r="C77" s="1" t="s">
        <v>4434</v>
      </c>
      <c r="D77" t="s">
        <v>11</v>
      </c>
      <c r="E77">
        <v>2</v>
      </c>
      <c r="F77">
        <v>2</v>
      </c>
      <c r="G77">
        <v>43</v>
      </c>
      <c r="H77" s="2">
        <v>44244.720173611109</v>
      </c>
    </row>
    <row r="78" spans="1:8" ht="14.25" customHeight="1" x14ac:dyDescent="0.3">
      <c r="A78">
        <v>1358412</v>
      </c>
      <c r="B78" t="e">
        <f>- all staff email for lynda rouleau</f>
        <v>#NAME?</v>
      </c>
      <c r="C78" s="1" t="s">
        <v>4435</v>
      </c>
      <c r="D78" t="s">
        <v>24</v>
      </c>
      <c r="E78">
        <v>1</v>
      </c>
      <c r="F78">
        <v>2</v>
      </c>
      <c r="G78">
        <v>43</v>
      </c>
      <c r="H78" s="2">
        <v>44244.720347222225</v>
      </c>
    </row>
    <row r="79" spans="1:8" ht="14.25" customHeight="1" x14ac:dyDescent="0.3">
      <c r="A79">
        <v>1360819</v>
      </c>
      <c r="B79" t="s">
        <v>4436</v>
      </c>
      <c r="C79" s="1" t="s">
        <v>4437</v>
      </c>
      <c r="D79" t="s">
        <v>11</v>
      </c>
      <c r="E79">
        <v>2</v>
      </c>
      <c r="F79">
        <v>1</v>
      </c>
      <c r="G79">
        <v>43</v>
      </c>
      <c r="H79" s="2">
        <v>44244.728101851855</v>
      </c>
    </row>
    <row r="80" spans="1:8" ht="14.25" customHeight="1" x14ac:dyDescent="0.3">
      <c r="A80">
        <v>1360785</v>
      </c>
      <c r="B80" t="s">
        <v>4438</v>
      </c>
      <c r="C80" s="1" t="s">
        <v>4439</v>
      </c>
      <c r="D80" t="s">
        <v>11</v>
      </c>
      <c r="E80">
        <v>1</v>
      </c>
      <c r="F80">
        <v>2</v>
      </c>
      <c r="G80">
        <v>43</v>
      </c>
      <c r="H80" s="2">
        <v>44244.731608796297</v>
      </c>
    </row>
    <row r="81" spans="1:8" ht="14.25" customHeight="1" x14ac:dyDescent="0.3">
      <c r="A81">
        <v>1359857</v>
      </c>
      <c r="B81" t="s">
        <v>4440</v>
      </c>
      <c r="C81" s="1" t="s">
        <v>4441</v>
      </c>
      <c r="D81" t="s">
        <v>11</v>
      </c>
      <c r="E81">
        <v>1</v>
      </c>
      <c r="F81">
        <v>1</v>
      </c>
      <c r="G81">
        <v>41</v>
      </c>
      <c r="H81" s="2">
        <v>44244.733287037037</v>
      </c>
    </row>
    <row r="82" spans="1:8" ht="14.25" customHeight="1" x14ac:dyDescent="0.3">
      <c r="A82">
        <v>1360255</v>
      </c>
      <c r="B82" t="s">
        <v>4442</v>
      </c>
      <c r="C82" s="1" t="s">
        <v>4443</v>
      </c>
      <c r="D82" t="s">
        <v>11</v>
      </c>
      <c r="E82">
        <v>1</v>
      </c>
      <c r="F82">
        <v>1</v>
      </c>
      <c r="G82">
        <v>43</v>
      </c>
      <c r="H82" s="2">
        <v>44244.735347222224</v>
      </c>
    </row>
    <row r="83" spans="1:8" ht="14.25" customHeight="1" x14ac:dyDescent="0.3">
      <c r="A83">
        <v>1360271</v>
      </c>
      <c r="B83" t="s">
        <v>4444</v>
      </c>
      <c r="C83" s="1" t="s">
        <v>4445</v>
      </c>
      <c r="D83" t="s">
        <v>11</v>
      </c>
      <c r="E83">
        <v>1</v>
      </c>
      <c r="F83">
        <v>1</v>
      </c>
      <c r="G83">
        <v>43</v>
      </c>
      <c r="H83" s="2">
        <v>44244.744039351855</v>
      </c>
    </row>
    <row r="84" spans="1:8" ht="14.25" customHeight="1" x14ac:dyDescent="0.3">
      <c r="A84">
        <v>1360817</v>
      </c>
      <c r="B84" t="s">
        <v>4446</v>
      </c>
      <c r="C84" s="1" t="s">
        <v>4447</v>
      </c>
      <c r="D84" t="s">
        <v>11</v>
      </c>
      <c r="E84">
        <v>1</v>
      </c>
      <c r="F84">
        <v>1</v>
      </c>
      <c r="G84">
        <v>43</v>
      </c>
      <c r="H84" s="2">
        <v>44244.979409722226</v>
      </c>
    </row>
    <row r="85" spans="1:8" ht="14.25" customHeight="1" x14ac:dyDescent="0.3">
      <c r="A85">
        <v>1360141</v>
      </c>
      <c r="B85" t="e">
        <f>- need vehicle tracking in autocad</f>
        <v>#NAME?</v>
      </c>
      <c r="C85" s="1" t="s">
        <v>4448</v>
      </c>
      <c r="D85" t="s">
        <v>11</v>
      </c>
      <c r="E85">
        <v>1</v>
      </c>
      <c r="F85">
        <v>2</v>
      </c>
      <c r="G85">
        <v>41</v>
      </c>
      <c r="H85" s="2">
        <v>44244.980439814812</v>
      </c>
    </row>
    <row r="86" spans="1:8" ht="14.25" customHeight="1" x14ac:dyDescent="0.3">
      <c r="A86">
        <v>1360329</v>
      </c>
      <c r="B86" t="s">
        <v>4449</v>
      </c>
      <c r="C86" t="s">
        <v>4450</v>
      </c>
      <c r="D86" t="s">
        <v>11</v>
      </c>
      <c r="E86">
        <v>2</v>
      </c>
      <c r="F86">
        <v>2</v>
      </c>
      <c r="G86">
        <v>41</v>
      </c>
      <c r="H86" s="2">
        <v>44244.980763888889</v>
      </c>
    </row>
    <row r="87" spans="1:8" ht="14.25" customHeight="1" x14ac:dyDescent="0.3">
      <c r="A87">
        <v>1359013</v>
      </c>
      <c r="B87" t="s">
        <v>4451</v>
      </c>
      <c r="C87" s="1" t="s">
        <v>4452</v>
      </c>
      <c r="D87" t="s">
        <v>11</v>
      </c>
      <c r="E87">
        <v>1</v>
      </c>
      <c r="F87">
        <v>1</v>
      </c>
      <c r="G87">
        <v>36</v>
      </c>
      <c r="H87" s="2">
        <v>44244.981076388889</v>
      </c>
    </row>
    <row r="88" spans="1:8" ht="14.25" customHeight="1" x14ac:dyDescent="0.3">
      <c r="A88">
        <v>1360260</v>
      </c>
      <c r="B88" t="s">
        <v>4453</v>
      </c>
      <c r="C88" s="1" t="s">
        <v>4454</v>
      </c>
      <c r="D88" t="s">
        <v>11</v>
      </c>
      <c r="E88">
        <v>1</v>
      </c>
      <c r="F88">
        <v>1</v>
      </c>
      <c r="G88">
        <v>43</v>
      </c>
      <c r="H88" s="2">
        <v>44244.98159722222</v>
      </c>
    </row>
    <row r="89" spans="1:8" ht="14.25" customHeight="1" x14ac:dyDescent="0.3">
      <c r="A89">
        <v>1358999</v>
      </c>
      <c r="B89" t="e">
        <f>- re: notice of upcoming new hire - eric vansronsen</f>
        <v>#NAME?</v>
      </c>
      <c r="C89" s="1" t="s">
        <v>4455</v>
      </c>
      <c r="D89" t="s">
        <v>11</v>
      </c>
      <c r="E89">
        <v>1</v>
      </c>
      <c r="F89">
        <v>1</v>
      </c>
      <c r="G89">
        <v>43</v>
      </c>
      <c r="H89" s="2">
        <v>44244.982060185182</v>
      </c>
    </row>
    <row r="90" spans="1:8" ht="14.25" customHeight="1" x14ac:dyDescent="0.3">
      <c r="A90">
        <v>1360185</v>
      </c>
      <c r="B90" t="e">
        <f>- missing sophos</f>
        <v>#NAME?</v>
      </c>
      <c r="C90" s="1" t="s">
        <v>4456</v>
      </c>
      <c r="D90" t="s">
        <v>24</v>
      </c>
      <c r="E90">
        <v>1</v>
      </c>
      <c r="F90">
        <v>1</v>
      </c>
      <c r="G90">
        <v>43</v>
      </c>
      <c r="H90" s="2">
        <v>44244.982291666667</v>
      </c>
    </row>
    <row r="91" spans="1:8" ht="14.25" customHeight="1" x14ac:dyDescent="0.3">
      <c r="A91">
        <v>1360193</v>
      </c>
      <c r="B91" t="e">
        <f>- office move at bowness community centre location</f>
        <v>#NAME?</v>
      </c>
      <c r="C91" s="1" t="s">
        <v>4457</v>
      </c>
      <c r="D91" t="s">
        <v>24</v>
      </c>
      <c r="E91">
        <v>2</v>
      </c>
      <c r="F91">
        <v>1</v>
      </c>
      <c r="G91">
        <v>43</v>
      </c>
      <c r="H91" s="2">
        <v>44244.982847222222</v>
      </c>
    </row>
    <row r="92" spans="1:8" ht="14.25" customHeight="1" x14ac:dyDescent="0.3">
      <c r="A92">
        <v>1360300</v>
      </c>
      <c r="B92" t="s">
        <v>4458</v>
      </c>
      <c r="C92" s="1" t="s">
        <v>4459</v>
      </c>
      <c r="D92" t="s">
        <v>11</v>
      </c>
      <c r="E92">
        <v>1</v>
      </c>
      <c r="F92">
        <v>2</v>
      </c>
      <c r="G92">
        <v>41</v>
      </c>
      <c r="H92" s="2">
        <v>44244.983136574076</v>
      </c>
    </row>
    <row r="93" spans="1:8" ht="14.25" customHeight="1" x14ac:dyDescent="0.3">
      <c r="A93">
        <v>1359870</v>
      </c>
      <c r="B93" t="s">
        <v>4460</v>
      </c>
      <c r="C93" t="s">
        <v>4329</v>
      </c>
      <c r="D93" t="s">
        <v>462</v>
      </c>
      <c r="E93">
        <v>1</v>
      </c>
      <c r="F93">
        <v>1</v>
      </c>
      <c r="G93">
        <v>36</v>
      </c>
      <c r="H93" s="2">
        <v>44244.983356481483</v>
      </c>
    </row>
    <row r="94" spans="1:8" ht="14.25" customHeight="1" x14ac:dyDescent="0.3">
      <c r="A94">
        <v>1358990</v>
      </c>
      <c r="B94" t="e">
        <f>- E3 license</f>
        <v>#NAME?</v>
      </c>
      <c r="C94" s="1" t="s">
        <v>4461</v>
      </c>
      <c r="D94" t="s">
        <v>24</v>
      </c>
      <c r="E94">
        <v>1</v>
      </c>
      <c r="F94">
        <v>1</v>
      </c>
      <c r="G94">
        <v>36</v>
      </c>
      <c r="H94" s="2">
        <v>44244.983587962961</v>
      </c>
    </row>
    <row r="95" spans="1:8" ht="14.25" customHeight="1" x14ac:dyDescent="0.3">
      <c r="A95">
        <v>1359007</v>
      </c>
      <c r="B95" t="s">
        <v>4451</v>
      </c>
      <c r="C95" s="1" t="s">
        <v>4462</v>
      </c>
      <c r="D95" t="s">
        <v>11</v>
      </c>
      <c r="E95">
        <v>1</v>
      </c>
      <c r="F95">
        <v>1</v>
      </c>
      <c r="G95">
        <v>36</v>
      </c>
      <c r="H95" s="2">
        <v>44244.983761574076</v>
      </c>
    </row>
    <row r="96" spans="1:8" ht="14.25" customHeight="1" x14ac:dyDescent="0.3">
      <c r="A96">
        <v>1358997</v>
      </c>
      <c r="B96" t="e">
        <f>- notice of upcoming new hire - lori shortreed</f>
        <v>#NAME?</v>
      </c>
      <c r="C96" s="1" t="s">
        <v>4463</v>
      </c>
      <c r="D96" t="s">
        <v>11</v>
      </c>
      <c r="E96">
        <v>1</v>
      </c>
      <c r="F96">
        <v>1</v>
      </c>
      <c r="G96">
        <v>43</v>
      </c>
      <c r="H96" s="2">
        <v>44244.984016203707</v>
      </c>
    </row>
    <row r="97" spans="1:8" ht="14.25" customHeight="1" x14ac:dyDescent="0.3">
      <c r="A97">
        <v>1358993</v>
      </c>
      <c r="B97" t="e">
        <f>- notice of upcoming new hire - eric vansronsen</f>
        <v>#NAME?</v>
      </c>
      <c r="C97" s="1" t="s">
        <v>4464</v>
      </c>
      <c r="D97" t="s">
        <v>11</v>
      </c>
      <c r="E97">
        <v>1</v>
      </c>
      <c r="F97">
        <v>1</v>
      </c>
      <c r="G97">
        <v>43</v>
      </c>
      <c r="H97" s="2">
        <v>44244.984155092592</v>
      </c>
    </row>
    <row r="98" spans="1:8" ht="14.25" customHeight="1" x14ac:dyDescent="0.3">
      <c r="A98">
        <v>1358986</v>
      </c>
      <c r="B98" t="s">
        <v>4465</v>
      </c>
      <c r="C98" s="1" t="s">
        <v>4466</v>
      </c>
      <c r="D98" t="s">
        <v>11</v>
      </c>
      <c r="E98">
        <v>1</v>
      </c>
      <c r="F98">
        <v>1</v>
      </c>
      <c r="G98">
        <v>36</v>
      </c>
      <c r="H98" s="2">
        <v>44244.984375</v>
      </c>
    </row>
    <row r="99" spans="1:8" ht="14.25" customHeight="1" x14ac:dyDescent="0.3">
      <c r="A99">
        <v>1360158</v>
      </c>
      <c r="B99" t="s">
        <v>4467</v>
      </c>
      <c r="C99" s="1" t="s">
        <v>4468</v>
      </c>
      <c r="D99" t="s">
        <v>24</v>
      </c>
      <c r="E99">
        <v>2</v>
      </c>
      <c r="F99">
        <v>1</v>
      </c>
      <c r="G99">
        <v>41</v>
      </c>
      <c r="H99" s="2">
        <v>44244.985023148147</v>
      </c>
    </row>
    <row r="100" spans="1:8" ht="14.25" customHeight="1" x14ac:dyDescent="0.3">
      <c r="A100">
        <v>1360250</v>
      </c>
      <c r="B100" t="e">
        <f>- nunavut planning commission - backup settings review</f>
        <v>#NAME?</v>
      </c>
      <c r="C100" s="1" t="s">
        <v>4469</v>
      </c>
      <c r="D100" t="s">
        <v>24</v>
      </c>
      <c r="E100">
        <v>1</v>
      </c>
      <c r="F100">
        <v>1</v>
      </c>
      <c r="G100">
        <v>43</v>
      </c>
      <c r="H100" s="2">
        <v>44244.985219907408</v>
      </c>
    </row>
    <row r="101" spans="1:8" ht="14.25" customHeight="1" x14ac:dyDescent="0.3">
      <c r="A101">
        <v>1359039</v>
      </c>
      <c r="B101" t="s">
        <v>4470</v>
      </c>
      <c r="C101" t="s">
        <v>4329</v>
      </c>
      <c r="D101" t="s">
        <v>462</v>
      </c>
      <c r="E101">
        <v>1</v>
      </c>
      <c r="F101">
        <v>1</v>
      </c>
      <c r="G101">
        <v>36</v>
      </c>
      <c r="H101" s="2">
        <v>44244.985335648147</v>
      </c>
    </row>
    <row r="102" spans="1:8" ht="14.25" customHeight="1" x14ac:dyDescent="0.3">
      <c r="A102">
        <v>1360322</v>
      </c>
      <c r="B102" t="e">
        <f>- no access to all staff general folder</f>
        <v>#NAME?</v>
      </c>
      <c r="C102" s="1" t="s">
        <v>4471</v>
      </c>
      <c r="D102" t="s">
        <v>24</v>
      </c>
      <c r="E102">
        <v>1</v>
      </c>
      <c r="F102">
        <v>2</v>
      </c>
      <c r="G102">
        <v>41</v>
      </c>
      <c r="H102" s="2">
        <v>44244.985995370371</v>
      </c>
    </row>
    <row r="103" spans="1:8" ht="14.25" customHeight="1" x14ac:dyDescent="0.3">
      <c r="A103">
        <v>1360737</v>
      </c>
      <c r="B103" t="e">
        <f>- pos machine says no ethernet connection</f>
        <v>#NAME?</v>
      </c>
      <c r="C103" s="1" t="s">
        <v>4472</v>
      </c>
      <c r="D103" t="s">
        <v>11</v>
      </c>
      <c r="E103">
        <v>3</v>
      </c>
      <c r="F103">
        <v>3</v>
      </c>
      <c r="G103">
        <v>41</v>
      </c>
      <c r="H103" s="2">
        <v>44244.986215277779</v>
      </c>
    </row>
    <row r="104" spans="1:8" ht="14.25" customHeight="1" x14ac:dyDescent="0.3">
      <c r="A104">
        <v>1360155</v>
      </c>
      <c r="B104" t="s">
        <v>4473</v>
      </c>
      <c r="C104" s="1" t="s">
        <v>4474</v>
      </c>
      <c r="D104" t="s">
        <v>11</v>
      </c>
      <c r="E104">
        <v>1</v>
      </c>
      <c r="F104">
        <v>1</v>
      </c>
      <c r="G104">
        <v>43</v>
      </c>
      <c r="H104" s="2">
        <v>44244.987974537034</v>
      </c>
    </row>
    <row r="105" spans="1:8" ht="14.25" customHeight="1" x14ac:dyDescent="0.3">
      <c r="A105">
        <v>1359297</v>
      </c>
      <c r="B105" t="s">
        <v>4475</v>
      </c>
      <c r="C105" s="1" t="s">
        <v>4476</v>
      </c>
      <c r="D105" t="s">
        <v>11</v>
      </c>
      <c r="E105">
        <v>2</v>
      </c>
      <c r="F105">
        <v>2</v>
      </c>
      <c r="G105">
        <v>41</v>
      </c>
      <c r="H105" s="2">
        <v>44244.988298611112</v>
      </c>
    </row>
    <row r="106" spans="1:8" ht="14.25" customHeight="1" x14ac:dyDescent="0.3">
      <c r="A106">
        <v>1358917</v>
      </c>
      <c r="B106" t="e">
        <f>- phishing email</f>
        <v>#NAME?</v>
      </c>
      <c r="C106" s="1" t="s">
        <v>4477</v>
      </c>
      <c r="D106" t="s">
        <v>11</v>
      </c>
      <c r="E106">
        <v>1</v>
      </c>
      <c r="F106">
        <v>1</v>
      </c>
      <c r="G106">
        <v>41</v>
      </c>
      <c r="H106" s="2">
        <v>44244.988611111112</v>
      </c>
    </row>
    <row r="107" spans="1:8" ht="14.25" customHeight="1" x14ac:dyDescent="0.3">
      <c r="A107">
        <v>1360284</v>
      </c>
      <c r="B107" t="s">
        <v>4478</v>
      </c>
      <c r="C107" s="1" t="s">
        <v>4479</v>
      </c>
      <c r="D107" t="s">
        <v>11</v>
      </c>
      <c r="E107">
        <v>3</v>
      </c>
      <c r="F107">
        <v>1</v>
      </c>
      <c r="G107">
        <v>41</v>
      </c>
      <c r="H107" s="2">
        <v>44244.992951388886</v>
      </c>
    </row>
    <row r="108" spans="1:8" ht="14.25" customHeight="1" x14ac:dyDescent="0.3">
      <c r="A108">
        <v>1358944</v>
      </c>
      <c r="B108" t="e">
        <f>- nd internal need a cable run from patch panel to switch</f>
        <v>#NAME?</v>
      </c>
      <c r="C108" s="1" t="s">
        <v>4480</v>
      </c>
      <c r="D108" t="s">
        <v>24</v>
      </c>
      <c r="E108">
        <v>1</v>
      </c>
      <c r="F108">
        <v>1</v>
      </c>
      <c r="G108">
        <v>43</v>
      </c>
      <c r="H108" s="2">
        <v>44244.99391203704</v>
      </c>
    </row>
    <row r="109" spans="1:8" ht="14.25" customHeight="1" x14ac:dyDescent="0.3">
      <c r="A109">
        <v>1359040</v>
      </c>
      <c r="B109" t="s">
        <v>4481</v>
      </c>
      <c r="C109" t="s">
        <v>4329</v>
      </c>
      <c r="D109" t="s">
        <v>462</v>
      </c>
      <c r="E109">
        <v>1</v>
      </c>
      <c r="F109">
        <v>1</v>
      </c>
      <c r="G109">
        <v>36</v>
      </c>
      <c r="H109" s="2">
        <v>44244.994293981479</v>
      </c>
    </row>
    <row r="110" spans="1:8" ht="14.25" customHeight="1" x14ac:dyDescent="0.3">
      <c r="A110">
        <v>1358983</v>
      </c>
      <c r="B110" t="s">
        <v>4482</v>
      </c>
      <c r="C110" s="1" t="s">
        <v>4483</v>
      </c>
      <c r="D110" t="s">
        <v>11</v>
      </c>
      <c r="E110">
        <v>1</v>
      </c>
      <c r="F110">
        <v>1</v>
      </c>
      <c r="G110">
        <v>43</v>
      </c>
      <c r="H110" s="2">
        <v>44244.997037037036</v>
      </c>
    </row>
    <row r="111" spans="1:8" ht="14.25" customHeight="1" x14ac:dyDescent="0.3">
      <c r="A111">
        <v>1358982</v>
      </c>
      <c r="B111" t="s">
        <v>4484</v>
      </c>
      <c r="C111" s="1" t="s">
        <v>4485</v>
      </c>
      <c r="D111" t="s">
        <v>11</v>
      </c>
      <c r="E111">
        <v>1</v>
      </c>
      <c r="F111">
        <v>1</v>
      </c>
      <c r="G111">
        <v>43</v>
      </c>
      <c r="H111" s="2">
        <v>44244.99796296296</v>
      </c>
    </row>
    <row r="112" spans="1:8" ht="14.25" customHeight="1" x14ac:dyDescent="0.3">
      <c r="A112">
        <v>1358847</v>
      </c>
      <c r="B112" t="e">
        <f>- excel issues</f>
        <v>#NAME?</v>
      </c>
      <c r="C112" s="1" t="s">
        <v>4486</v>
      </c>
      <c r="D112" t="s">
        <v>11</v>
      </c>
      <c r="E112">
        <v>1</v>
      </c>
      <c r="F112">
        <v>2</v>
      </c>
      <c r="G112">
        <v>41</v>
      </c>
      <c r="H112" s="2">
        <v>44245.004675925928</v>
      </c>
    </row>
    <row r="113" spans="1:8" ht="14.25" customHeight="1" x14ac:dyDescent="0.3">
      <c r="A113">
        <v>1358401</v>
      </c>
      <c r="B113" t="s">
        <v>4487</v>
      </c>
      <c r="C113" s="1" t="s">
        <v>4488</v>
      </c>
      <c r="D113" t="s">
        <v>11</v>
      </c>
      <c r="E113">
        <v>1</v>
      </c>
      <c r="F113">
        <v>1</v>
      </c>
      <c r="G113">
        <v>43</v>
      </c>
      <c r="H113" s="2">
        <v>44245.007141203707</v>
      </c>
    </row>
    <row r="114" spans="1:8" ht="14.25" customHeight="1" x14ac:dyDescent="0.3">
      <c r="A114">
        <v>1359871</v>
      </c>
      <c r="B114" t="s">
        <v>4460</v>
      </c>
      <c r="C114" t="s">
        <v>4329</v>
      </c>
      <c r="D114" t="s">
        <v>462</v>
      </c>
      <c r="E114">
        <v>1</v>
      </c>
      <c r="F114">
        <v>1</v>
      </c>
      <c r="G114">
        <v>36</v>
      </c>
      <c r="H114" s="2">
        <v>44245.007986111108</v>
      </c>
    </row>
    <row r="115" spans="1:8" ht="14.25" customHeight="1" x14ac:dyDescent="0.3">
      <c r="A115">
        <v>1359028</v>
      </c>
      <c r="B115" t="s">
        <v>4489</v>
      </c>
      <c r="C115" s="1" t="s">
        <v>4490</v>
      </c>
      <c r="D115" t="s">
        <v>11</v>
      </c>
      <c r="E115">
        <v>1</v>
      </c>
      <c r="F115">
        <v>1</v>
      </c>
      <c r="G115">
        <v>36</v>
      </c>
      <c r="H115" s="2">
        <v>44245.008622685185</v>
      </c>
    </row>
    <row r="116" spans="1:8" ht="14.25" customHeight="1" x14ac:dyDescent="0.3">
      <c r="A116">
        <v>1358393</v>
      </c>
      <c r="B116" t="s">
        <v>4491</v>
      </c>
      <c r="C116" s="1" t="s">
        <v>4492</v>
      </c>
      <c r="D116" t="s">
        <v>24</v>
      </c>
      <c r="E116">
        <v>1</v>
      </c>
      <c r="F116">
        <v>1</v>
      </c>
      <c r="G116">
        <v>36</v>
      </c>
      <c r="H116" s="2">
        <v>44245.009525462963</v>
      </c>
    </row>
    <row r="117" spans="1:8" ht="14.25" customHeight="1" x14ac:dyDescent="0.3">
      <c r="A117">
        <v>1358387</v>
      </c>
      <c r="B117" t="s">
        <v>4493</v>
      </c>
      <c r="C117" s="1" t="s">
        <v>4494</v>
      </c>
      <c r="D117" t="s">
        <v>11</v>
      </c>
      <c r="E117">
        <v>1</v>
      </c>
      <c r="F117">
        <v>1</v>
      </c>
      <c r="G117">
        <v>43</v>
      </c>
      <c r="H117" s="2">
        <v>44245.014722222222</v>
      </c>
    </row>
    <row r="118" spans="1:8" ht="14.25" customHeight="1" x14ac:dyDescent="0.3">
      <c r="A118">
        <v>1358413</v>
      </c>
      <c r="B118">
        <v>1352780</v>
      </c>
      <c r="C118" s="1" t="s">
        <v>4495</v>
      </c>
      <c r="D118" t="s">
        <v>11</v>
      </c>
      <c r="E118">
        <v>1</v>
      </c>
      <c r="F118">
        <v>1</v>
      </c>
      <c r="G118">
        <v>41</v>
      </c>
      <c r="H118" s="2">
        <v>44245.018159722225</v>
      </c>
    </row>
    <row r="119" spans="1:8" ht="14.25" customHeight="1" x14ac:dyDescent="0.3">
      <c r="A119">
        <v>1358846</v>
      </c>
      <c r="B119" t="e">
        <f>- cant gte my cdk intellidealer to open</f>
        <v>#NAME?</v>
      </c>
      <c r="C119" s="1" t="s">
        <v>4496</v>
      </c>
      <c r="D119" t="s">
        <v>24</v>
      </c>
      <c r="E119">
        <v>1</v>
      </c>
      <c r="F119">
        <v>3</v>
      </c>
      <c r="G119">
        <v>41</v>
      </c>
      <c r="H119" s="2">
        <v>44245.01840277778</v>
      </c>
    </row>
    <row r="120" spans="1:8" ht="14.25" customHeight="1" x14ac:dyDescent="0.3">
      <c r="A120">
        <v>1358891</v>
      </c>
      <c r="B120" t="s">
        <v>4497</v>
      </c>
      <c r="C120" s="1" t="s">
        <v>4498</v>
      </c>
      <c r="D120" t="s">
        <v>11</v>
      </c>
      <c r="E120">
        <v>1</v>
      </c>
      <c r="F120">
        <v>1</v>
      </c>
      <c r="G120">
        <v>36</v>
      </c>
      <c r="H120" s="2">
        <v>44245.020983796298</v>
      </c>
    </row>
    <row r="121" spans="1:8" ht="14.25" customHeight="1" x14ac:dyDescent="0.3">
      <c r="A121">
        <v>1358362</v>
      </c>
      <c r="B121">
        <v>1273041</v>
      </c>
      <c r="C121" s="1" t="s">
        <v>4499</v>
      </c>
      <c r="D121" t="s">
        <v>11</v>
      </c>
      <c r="E121">
        <v>1</v>
      </c>
      <c r="F121">
        <v>1</v>
      </c>
      <c r="G121">
        <v>41</v>
      </c>
      <c r="H121" s="2">
        <v>44245.032407407409</v>
      </c>
    </row>
    <row r="122" spans="1:8" ht="14.25" customHeight="1" x14ac:dyDescent="0.3">
      <c r="A122">
        <v>1358357</v>
      </c>
      <c r="B122">
        <v>1357016</v>
      </c>
      <c r="C122" s="1" t="s">
        <v>4500</v>
      </c>
      <c r="D122" t="s">
        <v>24</v>
      </c>
      <c r="E122">
        <v>1</v>
      </c>
      <c r="F122">
        <v>1</v>
      </c>
      <c r="G122">
        <v>41</v>
      </c>
      <c r="H122" s="2">
        <v>44245.033009259256</v>
      </c>
    </row>
    <row r="123" spans="1:8" ht="14.25" customHeight="1" x14ac:dyDescent="0.3">
      <c r="A123">
        <v>1358442</v>
      </c>
      <c r="B123" t="s">
        <v>4501</v>
      </c>
      <c r="C123" t="s">
        <v>4329</v>
      </c>
      <c r="D123" t="s">
        <v>462</v>
      </c>
      <c r="E123">
        <v>1</v>
      </c>
      <c r="F123">
        <v>1</v>
      </c>
      <c r="G123">
        <v>36</v>
      </c>
      <c r="H123" s="2">
        <v>44245.033206018517</v>
      </c>
    </row>
    <row r="124" spans="1:8" ht="14.25" customHeight="1" x14ac:dyDescent="0.3">
      <c r="A124">
        <v>1358342</v>
      </c>
      <c r="B124" t="e">
        <f>- printer setting</f>
        <v>#NAME?</v>
      </c>
      <c r="C124" s="1" t="s">
        <v>4502</v>
      </c>
      <c r="D124" t="s">
        <v>24</v>
      </c>
      <c r="E124">
        <v>1</v>
      </c>
      <c r="F124">
        <v>1</v>
      </c>
      <c r="G124">
        <v>43</v>
      </c>
      <c r="H124" s="2">
        <v>44245.039340277777</v>
      </c>
    </row>
    <row r="125" spans="1:8" ht="14.25" customHeight="1" x14ac:dyDescent="0.3">
      <c r="A125">
        <v>1358399</v>
      </c>
      <c r="B125" t="s">
        <v>4503</v>
      </c>
      <c r="C125" s="1" t="s">
        <v>4504</v>
      </c>
      <c r="D125" t="s">
        <v>11</v>
      </c>
      <c r="E125">
        <v>1</v>
      </c>
      <c r="F125">
        <v>1</v>
      </c>
      <c r="G125">
        <v>36</v>
      </c>
      <c r="H125" s="2">
        <v>44245.039537037039</v>
      </c>
    </row>
    <row r="126" spans="1:8" ht="14.25" customHeight="1" x14ac:dyDescent="0.3">
      <c r="A126">
        <v>1358949</v>
      </c>
      <c r="B126" t="s">
        <v>4505</v>
      </c>
      <c r="C126" s="1" t="s">
        <v>4506</v>
      </c>
      <c r="D126" t="s">
        <v>11</v>
      </c>
      <c r="E126">
        <v>3</v>
      </c>
      <c r="F126">
        <v>3</v>
      </c>
      <c r="G126">
        <v>43</v>
      </c>
      <c r="H126" s="2">
        <v>44245.040324074071</v>
      </c>
    </row>
    <row r="127" spans="1:8" ht="14.25" customHeight="1" x14ac:dyDescent="0.3">
      <c r="A127">
        <v>1358379</v>
      </c>
      <c r="B127" t="e">
        <f>- need to change password</f>
        <v>#NAME?</v>
      </c>
      <c r="C127" s="1" t="s">
        <v>4507</v>
      </c>
      <c r="D127" t="s">
        <v>24</v>
      </c>
      <c r="E127">
        <v>1</v>
      </c>
      <c r="F127">
        <v>1</v>
      </c>
      <c r="G127">
        <v>43</v>
      </c>
      <c r="H127" s="2">
        <v>44245.713391203702</v>
      </c>
    </row>
    <row r="128" spans="1:8" ht="14.25" customHeight="1" x14ac:dyDescent="0.3">
      <c r="A128">
        <v>1358956</v>
      </c>
      <c r="B128" t="e">
        <f>- access to two employees outlook mailboxes from microsoft office portal</f>
        <v>#NAME?</v>
      </c>
      <c r="C128" s="1" t="s">
        <v>4508</v>
      </c>
      <c r="D128" t="s">
        <v>11</v>
      </c>
      <c r="E128">
        <v>1</v>
      </c>
      <c r="F128">
        <v>1</v>
      </c>
      <c r="G128">
        <v>43</v>
      </c>
      <c r="H128" s="2">
        <v>44245.713784722226</v>
      </c>
    </row>
    <row r="129" spans="1:8" ht="14.25" customHeight="1" x14ac:dyDescent="0.3">
      <c r="A129">
        <v>1358358</v>
      </c>
      <c r="B129" t="s">
        <v>4509</v>
      </c>
      <c r="C129" s="1" t="s">
        <v>4510</v>
      </c>
      <c r="D129" t="s">
        <v>11</v>
      </c>
      <c r="E129">
        <v>1</v>
      </c>
      <c r="F129">
        <v>1</v>
      </c>
      <c r="G129">
        <v>36</v>
      </c>
      <c r="H129" s="2">
        <v>44245.714166666665</v>
      </c>
    </row>
    <row r="130" spans="1:8" ht="14.25" customHeight="1" x14ac:dyDescent="0.3">
      <c r="A130">
        <v>1359004</v>
      </c>
      <c r="B130" t="s">
        <v>4511</v>
      </c>
      <c r="C130" s="1" t="s">
        <v>4512</v>
      </c>
      <c r="D130" t="s">
        <v>11</v>
      </c>
      <c r="E130">
        <v>1</v>
      </c>
      <c r="F130">
        <v>1</v>
      </c>
      <c r="G130">
        <v>43</v>
      </c>
      <c r="H130" s="2">
        <v>44245.714560185188</v>
      </c>
    </row>
    <row r="131" spans="1:8" ht="14.25" customHeight="1" x14ac:dyDescent="0.3">
      <c r="A131">
        <v>1358386</v>
      </c>
      <c r="B131" t="e">
        <f>- assistance to open a file saved from a disc</f>
        <v>#NAME?</v>
      </c>
      <c r="C131" s="1" t="s">
        <v>4513</v>
      </c>
      <c r="D131" t="s">
        <v>24</v>
      </c>
      <c r="E131">
        <v>1</v>
      </c>
      <c r="F131">
        <v>2</v>
      </c>
      <c r="G131">
        <v>43</v>
      </c>
      <c r="H131" s="2">
        <v>44245.71503472222</v>
      </c>
    </row>
    <row r="132" spans="1:8" ht="14.25" customHeight="1" x14ac:dyDescent="0.3">
      <c r="A132">
        <v>1358335</v>
      </c>
      <c r="B132" t="s">
        <v>4514</v>
      </c>
      <c r="C132" s="1" t="s">
        <v>4515</v>
      </c>
      <c r="D132" t="s">
        <v>24</v>
      </c>
      <c r="E132">
        <v>1</v>
      </c>
      <c r="F132">
        <v>1</v>
      </c>
      <c r="G132">
        <v>43</v>
      </c>
      <c r="H132" s="2">
        <v>44245.715937499997</v>
      </c>
    </row>
    <row r="133" spans="1:8" ht="14.25" customHeight="1" x14ac:dyDescent="0.3">
      <c r="A133">
        <v>1358907</v>
      </c>
      <c r="B133" t="e">
        <f>- sage accounting software upgrade</f>
        <v>#NAME?</v>
      </c>
      <c r="C133" s="1" t="s">
        <v>4516</v>
      </c>
      <c r="D133" t="s">
        <v>24</v>
      </c>
      <c r="E133">
        <v>1</v>
      </c>
      <c r="F133">
        <v>2</v>
      </c>
      <c r="G133">
        <v>43</v>
      </c>
      <c r="H133" s="2">
        <v>44245.716261574074</v>
      </c>
    </row>
    <row r="134" spans="1:8" ht="14.25" customHeight="1" x14ac:dyDescent="0.3">
      <c r="A134">
        <v>1358545</v>
      </c>
      <c r="B134" t="s">
        <v>4517</v>
      </c>
      <c r="C134" s="1" t="s">
        <v>4518</v>
      </c>
      <c r="D134" t="s">
        <v>11</v>
      </c>
      <c r="E134">
        <v>2</v>
      </c>
      <c r="F134">
        <v>2</v>
      </c>
      <c r="G134">
        <v>43</v>
      </c>
      <c r="H134" s="2">
        <v>44245.716539351852</v>
      </c>
    </row>
    <row r="135" spans="1:8" ht="14.25" customHeight="1" x14ac:dyDescent="0.3">
      <c r="A135">
        <v>1358317</v>
      </c>
      <c r="B135" t="e">
        <f>- update signature</f>
        <v>#NAME?</v>
      </c>
      <c r="C135" s="1" t="s">
        <v>4519</v>
      </c>
      <c r="D135" t="s">
        <v>24</v>
      </c>
      <c r="E135">
        <v>1</v>
      </c>
      <c r="F135">
        <v>1</v>
      </c>
      <c r="G135">
        <v>43</v>
      </c>
      <c r="H135" s="2">
        <v>44245.71670138889</v>
      </c>
    </row>
    <row r="136" spans="1:8" ht="14.25" customHeight="1" x14ac:dyDescent="0.3">
      <c r="A136">
        <v>1358352</v>
      </c>
      <c r="B136" t="s">
        <v>4520</v>
      </c>
      <c r="C136" s="1" t="s">
        <v>4521</v>
      </c>
      <c r="D136" t="s">
        <v>11</v>
      </c>
      <c r="E136">
        <v>1</v>
      </c>
      <c r="F136">
        <v>2</v>
      </c>
      <c r="G136">
        <v>41</v>
      </c>
      <c r="H136" s="2">
        <v>44245.716828703706</v>
      </c>
    </row>
    <row r="137" spans="1:8" ht="14.25" customHeight="1" x14ac:dyDescent="0.3">
      <c r="A137">
        <v>1358372</v>
      </c>
      <c r="B137" t="e">
        <f>- laptop very slow to or will not start up</f>
        <v>#NAME?</v>
      </c>
      <c r="C137" s="1" t="s">
        <v>4522</v>
      </c>
      <c r="D137" t="s">
        <v>24</v>
      </c>
      <c r="E137">
        <v>1</v>
      </c>
      <c r="F137">
        <v>2</v>
      </c>
      <c r="G137">
        <v>41</v>
      </c>
      <c r="H137" s="2">
        <v>44245.717372685183</v>
      </c>
    </row>
    <row r="138" spans="1:8" ht="14.25" customHeight="1" x14ac:dyDescent="0.3">
      <c r="A138">
        <v>1358318</v>
      </c>
      <c r="B138" t="s">
        <v>4523</v>
      </c>
      <c r="C138" s="1" t="s">
        <v>4524</v>
      </c>
      <c r="D138" t="s">
        <v>11</v>
      </c>
      <c r="E138">
        <v>1</v>
      </c>
      <c r="F138">
        <v>1</v>
      </c>
      <c r="G138">
        <v>36</v>
      </c>
      <c r="H138" s="2">
        <v>44245.717499999999</v>
      </c>
    </row>
    <row r="139" spans="1:8" ht="14.25" customHeight="1" x14ac:dyDescent="0.3">
      <c r="A139">
        <v>1358274</v>
      </c>
      <c r="B139" t="s">
        <v>4525</v>
      </c>
      <c r="C139" s="1" t="s">
        <v>4526</v>
      </c>
      <c r="D139" t="s">
        <v>11</v>
      </c>
      <c r="E139">
        <v>2</v>
      </c>
      <c r="F139">
        <v>1</v>
      </c>
      <c r="G139">
        <v>43</v>
      </c>
      <c r="H139" s="2">
        <v>44245.717986111114</v>
      </c>
    </row>
    <row r="140" spans="1:8" ht="14.25" customHeight="1" x14ac:dyDescent="0.3">
      <c r="A140">
        <v>1358919</v>
      </c>
      <c r="B140" t="e">
        <f>- a networked piece of machinery needs to have access to a secured file location.</f>
        <v>#NAME?</v>
      </c>
      <c r="C140" s="1" t="s">
        <v>4527</v>
      </c>
      <c r="D140" t="s">
        <v>24</v>
      </c>
      <c r="E140">
        <v>1</v>
      </c>
      <c r="F140">
        <v>2</v>
      </c>
      <c r="G140">
        <v>43</v>
      </c>
      <c r="H140" s="2">
        <v>44245.718206018515</v>
      </c>
    </row>
    <row r="141" spans="1:8" ht="14.25" customHeight="1" x14ac:dyDescent="0.3">
      <c r="A141">
        <v>1358247</v>
      </c>
      <c r="B141" t="s">
        <v>4528</v>
      </c>
      <c r="C141" s="1" t="s">
        <v>4529</v>
      </c>
      <c r="D141" t="s">
        <v>11</v>
      </c>
      <c r="E141">
        <v>1</v>
      </c>
      <c r="F141">
        <v>1</v>
      </c>
      <c r="G141">
        <v>36</v>
      </c>
      <c r="H141" s="2">
        <v>44245.718344907407</v>
      </c>
    </row>
    <row r="142" spans="1:8" ht="14.25" customHeight="1" x14ac:dyDescent="0.3">
      <c r="A142">
        <v>1358994</v>
      </c>
      <c r="B142" t="s">
        <v>4530</v>
      </c>
      <c r="C142" s="1" t="s">
        <v>4531</v>
      </c>
      <c r="D142" t="s">
        <v>11</v>
      </c>
      <c r="E142">
        <v>1</v>
      </c>
      <c r="F142">
        <v>3</v>
      </c>
      <c r="G142">
        <v>43</v>
      </c>
      <c r="H142" s="2">
        <v>44245.7184837963</v>
      </c>
    </row>
    <row r="143" spans="1:8" ht="14.25" customHeight="1" x14ac:dyDescent="0.3">
      <c r="A143">
        <v>1358255</v>
      </c>
      <c r="B143" t="s">
        <v>4532</v>
      </c>
      <c r="C143" s="1" t="s">
        <v>4533</v>
      </c>
      <c r="D143" t="s">
        <v>11</v>
      </c>
      <c r="E143">
        <v>1</v>
      </c>
      <c r="F143">
        <v>1</v>
      </c>
      <c r="G143">
        <v>36</v>
      </c>
      <c r="H143" s="2">
        <v>44245.719606481478</v>
      </c>
    </row>
    <row r="144" spans="1:8" ht="14.25" customHeight="1" x14ac:dyDescent="0.3">
      <c r="A144">
        <v>1358316</v>
      </c>
      <c r="B144" t="s">
        <v>4534</v>
      </c>
      <c r="C144" s="1" t="s">
        <v>4535</v>
      </c>
      <c r="D144" t="s">
        <v>24</v>
      </c>
      <c r="E144">
        <v>1</v>
      </c>
      <c r="F144">
        <v>1</v>
      </c>
      <c r="G144">
        <v>36</v>
      </c>
      <c r="H144" s="2">
        <v>44245.720069444447</v>
      </c>
    </row>
    <row r="145" spans="1:8" ht="14.25" customHeight="1" x14ac:dyDescent="0.3">
      <c r="A145">
        <v>1357891</v>
      </c>
      <c r="B145" t="s">
        <v>4536</v>
      </c>
      <c r="C145" t="s">
        <v>4329</v>
      </c>
      <c r="D145" t="s">
        <v>462</v>
      </c>
      <c r="E145">
        <v>1</v>
      </c>
      <c r="F145">
        <v>1</v>
      </c>
      <c r="G145">
        <v>36</v>
      </c>
      <c r="H145" s="2">
        <v>44245.720185185186</v>
      </c>
    </row>
    <row r="146" spans="1:8" ht="14.25" customHeight="1" x14ac:dyDescent="0.3">
      <c r="A146">
        <v>1358256</v>
      </c>
      <c r="B146" t="s">
        <v>4537</v>
      </c>
      <c r="C146" s="1" t="s">
        <v>4538</v>
      </c>
      <c r="D146" t="s">
        <v>11</v>
      </c>
      <c r="E146">
        <v>1</v>
      </c>
      <c r="F146">
        <v>1</v>
      </c>
      <c r="G146">
        <v>43</v>
      </c>
      <c r="H146" s="2">
        <v>44245.720335648148</v>
      </c>
    </row>
    <row r="147" spans="1:8" ht="14.25" customHeight="1" x14ac:dyDescent="0.3">
      <c r="A147">
        <v>1358246</v>
      </c>
      <c r="B147" t="s">
        <v>4539</v>
      </c>
      <c r="C147" t="s">
        <v>4540</v>
      </c>
      <c r="D147" t="s">
        <v>11</v>
      </c>
      <c r="E147">
        <v>1</v>
      </c>
      <c r="F147">
        <v>1</v>
      </c>
      <c r="G147">
        <v>43</v>
      </c>
      <c r="H147" s="2">
        <v>44245.721620370372</v>
      </c>
    </row>
    <row r="148" spans="1:8" ht="14.25" customHeight="1" x14ac:dyDescent="0.3">
      <c r="A148">
        <v>1358337</v>
      </c>
      <c r="B148" t="s">
        <v>4541</v>
      </c>
      <c r="C148" s="1" t="s">
        <v>4542</v>
      </c>
      <c r="D148" t="s">
        <v>24</v>
      </c>
      <c r="E148">
        <v>1</v>
      </c>
      <c r="F148">
        <v>1</v>
      </c>
      <c r="G148">
        <v>36</v>
      </c>
      <c r="H148" s="2">
        <v>44245.722060185188</v>
      </c>
    </row>
    <row r="149" spans="1:8" ht="14.25" customHeight="1" x14ac:dyDescent="0.3">
      <c r="A149">
        <v>1358314</v>
      </c>
      <c r="B149" t="s">
        <v>4543</v>
      </c>
      <c r="C149" s="1" t="s">
        <v>4544</v>
      </c>
      <c r="D149" t="s">
        <v>11</v>
      </c>
      <c r="E149">
        <v>1</v>
      </c>
      <c r="F149">
        <v>1</v>
      </c>
      <c r="G149">
        <v>43</v>
      </c>
      <c r="H149" s="2">
        <v>44245.722581018519</v>
      </c>
    </row>
    <row r="150" spans="1:8" ht="14.25" customHeight="1" x14ac:dyDescent="0.3">
      <c r="A150">
        <v>1357892</v>
      </c>
      <c r="B150" t="s">
        <v>4545</v>
      </c>
      <c r="C150" t="s">
        <v>4329</v>
      </c>
      <c r="D150" t="s">
        <v>462</v>
      </c>
      <c r="E150">
        <v>1</v>
      </c>
      <c r="F150">
        <v>1</v>
      </c>
      <c r="G150">
        <v>36</v>
      </c>
      <c r="H150" s="2">
        <v>44245.723101851851</v>
      </c>
    </row>
    <row r="151" spans="1:8" ht="14.25" customHeight="1" x14ac:dyDescent="0.3">
      <c r="A151">
        <v>1358355</v>
      </c>
      <c r="B151" t="s">
        <v>755</v>
      </c>
      <c r="C151" s="1" t="s">
        <v>4546</v>
      </c>
      <c r="D151" t="s">
        <v>11</v>
      </c>
      <c r="E151">
        <v>1</v>
      </c>
      <c r="F151">
        <v>2</v>
      </c>
      <c r="G151">
        <v>41</v>
      </c>
      <c r="H151" s="2">
        <v>44245.72378472222</v>
      </c>
    </row>
    <row r="152" spans="1:8" ht="14.25" customHeight="1" x14ac:dyDescent="0.3">
      <c r="A152">
        <v>1357809</v>
      </c>
      <c r="B152" t="s">
        <v>4547</v>
      </c>
      <c r="C152" s="1" t="s">
        <v>4548</v>
      </c>
      <c r="D152" t="s">
        <v>11</v>
      </c>
      <c r="E152">
        <v>1</v>
      </c>
      <c r="F152">
        <v>1</v>
      </c>
      <c r="G152">
        <v>43</v>
      </c>
      <c r="H152" s="2">
        <v>44245.725601851853</v>
      </c>
    </row>
    <row r="153" spans="1:8" ht="14.25" customHeight="1" x14ac:dyDescent="0.3">
      <c r="A153">
        <v>1358887</v>
      </c>
      <c r="B153" t="e">
        <f>- microsoft office license expiration</f>
        <v>#NAME?</v>
      </c>
      <c r="C153" s="1" t="s">
        <v>4549</v>
      </c>
      <c r="D153" t="s">
        <v>11</v>
      </c>
      <c r="E153">
        <v>1</v>
      </c>
      <c r="F153">
        <v>2</v>
      </c>
      <c r="G153">
        <v>41</v>
      </c>
      <c r="H153" s="2">
        <v>44245.725937499999</v>
      </c>
    </row>
    <row r="154" spans="1:8" ht="14.25" customHeight="1" x14ac:dyDescent="0.3">
      <c r="A154">
        <v>1357860</v>
      </c>
      <c r="B154" t="e">
        <f>- create sophos account for carepros</f>
        <v>#NAME?</v>
      </c>
      <c r="C154" s="1" t="s">
        <v>4550</v>
      </c>
      <c r="D154" t="s">
        <v>24</v>
      </c>
      <c r="E154">
        <v>1</v>
      </c>
      <c r="F154">
        <v>1</v>
      </c>
      <c r="G154">
        <v>43</v>
      </c>
      <c r="H154" s="2">
        <v>44245.726435185185</v>
      </c>
    </row>
    <row r="155" spans="1:8" ht="14.25" customHeight="1" x14ac:dyDescent="0.3">
      <c r="A155">
        <v>1358331</v>
      </c>
      <c r="B155" t="e">
        <f>- grant luiza coelho permission to e4c shared folder</f>
        <v>#NAME?</v>
      </c>
      <c r="C155" s="1" t="s">
        <v>4551</v>
      </c>
      <c r="D155" t="s">
        <v>24</v>
      </c>
      <c r="E155">
        <v>1</v>
      </c>
      <c r="F155">
        <v>2</v>
      </c>
      <c r="G155">
        <v>43</v>
      </c>
      <c r="H155" s="2">
        <v>44245.733483796299</v>
      </c>
    </row>
    <row r="156" spans="1:8" ht="14.25" customHeight="1" x14ac:dyDescent="0.3">
      <c r="A156">
        <v>1358940</v>
      </c>
      <c r="B156" t="e">
        <f>- urgent: aatrix upgrade</f>
        <v>#NAME?</v>
      </c>
      <c r="C156" s="1" t="s">
        <v>4552</v>
      </c>
      <c r="D156" t="s">
        <v>11</v>
      </c>
      <c r="E156">
        <v>1</v>
      </c>
      <c r="F156">
        <v>3</v>
      </c>
      <c r="G156">
        <v>43</v>
      </c>
      <c r="H156" s="2">
        <v>44245.73505787037</v>
      </c>
    </row>
    <row r="157" spans="1:8" ht="14.25" customHeight="1" x14ac:dyDescent="0.3">
      <c r="A157">
        <v>1357755</v>
      </c>
      <c r="B157" t="e">
        <f>- teams and google meetings</f>
        <v>#NAME?</v>
      </c>
      <c r="C157" s="1" t="s">
        <v>4553</v>
      </c>
      <c r="D157" t="s">
        <v>11</v>
      </c>
      <c r="E157">
        <v>1</v>
      </c>
      <c r="F157">
        <v>2</v>
      </c>
      <c r="G157">
        <v>41</v>
      </c>
      <c r="H157" s="2">
        <v>44245.737696759257</v>
      </c>
    </row>
    <row r="158" spans="1:8" ht="14.25" customHeight="1" x14ac:dyDescent="0.3">
      <c r="A158">
        <v>1360885</v>
      </c>
      <c r="B158" t="s">
        <v>4554</v>
      </c>
      <c r="C158" s="1" t="s">
        <v>4374</v>
      </c>
      <c r="D158" t="s">
        <v>11</v>
      </c>
      <c r="E158">
        <v>1</v>
      </c>
      <c r="F158">
        <v>2</v>
      </c>
      <c r="G158">
        <v>41</v>
      </c>
      <c r="H158" s="2">
        <v>44245.738854166666</v>
      </c>
    </row>
    <row r="159" spans="1:8" ht="14.25" customHeight="1" x14ac:dyDescent="0.3">
      <c r="A159">
        <v>1358382</v>
      </c>
      <c r="B159" t="s">
        <v>4555</v>
      </c>
      <c r="C159" s="1" t="s">
        <v>4556</v>
      </c>
      <c r="D159" t="s">
        <v>11</v>
      </c>
      <c r="E159">
        <v>1</v>
      </c>
      <c r="F159">
        <v>1</v>
      </c>
      <c r="G159">
        <v>41</v>
      </c>
      <c r="H159" s="2">
        <v>44245.738912037035</v>
      </c>
    </row>
    <row r="160" spans="1:8" ht="14.25" customHeight="1" x14ac:dyDescent="0.3">
      <c r="A160">
        <v>1357811</v>
      </c>
      <c r="B160" t="s">
        <v>4557</v>
      </c>
      <c r="C160" s="1" t="s">
        <v>4558</v>
      </c>
      <c r="D160" t="s">
        <v>11</v>
      </c>
      <c r="E160">
        <v>1</v>
      </c>
      <c r="F160">
        <v>2</v>
      </c>
      <c r="G160">
        <v>41</v>
      </c>
      <c r="H160" s="2">
        <v>44245.739178240743</v>
      </c>
    </row>
    <row r="161" spans="1:8" ht="14.25" customHeight="1" x14ac:dyDescent="0.3">
      <c r="A161">
        <v>1358248</v>
      </c>
      <c r="B161" t="s">
        <v>4559</v>
      </c>
      <c r="C161" s="1" t="s">
        <v>4560</v>
      </c>
      <c r="D161" t="s">
        <v>11</v>
      </c>
      <c r="E161">
        <v>1</v>
      </c>
      <c r="F161">
        <v>1</v>
      </c>
      <c r="G161">
        <v>41</v>
      </c>
      <c r="H161" s="2">
        <v>44245.739374999997</v>
      </c>
    </row>
    <row r="162" spans="1:8" ht="14.25" customHeight="1" x14ac:dyDescent="0.3">
      <c r="A162">
        <v>1357718</v>
      </c>
      <c r="B162" t="s">
        <v>4561</v>
      </c>
      <c r="C162" s="1" t="s">
        <v>4562</v>
      </c>
      <c r="D162" t="s">
        <v>11</v>
      </c>
      <c r="E162">
        <v>1</v>
      </c>
      <c r="F162">
        <v>1</v>
      </c>
      <c r="G162">
        <v>36</v>
      </c>
      <c r="H162" s="2">
        <v>44245.740023148152</v>
      </c>
    </row>
    <row r="163" spans="1:8" ht="14.25" customHeight="1" x14ac:dyDescent="0.3">
      <c r="A163">
        <v>1357677</v>
      </c>
      <c r="B163" t="s">
        <v>4317</v>
      </c>
      <c r="C163" s="1" t="s">
        <v>4563</v>
      </c>
      <c r="D163" t="s">
        <v>11</v>
      </c>
      <c r="E163">
        <v>1</v>
      </c>
      <c r="F163">
        <v>1</v>
      </c>
      <c r="G163">
        <v>41</v>
      </c>
      <c r="H163" s="2">
        <v>44245.740185185183</v>
      </c>
    </row>
    <row r="164" spans="1:8" ht="14.25" customHeight="1" x14ac:dyDescent="0.3">
      <c r="A164">
        <v>1357715</v>
      </c>
      <c r="B164" t="s">
        <v>4564</v>
      </c>
      <c r="C164" s="1" t="s">
        <v>4565</v>
      </c>
      <c r="D164" t="s">
        <v>11</v>
      </c>
      <c r="E164">
        <v>1</v>
      </c>
      <c r="F164">
        <v>2</v>
      </c>
      <c r="G164">
        <v>41</v>
      </c>
      <c r="H164" s="2">
        <v>44245.740381944444</v>
      </c>
    </row>
    <row r="165" spans="1:8" ht="14.25" customHeight="1" x14ac:dyDescent="0.3">
      <c r="A165">
        <v>1357847</v>
      </c>
      <c r="B165" t="s">
        <v>4566</v>
      </c>
      <c r="C165" s="1" t="s">
        <v>4567</v>
      </c>
      <c r="D165" t="s">
        <v>11</v>
      </c>
      <c r="E165">
        <v>2</v>
      </c>
      <c r="F165">
        <v>2</v>
      </c>
      <c r="G165">
        <v>43</v>
      </c>
      <c r="H165" s="2">
        <v>44245.740555555552</v>
      </c>
    </row>
    <row r="166" spans="1:8" ht="14.25" customHeight="1" x14ac:dyDescent="0.3">
      <c r="A166">
        <v>1357856</v>
      </c>
      <c r="B166" t="s">
        <v>4568</v>
      </c>
      <c r="C166" s="1" t="s">
        <v>4569</v>
      </c>
      <c r="D166" t="s">
        <v>11</v>
      </c>
      <c r="E166">
        <v>1</v>
      </c>
      <c r="F166">
        <v>1</v>
      </c>
      <c r="G166">
        <v>43</v>
      </c>
      <c r="H166" s="2">
        <v>44245.741770833331</v>
      </c>
    </row>
    <row r="167" spans="1:8" ht="14.25" customHeight="1" x14ac:dyDescent="0.3">
      <c r="A167">
        <v>1357752</v>
      </c>
      <c r="B167" t="s">
        <v>4570</v>
      </c>
      <c r="C167" s="1" t="s">
        <v>4571</v>
      </c>
      <c r="D167" t="s">
        <v>11</v>
      </c>
      <c r="E167">
        <v>1</v>
      </c>
      <c r="F167">
        <v>1</v>
      </c>
      <c r="G167">
        <v>36</v>
      </c>
      <c r="H167" s="2">
        <v>44245.742696759262</v>
      </c>
    </row>
    <row r="168" spans="1:8" ht="14.25" customHeight="1" x14ac:dyDescent="0.3">
      <c r="A168">
        <v>1357857</v>
      </c>
      <c r="B168" t="e">
        <f>- heavybid archiving</f>
        <v>#NAME?</v>
      </c>
      <c r="C168" s="1" t="s">
        <v>4572</v>
      </c>
      <c r="D168" t="s">
        <v>11</v>
      </c>
      <c r="E168">
        <v>1</v>
      </c>
      <c r="F168">
        <v>1</v>
      </c>
      <c r="G168">
        <v>43</v>
      </c>
      <c r="H168" s="2">
        <v>44245.743171296293</v>
      </c>
    </row>
    <row r="169" spans="1:8" ht="14.25" customHeight="1" x14ac:dyDescent="0.3">
      <c r="A169">
        <v>1357771</v>
      </c>
      <c r="B169" t="e">
        <f>- disable account</f>
        <v>#NAME?</v>
      </c>
      <c r="C169" s="1" t="s">
        <v>4573</v>
      </c>
      <c r="D169" t="s">
        <v>24</v>
      </c>
      <c r="E169">
        <v>1</v>
      </c>
      <c r="F169">
        <v>1</v>
      </c>
      <c r="G169">
        <v>43</v>
      </c>
      <c r="H169" s="2">
        <v>44245.743252314816</v>
      </c>
    </row>
    <row r="170" spans="1:8" ht="14.25" customHeight="1" x14ac:dyDescent="0.3">
      <c r="A170">
        <v>1358974</v>
      </c>
      <c r="B170" t="e">
        <f>- printer name</f>
        <v>#NAME?</v>
      </c>
      <c r="C170" s="1" t="s">
        <v>4574</v>
      </c>
      <c r="D170" t="s">
        <v>24</v>
      </c>
      <c r="E170">
        <v>1</v>
      </c>
      <c r="F170">
        <v>1</v>
      </c>
      <c r="G170">
        <v>43</v>
      </c>
      <c r="H170" s="2">
        <v>44245.743773148148</v>
      </c>
    </row>
    <row r="171" spans="1:8" ht="14.25" customHeight="1" x14ac:dyDescent="0.3">
      <c r="A171">
        <v>1357653</v>
      </c>
      <c r="B171" t="s">
        <v>4575</v>
      </c>
      <c r="C171" s="1" t="s">
        <v>4576</v>
      </c>
      <c r="D171" t="s">
        <v>24</v>
      </c>
      <c r="E171">
        <v>2</v>
      </c>
      <c r="F171">
        <v>2</v>
      </c>
      <c r="G171">
        <v>43</v>
      </c>
      <c r="H171" s="2">
        <v>44245.744791666664</v>
      </c>
    </row>
    <row r="172" spans="1:8" ht="14.25" customHeight="1" x14ac:dyDescent="0.3">
      <c r="A172">
        <v>1358945</v>
      </c>
      <c r="B172" t="s">
        <v>4577</v>
      </c>
      <c r="C172" s="1" t="s">
        <v>4578</v>
      </c>
      <c r="D172" t="s">
        <v>11</v>
      </c>
      <c r="E172">
        <v>1</v>
      </c>
      <c r="F172">
        <v>1</v>
      </c>
      <c r="G172">
        <v>43</v>
      </c>
      <c r="H172" s="2">
        <v>44245.745694444442</v>
      </c>
    </row>
    <row r="173" spans="1:8" ht="14.25" customHeight="1" x14ac:dyDescent="0.3">
      <c r="A173">
        <v>1357834</v>
      </c>
      <c r="B173" t="e">
        <f>- program change to sales work groups</f>
        <v>#NAME?</v>
      </c>
      <c r="C173" s="1" t="s">
        <v>4579</v>
      </c>
      <c r="D173" t="s">
        <v>188</v>
      </c>
      <c r="E173">
        <v>2</v>
      </c>
      <c r="F173">
        <v>1</v>
      </c>
      <c r="G173">
        <v>43</v>
      </c>
      <c r="H173" s="2">
        <v>44245.746354166666</v>
      </c>
    </row>
    <row r="174" spans="1:8" ht="14.25" customHeight="1" x14ac:dyDescent="0.3">
      <c r="A174">
        <v>1357257</v>
      </c>
      <c r="B174">
        <v>1357256</v>
      </c>
      <c r="C174" t="s">
        <v>4580</v>
      </c>
      <c r="D174" t="s">
        <v>11</v>
      </c>
      <c r="E174">
        <v>1</v>
      </c>
      <c r="F174">
        <v>1</v>
      </c>
      <c r="G174">
        <v>43</v>
      </c>
      <c r="H174" s="2">
        <v>44245.746412037035</v>
      </c>
    </row>
    <row r="175" spans="1:8" ht="14.25" customHeight="1" x14ac:dyDescent="0.3">
      <c r="A175">
        <v>1357664</v>
      </c>
      <c r="B175" t="s">
        <v>4581</v>
      </c>
      <c r="C175" s="1" t="s">
        <v>4582</v>
      </c>
      <c r="D175" t="s">
        <v>11</v>
      </c>
      <c r="E175">
        <v>1</v>
      </c>
      <c r="F175">
        <v>1</v>
      </c>
      <c r="G175">
        <v>43</v>
      </c>
      <c r="H175" s="2">
        <v>44245.746689814812</v>
      </c>
    </row>
    <row r="176" spans="1:8" ht="14.25" customHeight="1" x14ac:dyDescent="0.3">
      <c r="A176">
        <v>1358985</v>
      </c>
      <c r="B176" t="s">
        <v>4583</v>
      </c>
      <c r="C176" s="1" t="s">
        <v>4584</v>
      </c>
      <c r="D176" t="s">
        <v>11</v>
      </c>
      <c r="E176">
        <v>1</v>
      </c>
      <c r="F176">
        <v>3</v>
      </c>
      <c r="G176">
        <v>43</v>
      </c>
      <c r="H176" s="2">
        <v>44245.746759259258</v>
      </c>
    </row>
    <row r="177" spans="1:8" ht="14.25" customHeight="1" x14ac:dyDescent="0.3">
      <c r="A177">
        <v>1357783</v>
      </c>
      <c r="B177" t="e">
        <f>- nd vpn</f>
        <v>#NAME?</v>
      </c>
      <c r="C177" s="1" t="s">
        <v>4585</v>
      </c>
      <c r="D177" t="s">
        <v>24</v>
      </c>
      <c r="E177">
        <v>1</v>
      </c>
      <c r="F177">
        <v>2</v>
      </c>
      <c r="G177">
        <v>41</v>
      </c>
      <c r="H177" s="2">
        <v>44245.747129629628</v>
      </c>
    </row>
    <row r="178" spans="1:8" ht="14.25" customHeight="1" x14ac:dyDescent="0.3">
      <c r="A178">
        <v>1357618</v>
      </c>
      <c r="B178">
        <v>1354861</v>
      </c>
      <c r="C178" s="1" t="s">
        <v>4586</v>
      </c>
      <c r="D178" t="s">
        <v>11</v>
      </c>
      <c r="E178">
        <v>1</v>
      </c>
      <c r="F178">
        <v>1</v>
      </c>
      <c r="G178">
        <v>43</v>
      </c>
      <c r="H178" s="2">
        <v>44245.747337962966</v>
      </c>
    </row>
    <row r="179" spans="1:8" ht="14.25" customHeight="1" x14ac:dyDescent="0.3">
      <c r="A179">
        <v>1357256</v>
      </c>
      <c r="B179" t="s">
        <v>1238</v>
      </c>
      <c r="C179" t="s">
        <v>4587</v>
      </c>
      <c r="D179" t="s">
        <v>11</v>
      </c>
      <c r="E179">
        <v>1</v>
      </c>
      <c r="F179">
        <v>1</v>
      </c>
      <c r="G179">
        <v>43</v>
      </c>
      <c r="H179" s="2">
        <v>44245.748043981483</v>
      </c>
    </row>
    <row r="180" spans="1:8" ht="14.25" customHeight="1" x14ac:dyDescent="0.3">
      <c r="A180">
        <v>1357403</v>
      </c>
      <c r="B180" t="s">
        <v>4588</v>
      </c>
      <c r="C180" s="1" t="s">
        <v>4589</v>
      </c>
      <c r="D180" t="s">
        <v>11</v>
      </c>
      <c r="E180">
        <v>1</v>
      </c>
      <c r="F180">
        <v>1</v>
      </c>
      <c r="G180">
        <v>43</v>
      </c>
      <c r="H180" s="2">
        <v>44245.74858796296</v>
      </c>
    </row>
    <row r="181" spans="1:8" ht="14.25" customHeight="1" x14ac:dyDescent="0.3">
      <c r="A181">
        <v>1357839</v>
      </c>
      <c r="B181">
        <v>1352780</v>
      </c>
      <c r="C181" s="1" t="s">
        <v>4590</v>
      </c>
      <c r="D181" t="s">
        <v>11</v>
      </c>
      <c r="E181">
        <v>1</v>
      </c>
      <c r="F181">
        <v>1</v>
      </c>
      <c r="G181">
        <v>43</v>
      </c>
      <c r="H181" s="2">
        <v>44245.748865740738</v>
      </c>
    </row>
    <row r="182" spans="1:8" ht="14.25" customHeight="1" x14ac:dyDescent="0.3">
      <c r="A182">
        <v>1357639</v>
      </c>
      <c r="B182" t="s">
        <v>4591</v>
      </c>
      <c r="C182" t="s">
        <v>4329</v>
      </c>
      <c r="D182" t="s">
        <v>462</v>
      </c>
      <c r="E182">
        <v>1</v>
      </c>
      <c r="F182">
        <v>1</v>
      </c>
      <c r="G182">
        <v>36</v>
      </c>
      <c r="H182" s="2">
        <v>44245.749293981484</v>
      </c>
    </row>
    <row r="183" spans="1:8" ht="14.25" customHeight="1" x14ac:dyDescent="0.3">
      <c r="A183">
        <v>1357211</v>
      </c>
      <c r="B183" t="s">
        <v>4592</v>
      </c>
      <c r="C183" t="s">
        <v>4593</v>
      </c>
      <c r="D183" t="s">
        <v>11</v>
      </c>
      <c r="E183">
        <v>1</v>
      </c>
      <c r="F183">
        <v>1</v>
      </c>
      <c r="G183">
        <v>43</v>
      </c>
      <c r="H183" s="2">
        <v>44245.749432870369</v>
      </c>
    </row>
    <row r="184" spans="1:8" ht="14.25" customHeight="1" x14ac:dyDescent="0.3">
      <c r="A184">
        <v>1358385</v>
      </c>
      <c r="B184" t="s">
        <v>4451</v>
      </c>
      <c r="C184" s="1" t="s">
        <v>4594</v>
      </c>
      <c r="D184" t="s">
        <v>11</v>
      </c>
      <c r="E184">
        <v>1</v>
      </c>
      <c r="F184">
        <v>1</v>
      </c>
      <c r="G184">
        <v>36</v>
      </c>
      <c r="H184" s="2">
        <v>44245.750439814816</v>
      </c>
    </row>
    <row r="185" spans="1:8" ht="14.25" customHeight="1" x14ac:dyDescent="0.3">
      <c r="A185">
        <v>1357198</v>
      </c>
      <c r="B185" t="s">
        <v>4595</v>
      </c>
      <c r="C185" s="1" t="s">
        <v>4596</v>
      </c>
      <c r="D185" t="s">
        <v>24</v>
      </c>
      <c r="E185">
        <v>1</v>
      </c>
      <c r="F185">
        <v>1</v>
      </c>
      <c r="G185">
        <v>36</v>
      </c>
      <c r="H185" s="2">
        <v>44245.750601851854</v>
      </c>
    </row>
    <row r="186" spans="1:8" ht="14.25" customHeight="1" x14ac:dyDescent="0.3">
      <c r="A186">
        <v>1357765</v>
      </c>
      <c r="B186" t="s">
        <v>4597</v>
      </c>
      <c r="C186" s="1" t="s">
        <v>4598</v>
      </c>
      <c r="D186" t="s">
        <v>11</v>
      </c>
      <c r="E186">
        <v>1</v>
      </c>
      <c r="F186">
        <v>1</v>
      </c>
      <c r="G186">
        <v>36</v>
      </c>
      <c r="H186" s="2">
        <v>44245.750763888886</v>
      </c>
    </row>
    <row r="187" spans="1:8" ht="14.25" customHeight="1" x14ac:dyDescent="0.3">
      <c r="A187">
        <v>1357608</v>
      </c>
      <c r="B187" t="s">
        <v>4599</v>
      </c>
      <c r="C187" s="1" t="s">
        <v>4600</v>
      </c>
      <c r="D187" t="s">
        <v>11</v>
      </c>
      <c r="E187">
        <v>2</v>
      </c>
      <c r="F187">
        <v>2</v>
      </c>
      <c r="G187">
        <v>43</v>
      </c>
      <c r="H187" s="2">
        <v>44245.751469907409</v>
      </c>
    </row>
    <row r="188" spans="1:8" ht="14.25" customHeight="1" x14ac:dyDescent="0.3">
      <c r="A188">
        <v>1357185</v>
      </c>
      <c r="B188" t="e">
        <f>- cannot email from connectwise manage on firefox</f>
        <v>#NAME?</v>
      </c>
      <c r="C188" s="1" t="s">
        <v>4601</v>
      </c>
      <c r="D188" t="s">
        <v>24</v>
      </c>
      <c r="E188">
        <v>1</v>
      </c>
      <c r="F188">
        <v>1</v>
      </c>
      <c r="G188">
        <v>41</v>
      </c>
      <c r="H188" s="2">
        <v>44245.752106481479</v>
      </c>
    </row>
    <row r="189" spans="1:8" ht="14.25" customHeight="1" x14ac:dyDescent="0.3">
      <c r="A189">
        <v>1357672</v>
      </c>
      <c r="B189" t="s">
        <v>4602</v>
      </c>
      <c r="C189" s="1" t="s">
        <v>4603</v>
      </c>
      <c r="D189" t="s">
        <v>11</v>
      </c>
      <c r="E189">
        <v>1</v>
      </c>
      <c r="F189">
        <v>2</v>
      </c>
      <c r="G189">
        <v>43</v>
      </c>
      <c r="H189" s="2">
        <v>44245.752395833333</v>
      </c>
    </row>
    <row r="190" spans="1:8" ht="14.25" customHeight="1" x14ac:dyDescent="0.3">
      <c r="A190">
        <v>1357134</v>
      </c>
      <c r="B190" t="s">
        <v>4604</v>
      </c>
      <c r="C190" t="s">
        <v>4329</v>
      </c>
      <c r="D190" t="s">
        <v>462</v>
      </c>
      <c r="E190">
        <v>1</v>
      </c>
      <c r="F190">
        <v>1</v>
      </c>
      <c r="G190">
        <v>36</v>
      </c>
      <c r="H190" s="2">
        <v>44245.752905092595</v>
      </c>
    </row>
    <row r="191" spans="1:8" ht="14.25" customHeight="1" x14ac:dyDescent="0.3">
      <c r="A191">
        <v>1357187</v>
      </c>
      <c r="B191" t="s">
        <v>4605</v>
      </c>
      <c r="C191" s="1" t="s">
        <v>4606</v>
      </c>
      <c r="D191" t="s">
        <v>11</v>
      </c>
      <c r="E191">
        <v>1</v>
      </c>
      <c r="F191">
        <v>2</v>
      </c>
      <c r="G191">
        <v>43</v>
      </c>
      <c r="H191" s="2">
        <v>44245.753078703703</v>
      </c>
    </row>
    <row r="192" spans="1:8" ht="14.25" customHeight="1" x14ac:dyDescent="0.3">
      <c r="A192">
        <v>1357131</v>
      </c>
      <c r="B192" t="s">
        <v>4607</v>
      </c>
      <c r="C192" t="s">
        <v>4329</v>
      </c>
      <c r="D192" t="s">
        <v>462</v>
      </c>
      <c r="E192">
        <v>1</v>
      </c>
      <c r="F192">
        <v>1</v>
      </c>
      <c r="G192">
        <v>36</v>
      </c>
      <c r="H192" s="2">
        <v>44245.753148148149</v>
      </c>
    </row>
    <row r="193" spans="1:8" ht="14.25" customHeight="1" x14ac:dyDescent="0.3">
      <c r="A193">
        <v>1357175</v>
      </c>
      <c r="B193" t="s">
        <v>4608</v>
      </c>
      <c r="C193" s="1" t="s">
        <v>4609</v>
      </c>
      <c r="D193" t="s">
        <v>11</v>
      </c>
      <c r="E193">
        <v>3</v>
      </c>
      <c r="F193">
        <v>3</v>
      </c>
      <c r="G193">
        <v>43</v>
      </c>
      <c r="H193" s="2">
        <v>44245.753391203703</v>
      </c>
    </row>
    <row r="194" spans="1:8" ht="14.25" customHeight="1" x14ac:dyDescent="0.3">
      <c r="A194">
        <v>1357130</v>
      </c>
      <c r="B194" t="s">
        <v>4610</v>
      </c>
      <c r="C194" t="s">
        <v>4329</v>
      </c>
      <c r="D194" t="s">
        <v>462</v>
      </c>
      <c r="E194">
        <v>1</v>
      </c>
      <c r="F194">
        <v>1</v>
      </c>
      <c r="G194">
        <v>36</v>
      </c>
      <c r="H194" s="2">
        <v>44245.753703703704</v>
      </c>
    </row>
    <row r="195" spans="1:8" ht="14.25" customHeight="1" x14ac:dyDescent="0.3">
      <c r="A195">
        <v>1357128</v>
      </c>
      <c r="B195" t="s">
        <v>4611</v>
      </c>
      <c r="C195" t="s">
        <v>4329</v>
      </c>
      <c r="D195" t="s">
        <v>462</v>
      </c>
      <c r="E195">
        <v>1</v>
      </c>
      <c r="F195">
        <v>1</v>
      </c>
      <c r="G195">
        <v>36</v>
      </c>
      <c r="H195" s="2">
        <v>44245.75472222222</v>
      </c>
    </row>
    <row r="196" spans="1:8" ht="14.25" customHeight="1" x14ac:dyDescent="0.3">
      <c r="A196">
        <v>1357127</v>
      </c>
      <c r="B196" t="s">
        <v>4612</v>
      </c>
      <c r="C196" t="s">
        <v>4329</v>
      </c>
      <c r="D196" t="s">
        <v>462</v>
      </c>
      <c r="E196">
        <v>1</v>
      </c>
      <c r="F196">
        <v>1</v>
      </c>
      <c r="G196">
        <v>36</v>
      </c>
      <c r="H196" s="2">
        <v>44245.755300925928</v>
      </c>
    </row>
    <row r="197" spans="1:8" ht="14.25" customHeight="1" x14ac:dyDescent="0.3">
      <c r="A197">
        <v>1357132</v>
      </c>
      <c r="B197" t="s">
        <v>4613</v>
      </c>
      <c r="C197" t="s">
        <v>4329</v>
      </c>
      <c r="D197" t="s">
        <v>462</v>
      </c>
      <c r="E197">
        <v>1</v>
      </c>
      <c r="F197">
        <v>1</v>
      </c>
      <c r="G197">
        <v>36</v>
      </c>
      <c r="H197" s="2">
        <v>44245.755381944444</v>
      </c>
    </row>
    <row r="198" spans="1:8" ht="14.25" customHeight="1" x14ac:dyDescent="0.3">
      <c r="A198">
        <v>1357122</v>
      </c>
      <c r="B198" t="s">
        <v>4614</v>
      </c>
      <c r="C198" t="s">
        <v>4329</v>
      </c>
      <c r="D198" t="s">
        <v>462</v>
      </c>
      <c r="E198">
        <v>1</v>
      </c>
      <c r="F198">
        <v>1</v>
      </c>
      <c r="G198">
        <v>36</v>
      </c>
      <c r="H198" s="2">
        <v>44245.755439814813</v>
      </c>
    </row>
    <row r="199" spans="1:8" ht="14.25" customHeight="1" x14ac:dyDescent="0.3">
      <c r="A199">
        <v>1357192</v>
      </c>
      <c r="B199" t="s">
        <v>4615</v>
      </c>
      <c r="C199" s="1" t="s">
        <v>4616</v>
      </c>
      <c r="D199" t="s">
        <v>11</v>
      </c>
      <c r="E199">
        <v>1</v>
      </c>
      <c r="F199">
        <v>1</v>
      </c>
      <c r="G199">
        <v>36</v>
      </c>
      <c r="H199" s="2">
        <v>44245.755555555559</v>
      </c>
    </row>
    <row r="200" spans="1:8" ht="14.25" customHeight="1" x14ac:dyDescent="0.3">
      <c r="A200">
        <v>1358426</v>
      </c>
      <c r="B200" t="e">
        <f>- used truck folder access for sarah tiefenbach</f>
        <v>#NAME?</v>
      </c>
      <c r="C200" s="1" t="s">
        <v>4617</v>
      </c>
      <c r="D200" t="s">
        <v>11</v>
      </c>
      <c r="E200">
        <v>1</v>
      </c>
      <c r="F200">
        <v>1</v>
      </c>
      <c r="G200">
        <v>43</v>
      </c>
      <c r="H200" s="2">
        <v>44245.755729166667</v>
      </c>
    </row>
    <row r="201" spans="1:8" ht="14.25" customHeight="1" x14ac:dyDescent="0.3">
      <c r="A201">
        <v>1357121</v>
      </c>
      <c r="B201" t="s">
        <v>4618</v>
      </c>
      <c r="C201" t="s">
        <v>4329</v>
      </c>
      <c r="D201" t="s">
        <v>462</v>
      </c>
      <c r="E201">
        <v>1</v>
      </c>
      <c r="F201">
        <v>1</v>
      </c>
      <c r="G201">
        <v>36</v>
      </c>
      <c r="H201" s="2">
        <v>44245.755856481483</v>
      </c>
    </row>
    <row r="202" spans="1:8" ht="14.25" customHeight="1" x14ac:dyDescent="0.3">
      <c r="A202">
        <v>1357117</v>
      </c>
      <c r="B202" t="s">
        <v>4619</v>
      </c>
      <c r="C202" t="s">
        <v>4329</v>
      </c>
      <c r="D202" t="s">
        <v>462</v>
      </c>
      <c r="E202">
        <v>1</v>
      </c>
      <c r="F202">
        <v>1</v>
      </c>
      <c r="G202">
        <v>36</v>
      </c>
      <c r="H202" s="2">
        <v>44245.755914351852</v>
      </c>
    </row>
    <row r="203" spans="1:8" ht="14.25" customHeight="1" x14ac:dyDescent="0.3">
      <c r="A203">
        <v>1357119</v>
      </c>
      <c r="B203" t="s">
        <v>4620</v>
      </c>
      <c r="C203" t="s">
        <v>4329</v>
      </c>
      <c r="D203" t="s">
        <v>462</v>
      </c>
      <c r="E203">
        <v>1</v>
      </c>
      <c r="F203">
        <v>1</v>
      </c>
      <c r="G203">
        <v>36</v>
      </c>
      <c r="H203" s="2">
        <v>44245.755983796298</v>
      </c>
    </row>
    <row r="204" spans="1:8" ht="14.25" customHeight="1" x14ac:dyDescent="0.3">
      <c r="A204">
        <v>1357129</v>
      </c>
      <c r="B204" t="s">
        <v>4621</v>
      </c>
      <c r="C204" t="s">
        <v>4329</v>
      </c>
      <c r="D204" t="s">
        <v>462</v>
      </c>
      <c r="E204">
        <v>1</v>
      </c>
      <c r="F204">
        <v>1</v>
      </c>
      <c r="G204">
        <v>36</v>
      </c>
      <c r="H204" s="2">
        <v>44245.756053240744</v>
      </c>
    </row>
    <row r="205" spans="1:8" ht="14.25" customHeight="1" x14ac:dyDescent="0.3">
      <c r="A205">
        <v>1357124</v>
      </c>
      <c r="B205" t="s">
        <v>4607</v>
      </c>
      <c r="C205" t="s">
        <v>4329</v>
      </c>
      <c r="D205" t="s">
        <v>462</v>
      </c>
      <c r="E205">
        <v>1</v>
      </c>
      <c r="F205">
        <v>1</v>
      </c>
      <c r="G205">
        <v>36</v>
      </c>
      <c r="H205" s="2">
        <v>44245.756249999999</v>
      </c>
    </row>
    <row r="206" spans="1:8" ht="14.25" customHeight="1" x14ac:dyDescent="0.3">
      <c r="A206">
        <v>1357114</v>
      </c>
      <c r="B206" t="s">
        <v>4610</v>
      </c>
      <c r="C206" t="s">
        <v>4329</v>
      </c>
      <c r="D206" t="s">
        <v>462</v>
      </c>
      <c r="E206">
        <v>1</v>
      </c>
      <c r="F206">
        <v>1</v>
      </c>
      <c r="G206">
        <v>36</v>
      </c>
      <c r="H206" s="2">
        <v>44245.756296296298</v>
      </c>
    </row>
    <row r="207" spans="1:8" ht="14.25" customHeight="1" x14ac:dyDescent="0.3">
      <c r="A207">
        <v>1357110</v>
      </c>
      <c r="B207" t="s">
        <v>4620</v>
      </c>
      <c r="C207" t="s">
        <v>4329</v>
      </c>
      <c r="D207" t="s">
        <v>462</v>
      </c>
      <c r="E207">
        <v>1</v>
      </c>
      <c r="F207">
        <v>1</v>
      </c>
      <c r="G207">
        <v>36</v>
      </c>
      <c r="H207" s="2">
        <v>44245.756354166668</v>
      </c>
    </row>
    <row r="208" spans="1:8" ht="14.25" customHeight="1" x14ac:dyDescent="0.3">
      <c r="A208">
        <v>1357108</v>
      </c>
      <c r="B208" t="s">
        <v>4622</v>
      </c>
      <c r="C208" t="s">
        <v>4329</v>
      </c>
      <c r="D208" t="s">
        <v>462</v>
      </c>
      <c r="E208">
        <v>1</v>
      </c>
      <c r="F208">
        <v>1</v>
      </c>
      <c r="G208">
        <v>36</v>
      </c>
      <c r="H208" s="2">
        <v>44245.756423611114</v>
      </c>
    </row>
    <row r="209" spans="1:8" ht="14.25" customHeight="1" x14ac:dyDescent="0.3">
      <c r="A209">
        <v>1357111</v>
      </c>
      <c r="B209" t="s">
        <v>4623</v>
      </c>
      <c r="C209" t="s">
        <v>4329</v>
      </c>
      <c r="D209" t="s">
        <v>462</v>
      </c>
      <c r="E209">
        <v>1</v>
      </c>
      <c r="F209">
        <v>1</v>
      </c>
      <c r="G209">
        <v>36</v>
      </c>
      <c r="H209" s="2">
        <v>44245.756481481483</v>
      </c>
    </row>
    <row r="210" spans="1:8" ht="14.25" customHeight="1" x14ac:dyDescent="0.3">
      <c r="A210">
        <v>1357106</v>
      </c>
      <c r="B210" t="s">
        <v>4624</v>
      </c>
      <c r="C210" t="s">
        <v>4329</v>
      </c>
      <c r="D210" t="s">
        <v>462</v>
      </c>
      <c r="E210">
        <v>1</v>
      </c>
      <c r="F210">
        <v>1</v>
      </c>
      <c r="G210">
        <v>36</v>
      </c>
      <c r="H210" s="2">
        <v>44245.756550925929</v>
      </c>
    </row>
    <row r="211" spans="1:8" ht="14.25" customHeight="1" x14ac:dyDescent="0.3">
      <c r="A211">
        <v>1357104</v>
      </c>
      <c r="B211" t="s">
        <v>4624</v>
      </c>
      <c r="C211" t="s">
        <v>4329</v>
      </c>
      <c r="D211" t="s">
        <v>462</v>
      </c>
      <c r="E211">
        <v>1</v>
      </c>
      <c r="F211">
        <v>1</v>
      </c>
      <c r="G211">
        <v>36</v>
      </c>
      <c r="H211" s="2">
        <v>44245.756608796299</v>
      </c>
    </row>
    <row r="212" spans="1:8" ht="14.25" customHeight="1" x14ac:dyDescent="0.3">
      <c r="A212">
        <v>1357118</v>
      </c>
      <c r="B212" t="s">
        <v>4625</v>
      </c>
      <c r="C212" t="s">
        <v>4329</v>
      </c>
      <c r="D212" t="s">
        <v>462</v>
      </c>
      <c r="E212">
        <v>1</v>
      </c>
      <c r="F212">
        <v>1</v>
      </c>
      <c r="G212">
        <v>36</v>
      </c>
      <c r="H212" s="2">
        <v>44245.756782407407</v>
      </c>
    </row>
    <row r="213" spans="1:8" ht="14.25" customHeight="1" x14ac:dyDescent="0.3">
      <c r="A213">
        <v>1357126</v>
      </c>
      <c r="B213" t="s">
        <v>4610</v>
      </c>
      <c r="C213" t="s">
        <v>4329</v>
      </c>
      <c r="D213" t="s">
        <v>462</v>
      </c>
      <c r="E213">
        <v>1</v>
      </c>
      <c r="F213">
        <v>1</v>
      </c>
      <c r="G213">
        <v>36</v>
      </c>
      <c r="H213" s="2">
        <v>44245.756840277776</v>
      </c>
    </row>
    <row r="214" spans="1:8" ht="14.25" customHeight="1" x14ac:dyDescent="0.3">
      <c r="A214">
        <v>1357125</v>
      </c>
      <c r="B214" t="s">
        <v>4626</v>
      </c>
      <c r="C214" t="s">
        <v>4329</v>
      </c>
      <c r="D214" t="s">
        <v>462</v>
      </c>
      <c r="E214">
        <v>1</v>
      </c>
      <c r="F214">
        <v>1</v>
      </c>
      <c r="G214">
        <v>36</v>
      </c>
      <c r="H214" s="2">
        <v>44245.757002314815</v>
      </c>
    </row>
    <row r="215" spans="1:8" ht="14.25" customHeight="1" x14ac:dyDescent="0.3">
      <c r="A215">
        <v>1357107</v>
      </c>
      <c r="B215" t="s">
        <v>4627</v>
      </c>
      <c r="C215" t="s">
        <v>4329</v>
      </c>
      <c r="D215" t="s">
        <v>462</v>
      </c>
      <c r="E215">
        <v>1</v>
      </c>
      <c r="F215">
        <v>1</v>
      </c>
      <c r="G215">
        <v>36</v>
      </c>
      <c r="H215" s="2">
        <v>44245.757268518515</v>
      </c>
    </row>
    <row r="216" spans="1:8" ht="14.25" customHeight="1" x14ac:dyDescent="0.3">
      <c r="A216">
        <v>1358367</v>
      </c>
      <c r="B216">
        <v>1358359</v>
      </c>
      <c r="C216" s="1" t="s">
        <v>4628</v>
      </c>
      <c r="D216" t="s">
        <v>11</v>
      </c>
      <c r="E216">
        <v>1</v>
      </c>
      <c r="F216">
        <v>1</v>
      </c>
      <c r="G216">
        <v>43</v>
      </c>
      <c r="H216" s="2">
        <v>44245.757280092592</v>
      </c>
    </row>
    <row r="217" spans="1:8" ht="14.25" customHeight="1" x14ac:dyDescent="0.3">
      <c r="A217">
        <v>1357096</v>
      </c>
      <c r="B217" t="s">
        <v>4629</v>
      </c>
      <c r="C217" t="s">
        <v>4329</v>
      </c>
      <c r="D217" t="s">
        <v>462</v>
      </c>
      <c r="E217">
        <v>1</v>
      </c>
      <c r="F217">
        <v>1</v>
      </c>
      <c r="G217">
        <v>36</v>
      </c>
      <c r="H217" s="2">
        <v>44245.757337962961</v>
      </c>
    </row>
    <row r="218" spans="1:8" ht="14.25" customHeight="1" x14ac:dyDescent="0.3">
      <c r="A218">
        <v>1357133</v>
      </c>
      <c r="B218" t="s">
        <v>4630</v>
      </c>
      <c r="C218" t="s">
        <v>4329</v>
      </c>
      <c r="D218" t="s">
        <v>462</v>
      </c>
      <c r="E218">
        <v>1</v>
      </c>
      <c r="F218">
        <v>1</v>
      </c>
      <c r="G218">
        <v>36</v>
      </c>
      <c r="H218" s="2">
        <v>44245.757395833331</v>
      </c>
    </row>
    <row r="219" spans="1:8" ht="14.25" customHeight="1" x14ac:dyDescent="0.3">
      <c r="A219">
        <v>1357103</v>
      </c>
      <c r="B219" t="s">
        <v>4631</v>
      </c>
      <c r="C219" t="s">
        <v>4329</v>
      </c>
      <c r="D219" t="s">
        <v>462</v>
      </c>
      <c r="E219">
        <v>1</v>
      </c>
      <c r="F219">
        <v>1</v>
      </c>
      <c r="G219">
        <v>36</v>
      </c>
      <c r="H219" s="2">
        <v>44245.757581018515</v>
      </c>
    </row>
    <row r="220" spans="1:8" ht="14.25" customHeight="1" x14ac:dyDescent="0.3">
      <c r="A220">
        <v>1357116</v>
      </c>
      <c r="B220" t="s">
        <v>4612</v>
      </c>
      <c r="C220" t="s">
        <v>4329</v>
      </c>
      <c r="D220" t="s">
        <v>462</v>
      </c>
      <c r="E220">
        <v>1</v>
      </c>
      <c r="F220">
        <v>1</v>
      </c>
      <c r="G220">
        <v>36</v>
      </c>
      <c r="H220" s="2">
        <v>44245.757650462961</v>
      </c>
    </row>
    <row r="221" spans="1:8" ht="14.25" customHeight="1" x14ac:dyDescent="0.3">
      <c r="A221">
        <v>1357859</v>
      </c>
      <c r="B221" t="s">
        <v>4632</v>
      </c>
      <c r="C221" s="1" t="s">
        <v>4633</v>
      </c>
      <c r="D221" t="s">
        <v>188</v>
      </c>
      <c r="E221">
        <v>1</v>
      </c>
      <c r="F221">
        <v>2</v>
      </c>
      <c r="G221">
        <v>43</v>
      </c>
      <c r="H221" s="2">
        <v>44245.757650462961</v>
      </c>
    </row>
    <row r="222" spans="1:8" ht="14.25" customHeight="1" x14ac:dyDescent="0.3">
      <c r="A222">
        <v>1357093</v>
      </c>
      <c r="B222" t="s">
        <v>4634</v>
      </c>
      <c r="C222" t="s">
        <v>4329</v>
      </c>
      <c r="D222" t="s">
        <v>462</v>
      </c>
      <c r="E222">
        <v>1</v>
      </c>
      <c r="F222">
        <v>1</v>
      </c>
      <c r="G222">
        <v>36</v>
      </c>
      <c r="H222" s="2">
        <v>44245.757719907408</v>
      </c>
    </row>
    <row r="223" spans="1:8" ht="14.25" customHeight="1" x14ac:dyDescent="0.3">
      <c r="A223">
        <v>1357102</v>
      </c>
      <c r="B223" t="s">
        <v>4635</v>
      </c>
      <c r="C223" t="s">
        <v>4329</v>
      </c>
      <c r="D223" t="s">
        <v>462</v>
      </c>
      <c r="E223">
        <v>1</v>
      </c>
      <c r="F223">
        <v>1</v>
      </c>
      <c r="G223">
        <v>36</v>
      </c>
      <c r="H223" s="2">
        <v>44245.757777777777</v>
      </c>
    </row>
    <row r="224" spans="1:8" ht="14.25" customHeight="1" x14ac:dyDescent="0.3">
      <c r="A224">
        <v>1357105</v>
      </c>
      <c r="B224" t="s">
        <v>4624</v>
      </c>
      <c r="C224" t="s">
        <v>4329</v>
      </c>
      <c r="D224" t="s">
        <v>462</v>
      </c>
      <c r="E224">
        <v>1</v>
      </c>
      <c r="F224">
        <v>1</v>
      </c>
      <c r="G224">
        <v>36</v>
      </c>
      <c r="H224" s="2">
        <v>44245.757824074077</v>
      </c>
    </row>
    <row r="225" spans="1:8" ht="14.25" customHeight="1" x14ac:dyDescent="0.3">
      <c r="A225">
        <v>1357089</v>
      </c>
      <c r="B225" t="s">
        <v>4636</v>
      </c>
      <c r="C225" t="s">
        <v>4329</v>
      </c>
      <c r="D225" t="s">
        <v>462</v>
      </c>
      <c r="E225">
        <v>1</v>
      </c>
      <c r="F225">
        <v>1</v>
      </c>
      <c r="G225">
        <v>36</v>
      </c>
      <c r="H225" s="2">
        <v>44245.757893518516</v>
      </c>
    </row>
    <row r="226" spans="1:8" ht="14.25" customHeight="1" x14ac:dyDescent="0.3">
      <c r="A226">
        <v>1357850</v>
      </c>
      <c r="B226" t="s">
        <v>4637</v>
      </c>
      <c r="C226" s="1" t="s">
        <v>4638</v>
      </c>
      <c r="D226" t="s">
        <v>11</v>
      </c>
      <c r="E226">
        <v>1</v>
      </c>
      <c r="F226">
        <v>3</v>
      </c>
      <c r="G226">
        <v>43</v>
      </c>
      <c r="H226" s="2">
        <v>44245.758067129631</v>
      </c>
    </row>
    <row r="227" spans="1:8" ht="14.25" customHeight="1" x14ac:dyDescent="0.3">
      <c r="A227">
        <v>1357087</v>
      </c>
      <c r="B227" t="s">
        <v>4636</v>
      </c>
      <c r="C227" t="s">
        <v>4329</v>
      </c>
      <c r="D227" t="s">
        <v>462</v>
      </c>
      <c r="E227">
        <v>1</v>
      </c>
      <c r="F227">
        <v>1</v>
      </c>
      <c r="G227">
        <v>36</v>
      </c>
      <c r="H227" s="2">
        <v>44245.758159722223</v>
      </c>
    </row>
    <row r="228" spans="1:8" ht="14.25" customHeight="1" x14ac:dyDescent="0.3">
      <c r="A228">
        <v>1357091</v>
      </c>
      <c r="B228" t="s">
        <v>4639</v>
      </c>
      <c r="C228" t="s">
        <v>4329</v>
      </c>
      <c r="D228" t="s">
        <v>462</v>
      </c>
      <c r="E228">
        <v>1</v>
      </c>
      <c r="F228">
        <v>1</v>
      </c>
      <c r="G228">
        <v>36</v>
      </c>
      <c r="H228" s="2">
        <v>44245.758229166669</v>
      </c>
    </row>
    <row r="229" spans="1:8" ht="14.25" customHeight="1" x14ac:dyDescent="0.3">
      <c r="A229">
        <v>1357112</v>
      </c>
      <c r="B229" t="s">
        <v>4640</v>
      </c>
      <c r="C229" t="s">
        <v>4329</v>
      </c>
      <c r="D229" t="s">
        <v>462</v>
      </c>
      <c r="E229">
        <v>1</v>
      </c>
      <c r="F229">
        <v>1</v>
      </c>
      <c r="G229">
        <v>36</v>
      </c>
      <c r="H229" s="2">
        <v>44245.758287037039</v>
      </c>
    </row>
    <row r="230" spans="1:8" ht="14.25" customHeight="1" x14ac:dyDescent="0.3">
      <c r="A230">
        <v>1358338</v>
      </c>
      <c r="B230" t="s">
        <v>4641</v>
      </c>
      <c r="C230" s="1" t="s">
        <v>4642</v>
      </c>
      <c r="D230" t="s">
        <v>11</v>
      </c>
      <c r="E230">
        <v>1</v>
      </c>
      <c r="F230">
        <v>3</v>
      </c>
      <c r="G230">
        <v>43</v>
      </c>
      <c r="H230" s="2">
        <v>44245.758368055554</v>
      </c>
    </row>
    <row r="231" spans="1:8" ht="14.25" customHeight="1" x14ac:dyDescent="0.3">
      <c r="A231">
        <v>1357115</v>
      </c>
      <c r="B231" t="s">
        <v>4643</v>
      </c>
      <c r="C231" t="s">
        <v>4329</v>
      </c>
      <c r="D231" t="s">
        <v>462</v>
      </c>
      <c r="E231">
        <v>1</v>
      </c>
      <c r="F231">
        <v>1</v>
      </c>
      <c r="G231">
        <v>36</v>
      </c>
      <c r="H231" s="2">
        <v>44245.758518518516</v>
      </c>
    </row>
    <row r="232" spans="1:8" ht="14.25" customHeight="1" x14ac:dyDescent="0.3">
      <c r="A232">
        <v>1357082</v>
      </c>
      <c r="B232" t="s">
        <v>4636</v>
      </c>
      <c r="C232" t="s">
        <v>4329</v>
      </c>
      <c r="D232" t="s">
        <v>462</v>
      </c>
      <c r="E232">
        <v>1</v>
      </c>
      <c r="F232">
        <v>1</v>
      </c>
      <c r="G232">
        <v>36</v>
      </c>
      <c r="H232" s="2">
        <v>44245.758576388886</v>
      </c>
    </row>
    <row r="233" spans="1:8" ht="14.25" customHeight="1" x14ac:dyDescent="0.3">
      <c r="A233">
        <v>1357138</v>
      </c>
      <c r="B233" t="e">
        <f>- fw: re: question about adobe flash player</f>
        <v>#NAME?</v>
      </c>
      <c r="C233" s="1" t="s">
        <v>4644</v>
      </c>
      <c r="D233" t="s">
        <v>11</v>
      </c>
      <c r="E233">
        <v>1</v>
      </c>
      <c r="F233">
        <v>1</v>
      </c>
      <c r="G233">
        <v>41</v>
      </c>
      <c r="H233" s="2">
        <v>44245.75880787037</v>
      </c>
    </row>
    <row r="234" spans="1:8" ht="14.25" customHeight="1" x14ac:dyDescent="0.3">
      <c r="A234">
        <v>1357092</v>
      </c>
      <c r="B234" t="s">
        <v>4645</v>
      </c>
      <c r="C234" t="s">
        <v>4329</v>
      </c>
      <c r="D234" t="s">
        <v>462</v>
      </c>
      <c r="E234">
        <v>1</v>
      </c>
      <c r="F234">
        <v>1</v>
      </c>
      <c r="G234">
        <v>36</v>
      </c>
      <c r="H234" s="2">
        <v>44245.75886574074</v>
      </c>
    </row>
    <row r="235" spans="1:8" ht="14.25" customHeight="1" x14ac:dyDescent="0.3">
      <c r="A235">
        <v>1357100</v>
      </c>
      <c r="B235" t="s">
        <v>4646</v>
      </c>
      <c r="C235" t="s">
        <v>4329</v>
      </c>
      <c r="D235" t="s">
        <v>462</v>
      </c>
      <c r="E235">
        <v>1</v>
      </c>
      <c r="F235">
        <v>1</v>
      </c>
      <c r="G235">
        <v>36</v>
      </c>
      <c r="H235" s="2">
        <v>44245.758923611109</v>
      </c>
    </row>
    <row r="236" spans="1:8" ht="14.25" customHeight="1" x14ac:dyDescent="0.3">
      <c r="A236">
        <v>1358251</v>
      </c>
      <c r="B236" t="e">
        <f>- fw: email addresses being forwarded to me by mistake?</f>
        <v>#NAME?</v>
      </c>
      <c r="C236" s="1" t="s">
        <v>4647</v>
      </c>
      <c r="D236" t="s">
        <v>11</v>
      </c>
      <c r="E236">
        <v>1</v>
      </c>
      <c r="F236">
        <v>1</v>
      </c>
      <c r="G236">
        <v>43</v>
      </c>
      <c r="H236" s="2">
        <v>44245.759305555555</v>
      </c>
    </row>
    <row r="237" spans="1:8" ht="14.25" customHeight="1" x14ac:dyDescent="0.3">
      <c r="A237">
        <v>1357079</v>
      </c>
      <c r="B237" t="s">
        <v>4636</v>
      </c>
      <c r="C237" t="s">
        <v>4329</v>
      </c>
      <c r="D237" t="s">
        <v>462</v>
      </c>
      <c r="E237">
        <v>1</v>
      </c>
      <c r="F237">
        <v>1</v>
      </c>
      <c r="G237">
        <v>36</v>
      </c>
      <c r="H237" s="2">
        <v>44245.759317129632</v>
      </c>
    </row>
    <row r="238" spans="1:8" ht="14.25" customHeight="1" x14ac:dyDescent="0.3">
      <c r="A238">
        <v>1357762</v>
      </c>
      <c r="B238" t="s">
        <v>4648</v>
      </c>
      <c r="C238" s="1" t="s">
        <v>4649</v>
      </c>
      <c r="D238" t="s">
        <v>11</v>
      </c>
      <c r="E238">
        <v>1</v>
      </c>
      <c r="F238">
        <v>1</v>
      </c>
      <c r="G238">
        <v>43</v>
      </c>
      <c r="H238" s="2">
        <v>44245.759456018517</v>
      </c>
    </row>
    <row r="239" spans="1:8" ht="14.25" customHeight="1" x14ac:dyDescent="0.3">
      <c r="A239">
        <v>1357123</v>
      </c>
      <c r="B239" t="s">
        <v>4643</v>
      </c>
      <c r="C239" t="s">
        <v>4329</v>
      </c>
      <c r="D239" t="s">
        <v>462</v>
      </c>
      <c r="E239">
        <v>1</v>
      </c>
      <c r="F239">
        <v>1</v>
      </c>
      <c r="G239">
        <v>36</v>
      </c>
      <c r="H239" s="2">
        <v>44245.759594907409</v>
      </c>
    </row>
    <row r="240" spans="1:8" ht="14.25" customHeight="1" x14ac:dyDescent="0.3">
      <c r="A240">
        <v>1357095</v>
      </c>
      <c r="B240" t="s">
        <v>4629</v>
      </c>
      <c r="C240" t="s">
        <v>4329</v>
      </c>
      <c r="D240" t="s">
        <v>462</v>
      </c>
      <c r="E240">
        <v>1</v>
      </c>
      <c r="F240">
        <v>1</v>
      </c>
      <c r="G240">
        <v>36</v>
      </c>
      <c r="H240" s="2">
        <v>44245.759652777779</v>
      </c>
    </row>
    <row r="241" spans="1:8" ht="14.25" customHeight="1" x14ac:dyDescent="0.3">
      <c r="A241">
        <v>1357085</v>
      </c>
      <c r="B241" t="s">
        <v>4636</v>
      </c>
      <c r="C241" t="s">
        <v>4329</v>
      </c>
      <c r="D241" t="s">
        <v>462</v>
      </c>
      <c r="E241">
        <v>1</v>
      </c>
      <c r="F241">
        <v>1</v>
      </c>
      <c r="G241">
        <v>36</v>
      </c>
      <c r="H241" s="2">
        <v>44245.759722222225</v>
      </c>
    </row>
    <row r="242" spans="1:8" ht="14.25" customHeight="1" x14ac:dyDescent="0.3">
      <c r="A242">
        <v>1357073</v>
      </c>
      <c r="B242" t="s">
        <v>4636</v>
      </c>
      <c r="C242" t="s">
        <v>4329</v>
      </c>
      <c r="D242" t="s">
        <v>462</v>
      </c>
      <c r="E242">
        <v>1</v>
      </c>
      <c r="F242">
        <v>1</v>
      </c>
      <c r="G242">
        <v>36</v>
      </c>
      <c r="H242" s="2">
        <v>44245.759768518517</v>
      </c>
    </row>
    <row r="243" spans="1:8" ht="14.25" customHeight="1" x14ac:dyDescent="0.3">
      <c r="A243">
        <v>1357071</v>
      </c>
      <c r="B243" t="s">
        <v>4636</v>
      </c>
      <c r="C243" t="s">
        <v>4329</v>
      </c>
      <c r="D243" t="s">
        <v>462</v>
      </c>
      <c r="E243">
        <v>1</v>
      </c>
      <c r="F243">
        <v>1</v>
      </c>
      <c r="G243">
        <v>36</v>
      </c>
      <c r="H243" s="2">
        <v>44245.759814814817</v>
      </c>
    </row>
    <row r="244" spans="1:8" ht="14.25" customHeight="1" x14ac:dyDescent="0.3">
      <c r="A244">
        <v>1357113</v>
      </c>
      <c r="B244" t="s">
        <v>4650</v>
      </c>
      <c r="C244" t="s">
        <v>4329</v>
      </c>
      <c r="D244" t="s">
        <v>462</v>
      </c>
      <c r="E244">
        <v>1</v>
      </c>
      <c r="F244">
        <v>1</v>
      </c>
      <c r="G244">
        <v>36</v>
      </c>
      <c r="H244" s="2">
        <v>44245.759884259256</v>
      </c>
    </row>
    <row r="245" spans="1:8" ht="14.25" customHeight="1" x14ac:dyDescent="0.3">
      <c r="A245">
        <v>1357075</v>
      </c>
      <c r="B245" t="s">
        <v>4636</v>
      </c>
      <c r="C245" t="s">
        <v>4329</v>
      </c>
      <c r="D245" t="s">
        <v>462</v>
      </c>
      <c r="E245">
        <v>1</v>
      </c>
      <c r="F245">
        <v>1</v>
      </c>
      <c r="G245">
        <v>36</v>
      </c>
      <c r="H245" s="2">
        <v>44245.759930555556</v>
      </c>
    </row>
    <row r="246" spans="1:8" ht="14.25" customHeight="1" x14ac:dyDescent="0.3">
      <c r="A246">
        <v>1357067</v>
      </c>
      <c r="B246" t="s">
        <v>4636</v>
      </c>
      <c r="C246" t="s">
        <v>4329</v>
      </c>
      <c r="D246" t="s">
        <v>462</v>
      </c>
      <c r="E246">
        <v>1</v>
      </c>
      <c r="F246">
        <v>1</v>
      </c>
      <c r="G246">
        <v>36</v>
      </c>
      <c r="H246" s="2">
        <v>44245.759988425925</v>
      </c>
    </row>
    <row r="247" spans="1:8" ht="14.25" customHeight="1" x14ac:dyDescent="0.3">
      <c r="A247">
        <v>1357069</v>
      </c>
      <c r="B247" t="s">
        <v>4636</v>
      </c>
      <c r="C247" t="s">
        <v>4329</v>
      </c>
      <c r="D247" t="s">
        <v>462</v>
      </c>
      <c r="E247">
        <v>1</v>
      </c>
      <c r="F247">
        <v>1</v>
      </c>
      <c r="G247">
        <v>36</v>
      </c>
      <c r="H247" s="2">
        <v>44245.760057870371</v>
      </c>
    </row>
    <row r="248" spans="1:8" ht="14.25" customHeight="1" x14ac:dyDescent="0.3">
      <c r="A248">
        <v>1357066</v>
      </c>
      <c r="B248" t="s">
        <v>4636</v>
      </c>
      <c r="C248" t="s">
        <v>4329</v>
      </c>
      <c r="D248" t="s">
        <v>462</v>
      </c>
      <c r="E248">
        <v>1</v>
      </c>
      <c r="F248">
        <v>1</v>
      </c>
      <c r="G248">
        <v>36</v>
      </c>
      <c r="H248" s="2">
        <v>44245.760104166664</v>
      </c>
    </row>
    <row r="249" spans="1:8" ht="14.25" customHeight="1" x14ac:dyDescent="0.3">
      <c r="A249">
        <v>1357084</v>
      </c>
      <c r="B249" t="s">
        <v>4636</v>
      </c>
      <c r="C249" t="s">
        <v>4329</v>
      </c>
      <c r="D249" t="s">
        <v>462</v>
      </c>
      <c r="E249">
        <v>1</v>
      </c>
      <c r="F249">
        <v>1</v>
      </c>
      <c r="G249">
        <v>36</v>
      </c>
      <c r="H249" s="2">
        <v>44245.760462962964</v>
      </c>
    </row>
    <row r="250" spans="1:8" ht="14.25" customHeight="1" x14ac:dyDescent="0.3">
      <c r="A250">
        <v>1357064</v>
      </c>
      <c r="B250" t="s">
        <v>4651</v>
      </c>
      <c r="C250" t="s">
        <v>4329</v>
      </c>
      <c r="D250" t="s">
        <v>462</v>
      </c>
      <c r="E250">
        <v>1</v>
      </c>
      <c r="F250">
        <v>1</v>
      </c>
      <c r="G250">
        <v>36</v>
      </c>
      <c r="H250" s="2">
        <v>44245.76054398148</v>
      </c>
    </row>
    <row r="251" spans="1:8" ht="14.25" customHeight="1" x14ac:dyDescent="0.3">
      <c r="A251">
        <v>1357072</v>
      </c>
      <c r="B251" t="s">
        <v>4636</v>
      </c>
      <c r="C251" t="s">
        <v>4329</v>
      </c>
      <c r="D251" t="s">
        <v>462</v>
      </c>
      <c r="E251">
        <v>1</v>
      </c>
      <c r="F251">
        <v>1</v>
      </c>
      <c r="G251">
        <v>36</v>
      </c>
      <c r="H251" s="2">
        <v>44245.760648148149</v>
      </c>
    </row>
    <row r="252" spans="1:8" ht="14.25" customHeight="1" x14ac:dyDescent="0.3">
      <c r="A252">
        <v>1357101</v>
      </c>
      <c r="B252" t="s">
        <v>4652</v>
      </c>
      <c r="C252" t="s">
        <v>4329</v>
      </c>
      <c r="D252" t="s">
        <v>462</v>
      </c>
      <c r="E252">
        <v>1</v>
      </c>
      <c r="F252">
        <v>1</v>
      </c>
      <c r="G252">
        <v>36</v>
      </c>
      <c r="H252" s="2">
        <v>44245.760706018518</v>
      </c>
    </row>
    <row r="253" spans="1:8" ht="14.25" customHeight="1" x14ac:dyDescent="0.3">
      <c r="A253">
        <v>1357080</v>
      </c>
      <c r="B253" t="s">
        <v>4636</v>
      </c>
      <c r="C253" t="s">
        <v>4329</v>
      </c>
      <c r="D253" t="s">
        <v>462</v>
      </c>
      <c r="E253">
        <v>1</v>
      </c>
      <c r="F253">
        <v>1</v>
      </c>
      <c r="G253">
        <v>36</v>
      </c>
      <c r="H253" s="2">
        <v>44245.760763888888</v>
      </c>
    </row>
    <row r="254" spans="1:8" ht="14.25" customHeight="1" x14ac:dyDescent="0.3">
      <c r="A254">
        <v>1357068</v>
      </c>
      <c r="B254" t="s">
        <v>4636</v>
      </c>
      <c r="C254" t="s">
        <v>4329</v>
      </c>
      <c r="D254" t="s">
        <v>462</v>
      </c>
      <c r="E254">
        <v>1</v>
      </c>
      <c r="F254">
        <v>1</v>
      </c>
      <c r="G254">
        <v>36</v>
      </c>
      <c r="H254" s="2">
        <v>44245.760821759257</v>
      </c>
    </row>
    <row r="255" spans="1:8" ht="14.25" customHeight="1" x14ac:dyDescent="0.3">
      <c r="A255">
        <v>1357060</v>
      </c>
      <c r="B255" t="s">
        <v>4629</v>
      </c>
      <c r="C255" t="s">
        <v>4329</v>
      </c>
      <c r="D255" t="s">
        <v>462</v>
      </c>
      <c r="E255">
        <v>1</v>
      </c>
      <c r="F255">
        <v>1</v>
      </c>
      <c r="G255">
        <v>36</v>
      </c>
      <c r="H255" s="2">
        <v>44245.760868055557</v>
      </c>
    </row>
    <row r="256" spans="1:8" ht="14.25" customHeight="1" x14ac:dyDescent="0.3">
      <c r="A256">
        <v>1357062</v>
      </c>
      <c r="B256" t="s">
        <v>4653</v>
      </c>
      <c r="C256" t="s">
        <v>4329</v>
      </c>
      <c r="D256" t="s">
        <v>462</v>
      </c>
      <c r="E256">
        <v>1</v>
      </c>
      <c r="F256">
        <v>1</v>
      </c>
      <c r="G256">
        <v>36</v>
      </c>
      <c r="H256" s="2">
        <v>44245.760914351849</v>
      </c>
    </row>
    <row r="257" spans="1:8" ht="14.25" customHeight="1" x14ac:dyDescent="0.3">
      <c r="A257">
        <v>1357063</v>
      </c>
      <c r="B257" t="s">
        <v>4604</v>
      </c>
      <c r="C257" t="s">
        <v>4329</v>
      </c>
      <c r="D257" t="s">
        <v>462</v>
      </c>
      <c r="E257">
        <v>1</v>
      </c>
      <c r="F257">
        <v>1</v>
      </c>
      <c r="G257">
        <v>36</v>
      </c>
      <c r="H257" s="2">
        <v>44245.760972222219</v>
      </c>
    </row>
    <row r="258" spans="1:8" ht="14.25" customHeight="1" x14ac:dyDescent="0.3">
      <c r="A258">
        <v>1357065</v>
      </c>
      <c r="B258" t="s">
        <v>4654</v>
      </c>
      <c r="C258" t="s">
        <v>4329</v>
      </c>
      <c r="D258" t="s">
        <v>462</v>
      </c>
      <c r="E258">
        <v>1</v>
      </c>
      <c r="F258">
        <v>1</v>
      </c>
      <c r="G258">
        <v>36</v>
      </c>
      <c r="H258" s="2">
        <v>44245.761030092595</v>
      </c>
    </row>
    <row r="259" spans="1:8" ht="14.25" customHeight="1" x14ac:dyDescent="0.3">
      <c r="A259">
        <v>1357051</v>
      </c>
      <c r="B259" t="s">
        <v>4655</v>
      </c>
      <c r="C259" t="s">
        <v>4329</v>
      </c>
      <c r="D259" t="s">
        <v>462</v>
      </c>
      <c r="E259">
        <v>1</v>
      </c>
      <c r="F259">
        <v>1</v>
      </c>
      <c r="G259">
        <v>36</v>
      </c>
      <c r="H259" s="2">
        <v>44245.761087962965</v>
      </c>
    </row>
    <row r="260" spans="1:8" ht="14.25" customHeight="1" x14ac:dyDescent="0.3">
      <c r="A260">
        <v>1357077</v>
      </c>
      <c r="B260" t="s">
        <v>4636</v>
      </c>
      <c r="C260" t="s">
        <v>4329</v>
      </c>
      <c r="D260" t="s">
        <v>462</v>
      </c>
      <c r="E260">
        <v>1</v>
      </c>
      <c r="F260">
        <v>1</v>
      </c>
      <c r="G260">
        <v>36</v>
      </c>
      <c r="H260" s="2">
        <v>44245.761145833334</v>
      </c>
    </row>
    <row r="261" spans="1:8" ht="14.25" customHeight="1" x14ac:dyDescent="0.3">
      <c r="A261">
        <v>1357090</v>
      </c>
      <c r="B261" t="s">
        <v>4639</v>
      </c>
      <c r="C261" t="s">
        <v>4329</v>
      </c>
      <c r="D261" t="s">
        <v>462</v>
      </c>
      <c r="E261">
        <v>1</v>
      </c>
      <c r="F261">
        <v>1</v>
      </c>
      <c r="G261">
        <v>36</v>
      </c>
      <c r="H261" s="2">
        <v>44245.761192129627</v>
      </c>
    </row>
    <row r="262" spans="1:8" ht="14.25" customHeight="1" x14ac:dyDescent="0.3">
      <c r="A262">
        <v>1357054</v>
      </c>
      <c r="B262" t="s">
        <v>4656</v>
      </c>
      <c r="C262" t="s">
        <v>4329</v>
      </c>
      <c r="D262" t="s">
        <v>462</v>
      </c>
      <c r="E262">
        <v>1</v>
      </c>
      <c r="F262">
        <v>1</v>
      </c>
      <c r="G262">
        <v>36</v>
      </c>
      <c r="H262" s="2">
        <v>44245.761238425926</v>
      </c>
    </row>
    <row r="263" spans="1:8" ht="14.25" customHeight="1" x14ac:dyDescent="0.3">
      <c r="A263">
        <v>1357768</v>
      </c>
      <c r="B263">
        <v>1357669</v>
      </c>
      <c r="C263" s="1" t="s">
        <v>4657</v>
      </c>
      <c r="D263" t="s">
        <v>11</v>
      </c>
      <c r="E263">
        <v>1</v>
      </c>
      <c r="F263">
        <v>2</v>
      </c>
      <c r="G263">
        <v>41</v>
      </c>
      <c r="H263" s="2">
        <v>44245.761273148149</v>
      </c>
    </row>
    <row r="264" spans="1:8" ht="14.25" customHeight="1" x14ac:dyDescent="0.3">
      <c r="A264">
        <v>1357109</v>
      </c>
      <c r="B264" t="s">
        <v>4658</v>
      </c>
      <c r="C264" t="s">
        <v>4329</v>
      </c>
      <c r="D264" t="s">
        <v>462</v>
      </c>
      <c r="E264">
        <v>1</v>
      </c>
      <c r="F264">
        <v>1</v>
      </c>
      <c r="G264">
        <v>36</v>
      </c>
      <c r="H264" s="2">
        <v>44245.761296296296</v>
      </c>
    </row>
    <row r="265" spans="1:8" ht="14.25" customHeight="1" x14ac:dyDescent="0.3">
      <c r="A265">
        <v>1357047</v>
      </c>
      <c r="B265" t="s">
        <v>4659</v>
      </c>
      <c r="C265" t="s">
        <v>4329</v>
      </c>
      <c r="D265" t="s">
        <v>462</v>
      </c>
      <c r="E265">
        <v>1</v>
      </c>
      <c r="F265">
        <v>1</v>
      </c>
      <c r="G265">
        <v>36</v>
      </c>
      <c r="H265" s="2">
        <v>44245.761516203704</v>
      </c>
    </row>
    <row r="266" spans="1:8" ht="14.25" customHeight="1" x14ac:dyDescent="0.3">
      <c r="A266">
        <v>1357052</v>
      </c>
      <c r="B266" t="s">
        <v>4660</v>
      </c>
      <c r="C266" t="s">
        <v>4329</v>
      </c>
      <c r="D266" t="s">
        <v>462</v>
      </c>
      <c r="E266">
        <v>1</v>
      </c>
      <c r="F266">
        <v>1</v>
      </c>
      <c r="G266">
        <v>36</v>
      </c>
      <c r="H266" s="2">
        <v>44245.761574074073</v>
      </c>
    </row>
    <row r="267" spans="1:8" ht="14.25" customHeight="1" x14ac:dyDescent="0.3">
      <c r="A267">
        <v>1357120</v>
      </c>
      <c r="B267" t="s">
        <v>4661</v>
      </c>
      <c r="C267" t="s">
        <v>4329</v>
      </c>
      <c r="D267" t="s">
        <v>462</v>
      </c>
      <c r="E267">
        <v>1</v>
      </c>
      <c r="F267">
        <v>1</v>
      </c>
      <c r="G267">
        <v>36</v>
      </c>
      <c r="H267" s="2">
        <v>44245.761712962965</v>
      </c>
    </row>
    <row r="268" spans="1:8" ht="14.25" customHeight="1" x14ac:dyDescent="0.3">
      <c r="A268">
        <v>1357056</v>
      </c>
      <c r="B268" t="s">
        <v>4656</v>
      </c>
      <c r="C268" t="s">
        <v>4329</v>
      </c>
      <c r="D268" t="s">
        <v>462</v>
      </c>
      <c r="E268">
        <v>1</v>
      </c>
      <c r="F268">
        <v>1</v>
      </c>
      <c r="G268">
        <v>36</v>
      </c>
      <c r="H268" s="2">
        <v>44245.761770833335</v>
      </c>
    </row>
    <row r="269" spans="1:8" ht="14.25" customHeight="1" x14ac:dyDescent="0.3">
      <c r="A269">
        <v>1357044</v>
      </c>
      <c r="B269" t="e">
        <f>- mnp sss - add mike and kulvinder to unifi controller</f>
        <v>#NAME?</v>
      </c>
      <c r="C269" s="1" t="s">
        <v>4662</v>
      </c>
      <c r="D269" t="s">
        <v>24</v>
      </c>
      <c r="E269">
        <v>1</v>
      </c>
      <c r="F269">
        <v>1</v>
      </c>
      <c r="G269">
        <v>43</v>
      </c>
      <c r="H269" s="2">
        <v>44245.76185185185</v>
      </c>
    </row>
    <row r="270" spans="1:8" ht="14.25" customHeight="1" x14ac:dyDescent="0.3">
      <c r="A270">
        <v>1357046</v>
      </c>
      <c r="B270" t="s">
        <v>4625</v>
      </c>
      <c r="C270" t="s">
        <v>4329</v>
      </c>
      <c r="D270" t="s">
        <v>462</v>
      </c>
      <c r="E270">
        <v>1</v>
      </c>
      <c r="F270">
        <v>1</v>
      </c>
      <c r="G270">
        <v>36</v>
      </c>
      <c r="H270" s="2">
        <v>44245.76190972222</v>
      </c>
    </row>
    <row r="271" spans="1:8" ht="14.25" customHeight="1" x14ac:dyDescent="0.3">
      <c r="A271">
        <v>1357074</v>
      </c>
      <c r="B271" t="s">
        <v>4636</v>
      </c>
      <c r="C271" t="s">
        <v>4329</v>
      </c>
      <c r="D271" t="s">
        <v>462</v>
      </c>
      <c r="E271">
        <v>1</v>
      </c>
      <c r="F271">
        <v>1</v>
      </c>
      <c r="G271">
        <v>36</v>
      </c>
      <c r="H271" s="2">
        <v>44245.761967592596</v>
      </c>
    </row>
    <row r="272" spans="1:8" ht="14.25" customHeight="1" x14ac:dyDescent="0.3">
      <c r="A272">
        <v>1357053</v>
      </c>
      <c r="B272" t="s">
        <v>4663</v>
      </c>
      <c r="C272" t="s">
        <v>4329</v>
      </c>
      <c r="D272" t="s">
        <v>462</v>
      </c>
      <c r="E272">
        <v>1</v>
      </c>
      <c r="F272">
        <v>1</v>
      </c>
      <c r="G272">
        <v>36</v>
      </c>
      <c r="H272" s="2">
        <v>44245.762025462966</v>
      </c>
    </row>
    <row r="273" spans="1:8" ht="14.25" customHeight="1" x14ac:dyDescent="0.3">
      <c r="A273">
        <v>1357734</v>
      </c>
      <c r="B273" t="e">
        <f>- computer sound is not coming through my headset</f>
        <v>#NAME?</v>
      </c>
      <c r="C273" s="1" t="s">
        <v>4664</v>
      </c>
      <c r="D273" t="s">
        <v>24</v>
      </c>
      <c r="E273">
        <v>1</v>
      </c>
      <c r="F273">
        <v>2</v>
      </c>
      <c r="G273">
        <v>41</v>
      </c>
      <c r="H273" s="2">
        <v>44245.762071759258</v>
      </c>
    </row>
    <row r="274" spans="1:8" ht="14.25" customHeight="1" x14ac:dyDescent="0.3">
      <c r="A274">
        <v>1357045</v>
      </c>
      <c r="B274" t="s">
        <v>4665</v>
      </c>
      <c r="C274" t="s">
        <v>4329</v>
      </c>
      <c r="D274" t="s">
        <v>462</v>
      </c>
      <c r="E274">
        <v>1</v>
      </c>
      <c r="F274">
        <v>1</v>
      </c>
      <c r="G274">
        <v>36</v>
      </c>
      <c r="H274" s="2">
        <v>44245.762199074074</v>
      </c>
    </row>
    <row r="275" spans="1:8" ht="14.25" customHeight="1" x14ac:dyDescent="0.3">
      <c r="A275">
        <v>1357703</v>
      </c>
      <c r="B275" t="e">
        <f>- s drive access, sabrina tabak</f>
        <v>#NAME?</v>
      </c>
      <c r="C275" s="1" t="s">
        <v>4666</v>
      </c>
      <c r="D275" t="s">
        <v>11</v>
      </c>
      <c r="E275">
        <v>1</v>
      </c>
      <c r="F275">
        <v>1</v>
      </c>
      <c r="G275">
        <v>43</v>
      </c>
      <c r="H275" s="2">
        <v>44245.76222222222</v>
      </c>
    </row>
    <row r="276" spans="1:8" ht="14.25" customHeight="1" x14ac:dyDescent="0.3">
      <c r="A276">
        <v>1357061</v>
      </c>
      <c r="B276" t="s">
        <v>4667</v>
      </c>
      <c r="C276" t="s">
        <v>4329</v>
      </c>
      <c r="D276" t="s">
        <v>462</v>
      </c>
      <c r="E276">
        <v>1</v>
      </c>
      <c r="F276">
        <v>1</v>
      </c>
      <c r="G276">
        <v>36</v>
      </c>
      <c r="H276" s="2">
        <v>44245.762245370373</v>
      </c>
    </row>
    <row r="277" spans="1:8" ht="14.25" customHeight="1" x14ac:dyDescent="0.3">
      <c r="A277">
        <v>1357048</v>
      </c>
      <c r="B277" t="s">
        <v>4665</v>
      </c>
      <c r="C277" t="s">
        <v>4329</v>
      </c>
      <c r="D277" t="s">
        <v>462</v>
      </c>
      <c r="E277">
        <v>1</v>
      </c>
      <c r="F277">
        <v>1</v>
      </c>
      <c r="G277">
        <v>36</v>
      </c>
      <c r="H277" s="2">
        <v>44245.762314814812</v>
      </c>
    </row>
    <row r="278" spans="1:8" ht="14.25" customHeight="1" x14ac:dyDescent="0.3">
      <c r="A278">
        <v>1357817</v>
      </c>
      <c r="B278" t="s">
        <v>4668</v>
      </c>
      <c r="C278" s="1" t="s">
        <v>4669</v>
      </c>
      <c r="D278" t="s">
        <v>11</v>
      </c>
      <c r="E278">
        <v>1</v>
      </c>
      <c r="F278">
        <v>1</v>
      </c>
      <c r="G278">
        <v>36</v>
      </c>
      <c r="H278" s="2">
        <v>44245.762430555558</v>
      </c>
    </row>
    <row r="279" spans="1:8" ht="14.25" customHeight="1" x14ac:dyDescent="0.3">
      <c r="A279">
        <v>1357057</v>
      </c>
      <c r="B279" t="s">
        <v>4670</v>
      </c>
      <c r="C279" t="s">
        <v>4329</v>
      </c>
      <c r="D279" t="s">
        <v>462</v>
      </c>
      <c r="E279">
        <v>1</v>
      </c>
      <c r="F279">
        <v>1</v>
      </c>
      <c r="G279">
        <v>36</v>
      </c>
      <c r="H279" s="2">
        <v>44245.762766203705</v>
      </c>
    </row>
    <row r="280" spans="1:8" ht="14.25" customHeight="1" x14ac:dyDescent="0.3">
      <c r="A280">
        <v>1357070</v>
      </c>
      <c r="B280" t="s">
        <v>4636</v>
      </c>
      <c r="C280" t="s">
        <v>4329</v>
      </c>
      <c r="D280" t="s">
        <v>462</v>
      </c>
      <c r="E280">
        <v>1</v>
      </c>
      <c r="F280">
        <v>1</v>
      </c>
      <c r="G280">
        <v>36</v>
      </c>
      <c r="H280" s="2">
        <v>44245.76295138889</v>
      </c>
    </row>
    <row r="281" spans="1:8" ht="14.25" customHeight="1" x14ac:dyDescent="0.3">
      <c r="A281">
        <v>1357076</v>
      </c>
      <c r="B281" t="s">
        <v>4636</v>
      </c>
      <c r="C281" t="s">
        <v>4329</v>
      </c>
      <c r="D281" t="s">
        <v>462</v>
      </c>
      <c r="E281">
        <v>1</v>
      </c>
      <c r="F281">
        <v>1</v>
      </c>
      <c r="G281">
        <v>36</v>
      </c>
      <c r="H281" s="2">
        <v>44245.763032407405</v>
      </c>
    </row>
    <row r="282" spans="1:8" ht="14.25" customHeight="1" x14ac:dyDescent="0.3">
      <c r="A282">
        <v>1357709</v>
      </c>
      <c r="B282">
        <v>1357703</v>
      </c>
      <c r="C282" s="1" t="s">
        <v>4671</v>
      </c>
      <c r="D282" t="s">
        <v>11</v>
      </c>
      <c r="E282">
        <v>1</v>
      </c>
      <c r="F282">
        <v>2</v>
      </c>
      <c r="G282">
        <v>43</v>
      </c>
      <c r="H282" s="2">
        <v>44245.763090277775</v>
      </c>
    </row>
    <row r="283" spans="1:8" ht="14.25" customHeight="1" x14ac:dyDescent="0.3">
      <c r="A283">
        <v>1357058</v>
      </c>
      <c r="B283" t="s">
        <v>4672</v>
      </c>
      <c r="C283" t="s">
        <v>4329</v>
      </c>
      <c r="D283" t="s">
        <v>462</v>
      </c>
      <c r="E283">
        <v>1</v>
      </c>
      <c r="F283">
        <v>1</v>
      </c>
      <c r="G283">
        <v>36</v>
      </c>
      <c r="H283" s="2">
        <v>44245.763229166667</v>
      </c>
    </row>
    <row r="284" spans="1:8" ht="14.25" customHeight="1" x14ac:dyDescent="0.3">
      <c r="A284">
        <v>1357050</v>
      </c>
      <c r="B284" t="s">
        <v>4673</v>
      </c>
      <c r="C284" t="s">
        <v>4329</v>
      </c>
      <c r="D284" t="s">
        <v>462</v>
      </c>
      <c r="E284">
        <v>1</v>
      </c>
      <c r="F284">
        <v>1</v>
      </c>
      <c r="G284">
        <v>36</v>
      </c>
      <c r="H284" s="2">
        <v>44245.763310185182</v>
      </c>
    </row>
    <row r="285" spans="1:8" ht="14.25" customHeight="1" x14ac:dyDescent="0.3">
      <c r="A285">
        <v>1357099</v>
      </c>
      <c r="B285" t="s">
        <v>4674</v>
      </c>
      <c r="C285" t="s">
        <v>4329</v>
      </c>
      <c r="D285" t="s">
        <v>462</v>
      </c>
      <c r="E285">
        <v>1</v>
      </c>
      <c r="F285">
        <v>1</v>
      </c>
      <c r="G285">
        <v>36</v>
      </c>
      <c r="H285" s="2">
        <v>44245.763472222221</v>
      </c>
    </row>
    <row r="286" spans="1:8" ht="14.25" customHeight="1" x14ac:dyDescent="0.3">
      <c r="A286">
        <v>1357083</v>
      </c>
      <c r="B286" t="s">
        <v>4636</v>
      </c>
      <c r="C286" t="s">
        <v>4329</v>
      </c>
      <c r="D286" t="s">
        <v>462</v>
      </c>
      <c r="E286">
        <v>1</v>
      </c>
      <c r="F286">
        <v>1</v>
      </c>
      <c r="G286">
        <v>36</v>
      </c>
      <c r="H286" s="2">
        <v>44245.763680555552</v>
      </c>
    </row>
    <row r="287" spans="1:8" ht="14.25" customHeight="1" x14ac:dyDescent="0.3">
      <c r="A287">
        <v>1357033</v>
      </c>
      <c r="B287" t="s">
        <v>4675</v>
      </c>
      <c r="C287" s="1" t="s">
        <v>4676</v>
      </c>
      <c r="D287" t="s">
        <v>24</v>
      </c>
      <c r="E287">
        <v>1</v>
      </c>
      <c r="F287">
        <v>1</v>
      </c>
      <c r="G287">
        <v>36</v>
      </c>
      <c r="H287" s="2">
        <v>44245.763796296298</v>
      </c>
    </row>
    <row r="288" spans="1:8" ht="14.25" customHeight="1" x14ac:dyDescent="0.3">
      <c r="A288">
        <v>1356922</v>
      </c>
      <c r="B288" t="s">
        <v>4677</v>
      </c>
      <c r="C288" t="s">
        <v>4329</v>
      </c>
      <c r="D288" t="s">
        <v>462</v>
      </c>
      <c r="E288">
        <v>1</v>
      </c>
      <c r="F288">
        <v>1</v>
      </c>
      <c r="G288">
        <v>36</v>
      </c>
      <c r="H288" s="2">
        <v>44245.763854166667</v>
      </c>
    </row>
    <row r="289" spans="1:8" ht="14.25" customHeight="1" x14ac:dyDescent="0.3">
      <c r="A289">
        <v>1357763</v>
      </c>
      <c r="B289" t="s">
        <v>4678</v>
      </c>
      <c r="C289" s="1" t="s">
        <v>4679</v>
      </c>
      <c r="D289" t="s">
        <v>11</v>
      </c>
      <c r="E289">
        <v>3</v>
      </c>
      <c r="F289">
        <v>3</v>
      </c>
      <c r="G289">
        <v>43</v>
      </c>
      <c r="H289" s="2">
        <v>44245.763865740744</v>
      </c>
    </row>
    <row r="290" spans="1:8" ht="14.25" customHeight="1" x14ac:dyDescent="0.3">
      <c r="A290">
        <v>1357081</v>
      </c>
      <c r="B290" t="s">
        <v>4636</v>
      </c>
      <c r="C290" t="s">
        <v>4329</v>
      </c>
      <c r="D290" t="s">
        <v>462</v>
      </c>
      <c r="E290">
        <v>1</v>
      </c>
      <c r="F290">
        <v>1</v>
      </c>
      <c r="G290">
        <v>36</v>
      </c>
      <c r="H290" s="2">
        <v>44245.763912037037</v>
      </c>
    </row>
    <row r="291" spans="1:8" ht="14.25" customHeight="1" x14ac:dyDescent="0.3">
      <c r="A291">
        <v>1357055</v>
      </c>
      <c r="B291" t="s">
        <v>4656</v>
      </c>
      <c r="C291" t="s">
        <v>4329</v>
      </c>
      <c r="D291" t="s">
        <v>462</v>
      </c>
      <c r="E291">
        <v>1</v>
      </c>
      <c r="F291">
        <v>1</v>
      </c>
      <c r="G291">
        <v>36</v>
      </c>
      <c r="H291" s="2">
        <v>44245.763969907406</v>
      </c>
    </row>
    <row r="292" spans="1:8" ht="14.25" customHeight="1" x14ac:dyDescent="0.3">
      <c r="A292">
        <v>1357049</v>
      </c>
      <c r="B292" t="s">
        <v>4680</v>
      </c>
      <c r="C292" t="s">
        <v>4329</v>
      </c>
      <c r="D292" t="s">
        <v>462</v>
      </c>
      <c r="E292">
        <v>1</v>
      </c>
      <c r="F292">
        <v>1</v>
      </c>
      <c r="G292">
        <v>36</v>
      </c>
      <c r="H292" s="2">
        <v>44245.764780092592</v>
      </c>
    </row>
    <row r="293" spans="1:8" ht="14.25" customHeight="1" x14ac:dyDescent="0.3">
      <c r="A293">
        <v>1356919</v>
      </c>
      <c r="B293" t="s">
        <v>4681</v>
      </c>
      <c r="C293" s="1" t="s">
        <v>4682</v>
      </c>
      <c r="D293" t="s">
        <v>11</v>
      </c>
      <c r="E293">
        <v>1</v>
      </c>
      <c r="F293">
        <v>3</v>
      </c>
      <c r="G293">
        <v>41</v>
      </c>
      <c r="H293" s="2">
        <v>44245.764884259261</v>
      </c>
    </row>
    <row r="294" spans="1:8" ht="14.25" customHeight="1" x14ac:dyDescent="0.3">
      <c r="A294">
        <v>1356791</v>
      </c>
      <c r="B294" t="s">
        <v>4683</v>
      </c>
      <c r="C294" t="s">
        <v>4684</v>
      </c>
      <c r="D294" t="s">
        <v>1158</v>
      </c>
      <c r="E294">
        <v>1</v>
      </c>
      <c r="F294">
        <v>1</v>
      </c>
      <c r="G294">
        <v>36</v>
      </c>
      <c r="H294" s="2">
        <v>44245.764988425923</v>
      </c>
    </row>
    <row r="295" spans="1:8" ht="14.25" customHeight="1" x14ac:dyDescent="0.3">
      <c r="A295">
        <v>1357094</v>
      </c>
      <c r="B295" t="s">
        <v>4634</v>
      </c>
      <c r="C295" t="s">
        <v>4329</v>
      </c>
      <c r="D295" t="s">
        <v>462</v>
      </c>
      <c r="E295">
        <v>1</v>
      </c>
      <c r="F295">
        <v>1</v>
      </c>
      <c r="G295">
        <v>36</v>
      </c>
      <c r="H295" s="2">
        <v>44245.765046296299</v>
      </c>
    </row>
    <row r="296" spans="1:8" ht="14.25" customHeight="1" x14ac:dyDescent="0.3">
      <c r="A296">
        <v>1356548</v>
      </c>
      <c r="B296" t="e">
        <f>- kensington  - no internet</f>
        <v>#NAME?</v>
      </c>
      <c r="C296" t="s">
        <v>4685</v>
      </c>
      <c r="D296" t="s">
        <v>11</v>
      </c>
      <c r="E296">
        <v>3</v>
      </c>
      <c r="F296">
        <v>3</v>
      </c>
      <c r="G296">
        <v>41</v>
      </c>
      <c r="H296" s="2">
        <v>44245.765162037038</v>
      </c>
    </row>
    <row r="297" spans="1:8" ht="14.25" customHeight="1" x14ac:dyDescent="0.3">
      <c r="A297">
        <v>1357059</v>
      </c>
      <c r="B297" t="s">
        <v>4686</v>
      </c>
      <c r="C297" t="s">
        <v>4329</v>
      </c>
      <c r="D297" t="s">
        <v>462</v>
      </c>
      <c r="E297">
        <v>1</v>
      </c>
      <c r="F297">
        <v>1</v>
      </c>
      <c r="G297">
        <v>36</v>
      </c>
      <c r="H297" s="2">
        <v>44245.765520833331</v>
      </c>
    </row>
    <row r="298" spans="1:8" ht="14.25" customHeight="1" x14ac:dyDescent="0.3">
      <c r="A298">
        <v>1356923</v>
      </c>
      <c r="B298" t="s">
        <v>4687</v>
      </c>
      <c r="C298" t="s">
        <v>4329</v>
      </c>
      <c r="D298" t="s">
        <v>462</v>
      </c>
      <c r="E298">
        <v>1</v>
      </c>
      <c r="F298">
        <v>1</v>
      </c>
      <c r="G298">
        <v>36</v>
      </c>
      <c r="H298" s="2">
        <v>44245.765590277777</v>
      </c>
    </row>
    <row r="299" spans="1:8" ht="14.25" customHeight="1" x14ac:dyDescent="0.3">
      <c r="A299">
        <v>1356639</v>
      </c>
      <c r="B299" t="s">
        <v>4688</v>
      </c>
      <c r="C299" t="s">
        <v>4689</v>
      </c>
      <c r="D299" t="s">
        <v>11</v>
      </c>
      <c r="E299">
        <v>1</v>
      </c>
      <c r="F299">
        <v>1</v>
      </c>
      <c r="G299">
        <v>43</v>
      </c>
      <c r="H299" s="2">
        <v>44245.765729166669</v>
      </c>
    </row>
    <row r="300" spans="1:8" ht="14.25" customHeight="1" x14ac:dyDescent="0.3">
      <c r="A300">
        <v>1356792</v>
      </c>
      <c r="B300" t="s">
        <v>4690</v>
      </c>
      <c r="C300" t="s">
        <v>4691</v>
      </c>
      <c r="D300" t="s">
        <v>1158</v>
      </c>
      <c r="E300">
        <v>1</v>
      </c>
      <c r="F300">
        <v>1</v>
      </c>
      <c r="G300">
        <v>36</v>
      </c>
      <c r="H300" s="2">
        <v>44245.766006944446</v>
      </c>
    </row>
    <row r="301" spans="1:8" ht="14.25" customHeight="1" x14ac:dyDescent="0.3">
      <c r="A301">
        <v>1356564</v>
      </c>
      <c r="B301" t="e">
        <f>- protection for desktop</f>
        <v>#NAME?</v>
      </c>
      <c r="C301" s="1" t="s">
        <v>4692</v>
      </c>
      <c r="D301" t="s">
        <v>11</v>
      </c>
      <c r="E301">
        <v>1</v>
      </c>
      <c r="F301">
        <v>1</v>
      </c>
      <c r="G301">
        <v>36</v>
      </c>
      <c r="H301" s="2">
        <v>44245.766527777778</v>
      </c>
    </row>
    <row r="302" spans="1:8" ht="14.25" customHeight="1" x14ac:dyDescent="0.3">
      <c r="A302">
        <v>1357640</v>
      </c>
      <c r="B302" t="s">
        <v>4693</v>
      </c>
      <c r="C302" s="1" t="s">
        <v>4694</v>
      </c>
      <c r="D302" t="s">
        <v>11</v>
      </c>
      <c r="E302">
        <v>1</v>
      </c>
      <c r="F302">
        <v>1</v>
      </c>
      <c r="G302">
        <v>43</v>
      </c>
      <c r="H302" s="2">
        <v>44245.766608796293</v>
      </c>
    </row>
    <row r="303" spans="1:8" ht="14.25" customHeight="1" x14ac:dyDescent="0.3">
      <c r="A303">
        <v>1358268</v>
      </c>
      <c r="B303" t="s">
        <v>4695</v>
      </c>
      <c r="C303" s="1" t="s">
        <v>4696</v>
      </c>
      <c r="D303" t="s">
        <v>11</v>
      </c>
      <c r="E303">
        <v>1</v>
      </c>
      <c r="F303">
        <v>2</v>
      </c>
      <c r="G303">
        <v>43</v>
      </c>
      <c r="H303" s="2">
        <v>44245.766956018517</v>
      </c>
    </row>
    <row r="304" spans="1:8" ht="14.25" customHeight="1" x14ac:dyDescent="0.3">
      <c r="A304">
        <v>1357784</v>
      </c>
      <c r="B304" t="e">
        <f>- vpn for employees</f>
        <v>#NAME?</v>
      </c>
      <c r="C304" s="1" t="s">
        <v>4697</v>
      </c>
      <c r="D304" t="s">
        <v>11</v>
      </c>
      <c r="E304">
        <v>2</v>
      </c>
      <c r="F304">
        <v>3</v>
      </c>
      <c r="G304">
        <v>43</v>
      </c>
      <c r="H304" s="2">
        <v>44245.767743055556</v>
      </c>
    </row>
    <row r="305" spans="1:8" ht="14.25" customHeight="1" x14ac:dyDescent="0.3">
      <c r="A305">
        <v>1357296</v>
      </c>
      <c r="B305" t="e">
        <f>- igloo vpn art notifications</f>
        <v>#NAME?</v>
      </c>
      <c r="C305" s="1" t="s">
        <v>4698</v>
      </c>
      <c r="D305" t="s">
        <v>24</v>
      </c>
      <c r="E305">
        <v>1</v>
      </c>
      <c r="F305">
        <v>1</v>
      </c>
      <c r="G305">
        <v>41</v>
      </c>
      <c r="H305" s="2">
        <v>44245.768206018518</v>
      </c>
    </row>
    <row r="306" spans="1:8" ht="14.25" customHeight="1" x14ac:dyDescent="0.3">
      <c r="A306">
        <v>1357710</v>
      </c>
      <c r="B306" t="s">
        <v>4699</v>
      </c>
      <c r="C306" s="1" t="s">
        <v>4700</v>
      </c>
      <c r="D306" t="s">
        <v>11</v>
      </c>
      <c r="E306">
        <v>2</v>
      </c>
      <c r="F306">
        <v>2</v>
      </c>
      <c r="G306">
        <v>36</v>
      </c>
      <c r="H306" s="2">
        <v>44245.768645833334</v>
      </c>
    </row>
    <row r="307" spans="1:8" ht="14.25" customHeight="1" x14ac:dyDescent="0.3">
      <c r="A307">
        <v>1357097</v>
      </c>
      <c r="B307" t="s">
        <v>4674</v>
      </c>
      <c r="C307" t="s">
        <v>4329</v>
      </c>
      <c r="D307" t="s">
        <v>462</v>
      </c>
      <c r="E307">
        <v>1</v>
      </c>
      <c r="F307">
        <v>1</v>
      </c>
      <c r="G307">
        <v>36</v>
      </c>
      <c r="H307" s="2">
        <v>44245.76935185185</v>
      </c>
    </row>
    <row r="308" spans="1:8" ht="14.25" customHeight="1" x14ac:dyDescent="0.3">
      <c r="A308">
        <v>1356819</v>
      </c>
      <c r="B308" t="s">
        <v>4701</v>
      </c>
      <c r="C308" s="1" t="s">
        <v>4702</v>
      </c>
      <c r="D308" t="s">
        <v>11</v>
      </c>
      <c r="E308">
        <v>1</v>
      </c>
      <c r="F308">
        <v>3</v>
      </c>
      <c r="G308">
        <v>41</v>
      </c>
      <c r="H308" s="2">
        <v>44245.769490740742</v>
      </c>
    </row>
    <row r="309" spans="1:8" ht="14.25" customHeight="1" x14ac:dyDescent="0.3">
      <c r="A309">
        <v>1357641</v>
      </c>
      <c r="B309" t="s">
        <v>4703</v>
      </c>
      <c r="C309" s="1" t="s">
        <v>4704</v>
      </c>
      <c r="D309" t="s">
        <v>11</v>
      </c>
      <c r="E309">
        <v>2</v>
      </c>
      <c r="F309">
        <v>1</v>
      </c>
      <c r="G309">
        <v>41</v>
      </c>
      <c r="H309" s="2">
        <v>44245.769699074073</v>
      </c>
    </row>
    <row r="310" spans="1:8" ht="14.25" customHeight="1" x14ac:dyDescent="0.3">
      <c r="A310">
        <v>1357086</v>
      </c>
      <c r="B310" t="s">
        <v>4636</v>
      </c>
      <c r="C310" t="s">
        <v>4329</v>
      </c>
      <c r="D310" t="s">
        <v>462</v>
      </c>
      <c r="E310">
        <v>1</v>
      </c>
      <c r="F310">
        <v>1</v>
      </c>
      <c r="G310">
        <v>36</v>
      </c>
      <c r="H310" s="2">
        <v>44245.769768518519</v>
      </c>
    </row>
    <row r="311" spans="1:8" ht="14.25" customHeight="1" x14ac:dyDescent="0.3">
      <c r="A311">
        <v>1357837</v>
      </c>
      <c r="B311" t="s">
        <v>4705</v>
      </c>
      <c r="C311" s="1" t="s">
        <v>4706</v>
      </c>
      <c r="D311" t="s">
        <v>11</v>
      </c>
      <c r="E311">
        <v>1</v>
      </c>
      <c r="F311">
        <v>2</v>
      </c>
      <c r="G311">
        <v>43</v>
      </c>
      <c r="H311" s="2">
        <v>44245.769976851851</v>
      </c>
    </row>
    <row r="312" spans="1:8" ht="14.25" customHeight="1" x14ac:dyDescent="0.3">
      <c r="A312">
        <v>1356449</v>
      </c>
      <c r="B312" t="e">
        <f>- need our toshiba printer looked at, keeps jamming and  requesting a service</f>
        <v>#NAME?</v>
      </c>
      <c r="C312" s="1" t="s">
        <v>4576</v>
      </c>
      <c r="D312" t="s">
        <v>24</v>
      </c>
      <c r="E312">
        <v>1</v>
      </c>
      <c r="F312">
        <v>2</v>
      </c>
      <c r="G312">
        <v>43</v>
      </c>
      <c r="H312" s="2">
        <v>44245.770150462966</v>
      </c>
    </row>
    <row r="313" spans="1:8" ht="14.25" customHeight="1" x14ac:dyDescent="0.3">
      <c r="A313">
        <v>1356421</v>
      </c>
      <c r="B313" t="e">
        <f>- cannot access hr mailbox</f>
        <v>#NAME?</v>
      </c>
      <c r="C313" s="1" t="s">
        <v>4707</v>
      </c>
      <c r="D313" t="s">
        <v>11</v>
      </c>
      <c r="E313">
        <v>1</v>
      </c>
      <c r="F313">
        <v>2</v>
      </c>
      <c r="G313">
        <v>41</v>
      </c>
      <c r="H313" s="2">
        <v>44245.770243055558</v>
      </c>
    </row>
    <row r="314" spans="1:8" ht="14.25" customHeight="1" x14ac:dyDescent="0.3">
      <c r="A314">
        <v>1357827</v>
      </c>
      <c r="B314" t="s">
        <v>4708</v>
      </c>
      <c r="C314" s="1" t="s">
        <v>4709</v>
      </c>
      <c r="D314" t="s">
        <v>11</v>
      </c>
      <c r="E314">
        <v>1</v>
      </c>
      <c r="F314">
        <v>1</v>
      </c>
      <c r="G314">
        <v>43</v>
      </c>
      <c r="H314" s="2">
        <v>44245.770497685182</v>
      </c>
    </row>
    <row r="315" spans="1:8" ht="14.25" customHeight="1" x14ac:dyDescent="0.3">
      <c r="A315">
        <v>1357220</v>
      </c>
      <c r="B315" t="s">
        <v>4710</v>
      </c>
      <c r="C315" s="1" t="s">
        <v>4711</v>
      </c>
      <c r="D315" t="s">
        <v>11</v>
      </c>
      <c r="E315">
        <v>1</v>
      </c>
      <c r="F315">
        <v>1</v>
      </c>
      <c r="G315">
        <v>36</v>
      </c>
      <c r="H315" s="2">
        <v>44245.774004629631</v>
      </c>
    </row>
    <row r="316" spans="1:8" ht="14.25" customHeight="1" x14ac:dyDescent="0.3">
      <c r="A316">
        <v>1358258</v>
      </c>
      <c r="B316" t="e">
        <f>- iskwew internet connection</f>
        <v>#NAME?</v>
      </c>
      <c r="C316" s="1" t="s">
        <v>4712</v>
      </c>
      <c r="D316" t="s">
        <v>24</v>
      </c>
      <c r="E316">
        <v>2</v>
      </c>
      <c r="F316">
        <v>3</v>
      </c>
      <c r="G316">
        <v>41</v>
      </c>
      <c r="H316" s="2">
        <v>44245.774351851855</v>
      </c>
    </row>
    <row r="317" spans="1:8" ht="14.25" customHeight="1" x14ac:dyDescent="0.3">
      <c r="A317">
        <v>1357224</v>
      </c>
      <c r="B317" t="e">
        <f>- cannot connect to the pml admission xerox C8045</f>
        <v>#NAME?</v>
      </c>
      <c r="C317" s="1" t="s">
        <v>4713</v>
      </c>
      <c r="D317" t="s">
        <v>24</v>
      </c>
      <c r="E317">
        <v>2</v>
      </c>
      <c r="F317">
        <v>3</v>
      </c>
      <c r="G317">
        <v>41</v>
      </c>
      <c r="H317" s="2">
        <v>44245.774814814817</v>
      </c>
    </row>
    <row r="318" spans="1:8" ht="14.25" customHeight="1" x14ac:dyDescent="0.3">
      <c r="A318">
        <v>1357227</v>
      </c>
      <c r="B318" t="s">
        <v>4714</v>
      </c>
      <c r="C318" s="1" t="s">
        <v>4715</v>
      </c>
      <c r="D318" t="s">
        <v>11</v>
      </c>
      <c r="E318">
        <v>1</v>
      </c>
      <c r="F318">
        <v>3</v>
      </c>
      <c r="G318">
        <v>43</v>
      </c>
      <c r="H318" s="2">
        <v>44245.775069444448</v>
      </c>
    </row>
    <row r="319" spans="1:8" ht="14.25" customHeight="1" x14ac:dyDescent="0.3">
      <c r="A319">
        <v>1357281</v>
      </c>
      <c r="B319" t="e">
        <f>- surgery printers issues</f>
        <v>#NAME?</v>
      </c>
      <c r="C319" s="1" t="s">
        <v>4716</v>
      </c>
      <c r="D319" t="s">
        <v>11</v>
      </c>
      <c r="E319">
        <v>2</v>
      </c>
      <c r="F319">
        <v>3</v>
      </c>
      <c r="G319">
        <v>41</v>
      </c>
      <c r="H319" s="2">
        <v>44245.775729166664</v>
      </c>
    </row>
    <row r="320" spans="1:8" ht="14.25" customHeight="1" x14ac:dyDescent="0.3">
      <c r="A320">
        <v>1357613</v>
      </c>
      <c r="B320" t="s">
        <v>4717</v>
      </c>
      <c r="C320" s="1" t="s">
        <v>4718</v>
      </c>
      <c r="D320" t="s">
        <v>11</v>
      </c>
      <c r="E320">
        <v>1</v>
      </c>
      <c r="F320">
        <v>3</v>
      </c>
      <c r="G320">
        <v>41</v>
      </c>
      <c r="H320" s="2">
        <v>44245.776446759257</v>
      </c>
    </row>
    <row r="321" spans="1:8" ht="14.25" customHeight="1" x14ac:dyDescent="0.3">
      <c r="A321">
        <v>1357812</v>
      </c>
      <c r="B321" t="e">
        <f>- desktop change over</f>
        <v>#NAME?</v>
      </c>
      <c r="C321" s="1" t="s">
        <v>4719</v>
      </c>
      <c r="D321" t="s">
        <v>11</v>
      </c>
      <c r="E321">
        <v>1</v>
      </c>
      <c r="F321">
        <v>3</v>
      </c>
      <c r="G321">
        <v>43</v>
      </c>
      <c r="H321" s="2">
        <v>44245.777060185188</v>
      </c>
    </row>
    <row r="322" spans="1:8" ht="14.25" customHeight="1" x14ac:dyDescent="0.3">
      <c r="A322">
        <v>1357189</v>
      </c>
      <c r="B322" t="s">
        <v>4720</v>
      </c>
      <c r="C322" s="1" t="s">
        <v>4721</v>
      </c>
      <c r="D322" t="s">
        <v>11</v>
      </c>
      <c r="E322">
        <v>1</v>
      </c>
      <c r="F322">
        <v>2</v>
      </c>
      <c r="G322">
        <v>41</v>
      </c>
      <c r="H322" s="2">
        <v>44245.777488425927</v>
      </c>
    </row>
    <row r="323" spans="1:8" ht="14.25" customHeight="1" x14ac:dyDescent="0.3">
      <c r="A323">
        <v>1357178</v>
      </c>
      <c r="B323">
        <v>1356994</v>
      </c>
      <c r="C323" s="1" t="s">
        <v>4722</v>
      </c>
      <c r="D323" t="s">
        <v>11</v>
      </c>
      <c r="E323">
        <v>1</v>
      </c>
      <c r="F323">
        <v>1</v>
      </c>
      <c r="G323">
        <v>41</v>
      </c>
      <c r="H323" s="2">
        <v>44245.779803240737</v>
      </c>
    </row>
    <row r="324" spans="1:8" ht="14.25" customHeight="1" x14ac:dyDescent="0.3">
      <c r="A324">
        <v>1357151</v>
      </c>
      <c r="B324" t="s">
        <v>4723</v>
      </c>
      <c r="C324" s="1" t="s">
        <v>4724</v>
      </c>
      <c r="D324" t="s">
        <v>11</v>
      </c>
      <c r="E324">
        <v>1</v>
      </c>
      <c r="F324">
        <v>2</v>
      </c>
      <c r="G324">
        <v>43</v>
      </c>
      <c r="H324" s="2">
        <v>44245.780138888891</v>
      </c>
    </row>
    <row r="325" spans="1:8" ht="14.25" customHeight="1" x14ac:dyDescent="0.3">
      <c r="A325">
        <v>1357757</v>
      </c>
      <c r="B325" t="s">
        <v>4725</v>
      </c>
      <c r="C325" s="1" t="s">
        <v>4726</v>
      </c>
      <c r="D325" t="s">
        <v>24</v>
      </c>
      <c r="E325">
        <v>1</v>
      </c>
      <c r="F325">
        <v>1</v>
      </c>
      <c r="G325">
        <v>43</v>
      </c>
      <c r="H325" s="2">
        <v>44245.780613425923</v>
      </c>
    </row>
    <row r="326" spans="1:8" ht="14.25" customHeight="1" x14ac:dyDescent="0.3">
      <c r="A326">
        <v>1357247</v>
      </c>
      <c r="B326" t="s">
        <v>4727</v>
      </c>
      <c r="C326" s="1" t="s">
        <v>4728</v>
      </c>
      <c r="D326" t="s">
        <v>11</v>
      </c>
      <c r="E326">
        <v>2</v>
      </c>
      <c r="F326">
        <v>2</v>
      </c>
      <c r="G326">
        <v>43</v>
      </c>
      <c r="H326" s="2">
        <v>44245.780902777777</v>
      </c>
    </row>
    <row r="327" spans="1:8" ht="14.25" customHeight="1" x14ac:dyDescent="0.3">
      <c r="A327">
        <v>1356994</v>
      </c>
      <c r="B327" t="e">
        <f>- password not working for the loop</f>
        <v>#NAME?</v>
      </c>
      <c r="C327" s="1" t="s">
        <v>4729</v>
      </c>
      <c r="D327" t="s">
        <v>24</v>
      </c>
      <c r="E327">
        <v>1</v>
      </c>
      <c r="F327">
        <v>2</v>
      </c>
      <c r="G327">
        <v>41</v>
      </c>
      <c r="H327" s="2">
        <v>44245.781944444447</v>
      </c>
    </row>
    <row r="328" spans="1:8" ht="14.25" customHeight="1" x14ac:dyDescent="0.3">
      <c r="A328">
        <v>1357716</v>
      </c>
      <c r="B328" t="s">
        <v>4730</v>
      </c>
      <c r="C328" s="1" t="s">
        <v>4731</v>
      </c>
      <c r="D328" t="s">
        <v>11</v>
      </c>
      <c r="E328">
        <v>1</v>
      </c>
      <c r="F328">
        <v>1</v>
      </c>
      <c r="G328">
        <v>36</v>
      </c>
      <c r="H328" s="2">
        <v>44245.782361111109</v>
      </c>
    </row>
    <row r="329" spans="1:8" ht="14.25" customHeight="1" x14ac:dyDescent="0.3">
      <c r="A329">
        <v>1356969</v>
      </c>
      <c r="B329" t="e">
        <f>- internet issues</f>
        <v>#NAME?</v>
      </c>
      <c r="C329" s="1" t="s">
        <v>4732</v>
      </c>
      <c r="D329" t="s">
        <v>11</v>
      </c>
      <c r="E329">
        <v>2</v>
      </c>
      <c r="F329">
        <v>2</v>
      </c>
      <c r="G329">
        <v>41</v>
      </c>
      <c r="H329" s="2">
        <v>44245.782731481479</v>
      </c>
    </row>
    <row r="330" spans="1:8" ht="14.25" customHeight="1" x14ac:dyDescent="0.3">
      <c r="A330">
        <v>1357717</v>
      </c>
      <c r="B330" t="s">
        <v>4733</v>
      </c>
      <c r="C330" s="1" t="s">
        <v>4734</v>
      </c>
      <c r="D330" t="s">
        <v>24</v>
      </c>
      <c r="E330">
        <v>1</v>
      </c>
      <c r="F330">
        <v>2</v>
      </c>
      <c r="G330">
        <v>43</v>
      </c>
      <c r="H330" s="2">
        <v>44245.783067129632</v>
      </c>
    </row>
    <row r="331" spans="1:8" ht="14.25" customHeight="1" x14ac:dyDescent="0.3">
      <c r="A331">
        <v>1357028</v>
      </c>
      <c r="B331" t="s">
        <v>4735</v>
      </c>
      <c r="C331" s="1" t="s">
        <v>4736</v>
      </c>
      <c r="D331" t="s">
        <v>24</v>
      </c>
      <c r="E331">
        <v>2</v>
      </c>
      <c r="F331">
        <v>3</v>
      </c>
      <c r="G331">
        <v>43</v>
      </c>
      <c r="H331" s="2">
        <v>44245.784224537034</v>
      </c>
    </row>
    <row r="332" spans="1:8" ht="14.25" customHeight="1" x14ac:dyDescent="0.3">
      <c r="A332">
        <v>1357035</v>
      </c>
      <c r="B332" t="s">
        <v>4737</v>
      </c>
      <c r="C332" s="1" t="s">
        <v>4738</v>
      </c>
      <c r="D332" t="s">
        <v>11</v>
      </c>
      <c r="E332">
        <v>1</v>
      </c>
      <c r="F332">
        <v>1</v>
      </c>
      <c r="G332">
        <v>41</v>
      </c>
      <c r="H332" s="2">
        <v>44245.784618055557</v>
      </c>
    </row>
    <row r="333" spans="1:8" ht="14.25" customHeight="1" x14ac:dyDescent="0.3">
      <c r="A333">
        <v>1357027</v>
      </c>
      <c r="B333" t="e">
        <f>- quickbooks issues</f>
        <v>#NAME?</v>
      </c>
      <c r="C333" s="1" t="s">
        <v>4739</v>
      </c>
      <c r="D333" t="s">
        <v>11</v>
      </c>
      <c r="E333">
        <v>1</v>
      </c>
      <c r="F333">
        <v>3</v>
      </c>
      <c r="G333">
        <v>41</v>
      </c>
      <c r="H333" s="2">
        <v>44245.785243055558</v>
      </c>
    </row>
    <row r="334" spans="1:8" ht="14.25" customHeight="1" x14ac:dyDescent="0.3">
      <c r="A334">
        <v>1356968</v>
      </c>
      <c r="B334" t="e">
        <f>- disconnected from the cloud</f>
        <v>#NAME?</v>
      </c>
      <c r="C334" s="1" t="s">
        <v>4740</v>
      </c>
      <c r="D334" t="s">
        <v>24</v>
      </c>
      <c r="E334">
        <v>1</v>
      </c>
      <c r="F334">
        <v>2</v>
      </c>
      <c r="G334">
        <v>41</v>
      </c>
      <c r="H334" s="2">
        <v>44245.785729166666</v>
      </c>
    </row>
    <row r="335" spans="1:8" ht="14.25" customHeight="1" x14ac:dyDescent="0.3">
      <c r="A335">
        <v>1357733</v>
      </c>
      <c r="B335" t="e">
        <f>- re: name change for jwondik</f>
        <v>#NAME?</v>
      </c>
      <c r="C335" s="1" t="s">
        <v>4633</v>
      </c>
      <c r="D335" t="s">
        <v>11</v>
      </c>
      <c r="E335">
        <v>1</v>
      </c>
      <c r="F335">
        <v>2</v>
      </c>
      <c r="G335">
        <v>43</v>
      </c>
      <c r="H335" s="2">
        <v>44245.785960648151</v>
      </c>
    </row>
    <row r="336" spans="1:8" ht="14.25" customHeight="1" x14ac:dyDescent="0.3">
      <c r="A336">
        <v>1356962</v>
      </c>
      <c r="B336" t="s">
        <v>4723</v>
      </c>
      <c r="C336" s="1" t="s">
        <v>4741</v>
      </c>
      <c r="D336" t="s">
        <v>11</v>
      </c>
      <c r="E336">
        <v>1</v>
      </c>
      <c r="F336">
        <v>2</v>
      </c>
      <c r="G336">
        <v>43</v>
      </c>
      <c r="H336" s="2">
        <v>44245.786377314813</v>
      </c>
    </row>
    <row r="337" spans="1:8" ht="14.25" customHeight="1" x14ac:dyDescent="0.3">
      <c r="A337">
        <v>1356960</v>
      </c>
      <c r="B337" t="s">
        <v>4742</v>
      </c>
      <c r="C337" t="s">
        <v>4743</v>
      </c>
      <c r="D337" t="s">
        <v>11</v>
      </c>
      <c r="E337">
        <v>2</v>
      </c>
      <c r="F337">
        <v>2</v>
      </c>
      <c r="G337">
        <v>41</v>
      </c>
      <c r="H337" s="2">
        <v>44245.789340277777</v>
      </c>
    </row>
    <row r="338" spans="1:8" ht="14.25" customHeight="1" x14ac:dyDescent="0.3">
      <c r="A338">
        <v>1356965</v>
      </c>
      <c r="B338" t="s">
        <v>4723</v>
      </c>
      <c r="C338" s="1" t="s">
        <v>4744</v>
      </c>
      <c r="D338" t="s">
        <v>11</v>
      </c>
      <c r="E338">
        <v>1</v>
      </c>
      <c r="F338">
        <v>1</v>
      </c>
      <c r="G338">
        <v>43</v>
      </c>
      <c r="H338" s="2">
        <v>44245.789953703701</v>
      </c>
    </row>
    <row r="339" spans="1:8" ht="14.25" customHeight="1" x14ac:dyDescent="0.3">
      <c r="A339">
        <v>1356980</v>
      </c>
      <c r="B339" t="s">
        <v>4745</v>
      </c>
      <c r="C339" s="1" t="s">
        <v>4746</v>
      </c>
      <c r="D339" t="s">
        <v>11</v>
      </c>
      <c r="E339">
        <v>1</v>
      </c>
      <c r="F339">
        <v>2</v>
      </c>
      <c r="G339">
        <v>41</v>
      </c>
      <c r="H339" s="2">
        <v>44245.790879629632</v>
      </c>
    </row>
    <row r="340" spans="1:8" ht="14.25" customHeight="1" x14ac:dyDescent="0.3">
      <c r="A340">
        <v>1357167</v>
      </c>
      <c r="B340" t="e">
        <f>- auto reply - inspections email/inbox</f>
        <v>#NAME?</v>
      </c>
      <c r="C340" s="1" t="s">
        <v>4747</v>
      </c>
      <c r="D340" t="s">
        <v>11</v>
      </c>
      <c r="E340">
        <v>1</v>
      </c>
      <c r="F340">
        <v>2</v>
      </c>
      <c r="G340">
        <v>43</v>
      </c>
      <c r="H340" s="2">
        <v>44245.79146990741</v>
      </c>
    </row>
    <row r="341" spans="1:8" ht="14.25" customHeight="1" x14ac:dyDescent="0.3">
      <c r="A341">
        <v>1356536</v>
      </c>
      <c r="B341" t="e">
        <f>- create a new email account to allow marketing manager to send emails</f>
        <v>#NAME?</v>
      </c>
      <c r="C341" s="1" t="s">
        <v>4748</v>
      </c>
      <c r="D341" t="s">
        <v>24</v>
      </c>
      <c r="E341">
        <v>1</v>
      </c>
      <c r="F341">
        <v>2</v>
      </c>
      <c r="G341">
        <v>43</v>
      </c>
      <c r="H341" s="2">
        <v>44245.857974537037</v>
      </c>
    </row>
    <row r="342" spans="1:8" ht="14.25" customHeight="1" x14ac:dyDescent="0.3">
      <c r="A342">
        <v>1356531</v>
      </c>
      <c r="B342" t="e">
        <f>- search function not working</f>
        <v>#NAME?</v>
      </c>
      <c r="C342" s="1" t="s">
        <v>4749</v>
      </c>
      <c r="D342" t="s">
        <v>11</v>
      </c>
      <c r="E342">
        <v>1</v>
      </c>
      <c r="F342">
        <v>1</v>
      </c>
      <c r="G342">
        <v>41</v>
      </c>
      <c r="H342" s="2">
        <v>44245.858356481483</v>
      </c>
    </row>
    <row r="343" spans="1:8" ht="14.25" customHeight="1" x14ac:dyDescent="0.3">
      <c r="A343">
        <v>1356914</v>
      </c>
      <c r="B343" t="s">
        <v>4750</v>
      </c>
      <c r="C343" s="1" t="s">
        <v>4751</v>
      </c>
      <c r="D343" t="s">
        <v>11</v>
      </c>
      <c r="E343">
        <v>1</v>
      </c>
      <c r="F343">
        <v>1</v>
      </c>
      <c r="G343">
        <v>43</v>
      </c>
      <c r="H343" s="2">
        <v>44245.858715277776</v>
      </c>
    </row>
    <row r="344" spans="1:8" ht="14.25" customHeight="1" x14ac:dyDescent="0.3">
      <c r="A344">
        <v>1357199</v>
      </c>
      <c r="B344" t="e">
        <f>- access to vpn</f>
        <v>#NAME?</v>
      </c>
      <c r="C344" s="1" t="s">
        <v>4752</v>
      </c>
      <c r="D344" t="s">
        <v>24</v>
      </c>
      <c r="E344">
        <v>1</v>
      </c>
      <c r="F344">
        <v>2</v>
      </c>
      <c r="G344">
        <v>43</v>
      </c>
      <c r="H344" s="2">
        <v>44245.8594212963</v>
      </c>
    </row>
    <row r="345" spans="1:8" ht="14.25" customHeight="1" x14ac:dyDescent="0.3">
      <c r="A345">
        <v>1356967</v>
      </c>
      <c r="B345" t="s">
        <v>4753</v>
      </c>
      <c r="C345" t="s">
        <v>4754</v>
      </c>
      <c r="D345" t="s">
        <v>11</v>
      </c>
      <c r="E345">
        <v>2</v>
      </c>
      <c r="F345">
        <v>2</v>
      </c>
      <c r="G345">
        <v>43</v>
      </c>
      <c r="H345" s="2">
        <v>44245.860358796293</v>
      </c>
    </row>
    <row r="346" spans="1:8" ht="14.25" customHeight="1" x14ac:dyDescent="0.3">
      <c r="A346">
        <v>1357814</v>
      </c>
      <c r="B346" t="e">
        <f>- email for norm belanger</f>
        <v>#NAME?</v>
      </c>
      <c r="C346" s="1" t="s">
        <v>4755</v>
      </c>
      <c r="D346" t="s">
        <v>11</v>
      </c>
      <c r="E346">
        <v>1</v>
      </c>
      <c r="F346">
        <v>1</v>
      </c>
      <c r="G346">
        <v>43</v>
      </c>
      <c r="H346" s="2">
        <v>44245.860925925925</v>
      </c>
    </row>
    <row r="347" spans="1:8" ht="14.25" customHeight="1" x14ac:dyDescent="0.3">
      <c r="A347">
        <v>1357570</v>
      </c>
      <c r="B347" t="s">
        <v>4756</v>
      </c>
      <c r="C347" s="1" t="s">
        <v>4757</v>
      </c>
      <c r="D347" t="s">
        <v>11</v>
      </c>
      <c r="E347">
        <v>1</v>
      </c>
      <c r="F347">
        <v>1</v>
      </c>
      <c r="G347">
        <v>36</v>
      </c>
      <c r="H347" s="2">
        <v>44245.861342592594</v>
      </c>
    </row>
    <row r="348" spans="1:8" ht="14.25" customHeight="1" x14ac:dyDescent="0.3">
      <c r="A348">
        <v>1356988</v>
      </c>
      <c r="B348" t="e">
        <f>- hide network printer and adobe acrobat installation on rds</f>
        <v>#NAME?</v>
      </c>
      <c r="C348" s="1" t="s">
        <v>4758</v>
      </c>
      <c r="D348" t="s">
        <v>24</v>
      </c>
      <c r="E348">
        <v>1</v>
      </c>
      <c r="F348">
        <v>2</v>
      </c>
      <c r="G348">
        <v>43</v>
      </c>
      <c r="H348" s="2">
        <v>44245.861620370371</v>
      </c>
    </row>
    <row r="349" spans="1:8" ht="14.25" customHeight="1" x14ac:dyDescent="0.3">
      <c r="A349">
        <v>1357037</v>
      </c>
      <c r="B349" t="e">
        <f>- support accessing sharepoint</f>
        <v>#NAME?</v>
      </c>
      <c r="C349" s="1" t="s">
        <v>4759</v>
      </c>
      <c r="D349" t="s">
        <v>11</v>
      </c>
      <c r="E349">
        <v>1</v>
      </c>
      <c r="F349">
        <v>2</v>
      </c>
      <c r="G349">
        <v>41</v>
      </c>
      <c r="H349" s="2">
        <v>44245.862453703703</v>
      </c>
    </row>
    <row r="350" spans="1:8" ht="14.25" customHeight="1" x14ac:dyDescent="0.3">
      <c r="A350">
        <v>1356494</v>
      </c>
      <c r="B350" t="s">
        <v>4760</v>
      </c>
      <c r="C350" s="1" t="s">
        <v>4761</v>
      </c>
      <c r="D350" t="s">
        <v>11</v>
      </c>
      <c r="E350">
        <v>1</v>
      </c>
      <c r="F350">
        <v>1</v>
      </c>
      <c r="G350">
        <v>43</v>
      </c>
      <c r="H350" s="2">
        <v>44245.862766203703</v>
      </c>
    </row>
    <row r="351" spans="1:8" ht="14.25" customHeight="1" x14ac:dyDescent="0.3">
      <c r="A351">
        <v>1357153</v>
      </c>
      <c r="B351" t="s">
        <v>4762</v>
      </c>
      <c r="C351" s="1" t="s">
        <v>4763</v>
      </c>
      <c r="D351" t="s">
        <v>11</v>
      </c>
      <c r="E351">
        <v>2</v>
      </c>
      <c r="F351">
        <v>2</v>
      </c>
      <c r="G351">
        <v>43</v>
      </c>
      <c r="H351" s="2">
        <v>44245.863449074073</v>
      </c>
    </row>
    <row r="352" spans="1:8" ht="14.25" customHeight="1" x14ac:dyDescent="0.3">
      <c r="A352">
        <v>1356651</v>
      </c>
      <c r="B352" t="s">
        <v>4764</v>
      </c>
      <c r="C352" s="1" t="s">
        <v>4765</v>
      </c>
      <c r="D352" t="s">
        <v>11</v>
      </c>
      <c r="E352">
        <v>1</v>
      </c>
      <c r="F352">
        <v>1</v>
      </c>
      <c r="G352">
        <v>43</v>
      </c>
      <c r="H352" s="2">
        <v>44245.863854166666</v>
      </c>
    </row>
    <row r="353" spans="1:8" ht="14.25" customHeight="1" x14ac:dyDescent="0.3">
      <c r="A353">
        <v>1356456</v>
      </c>
      <c r="B353" t="e">
        <f>- cannot print</f>
        <v>#NAME?</v>
      </c>
      <c r="C353" s="1" t="s">
        <v>4766</v>
      </c>
      <c r="D353" t="s">
        <v>24</v>
      </c>
      <c r="E353">
        <v>1</v>
      </c>
      <c r="F353">
        <v>3</v>
      </c>
      <c r="G353">
        <v>41</v>
      </c>
      <c r="H353" s="2">
        <v>44245.86451388889</v>
      </c>
    </row>
    <row r="354" spans="1:8" ht="14.25" customHeight="1" x14ac:dyDescent="0.3">
      <c r="A354">
        <v>1356483</v>
      </c>
      <c r="B354" t="s">
        <v>4767</v>
      </c>
      <c r="C354" s="1" t="s">
        <v>4768</v>
      </c>
      <c r="D354" t="s">
        <v>24</v>
      </c>
      <c r="E354">
        <v>3</v>
      </c>
      <c r="F354">
        <v>1</v>
      </c>
      <c r="G354">
        <v>43</v>
      </c>
      <c r="H354" s="2">
        <v>44245.864745370367</v>
      </c>
    </row>
    <row r="355" spans="1:8" ht="14.25" customHeight="1" x14ac:dyDescent="0.3">
      <c r="A355">
        <v>1356524</v>
      </c>
      <c r="B355" t="s">
        <v>4769</v>
      </c>
      <c r="C355" s="1" t="s">
        <v>4770</v>
      </c>
      <c r="D355" t="s">
        <v>11</v>
      </c>
      <c r="E355">
        <v>1</v>
      </c>
      <c r="F355">
        <v>2</v>
      </c>
      <c r="G355">
        <v>41</v>
      </c>
      <c r="H355" s="2">
        <v>44245.866388888891</v>
      </c>
    </row>
    <row r="356" spans="1:8" ht="14.25" customHeight="1" x14ac:dyDescent="0.3">
      <c r="A356">
        <v>1356448</v>
      </c>
      <c r="B356" t="s">
        <v>4771</v>
      </c>
      <c r="C356" s="1" t="s">
        <v>4772</v>
      </c>
      <c r="D356" t="s">
        <v>11</v>
      </c>
      <c r="E356">
        <v>1</v>
      </c>
      <c r="F356">
        <v>2</v>
      </c>
      <c r="G356">
        <v>43</v>
      </c>
      <c r="H356" s="2">
        <v>44245.908414351848</v>
      </c>
    </row>
    <row r="357" spans="1:8" ht="14.25" customHeight="1" x14ac:dyDescent="0.3">
      <c r="A357">
        <v>1356442</v>
      </c>
      <c r="B357" t="e">
        <f>- admin permissions</f>
        <v>#NAME?</v>
      </c>
      <c r="C357" s="1" t="s">
        <v>4773</v>
      </c>
      <c r="D357" t="s">
        <v>11</v>
      </c>
      <c r="E357">
        <v>1</v>
      </c>
      <c r="F357">
        <v>1</v>
      </c>
      <c r="G357">
        <v>43</v>
      </c>
      <c r="H357" s="2">
        <v>44245.931238425925</v>
      </c>
    </row>
    <row r="358" spans="1:8" ht="14.25" customHeight="1" x14ac:dyDescent="0.3">
      <c r="A358">
        <v>1356414</v>
      </c>
      <c r="B358" t="s">
        <v>4774</v>
      </c>
      <c r="C358" s="1" t="s">
        <v>4775</v>
      </c>
      <c r="D358" t="s">
        <v>11</v>
      </c>
      <c r="E358">
        <v>1</v>
      </c>
      <c r="F358">
        <v>2</v>
      </c>
      <c r="G358">
        <v>41</v>
      </c>
      <c r="H358" s="2">
        <v>44245.931516203702</v>
      </c>
    </row>
    <row r="359" spans="1:8" ht="14.25" customHeight="1" x14ac:dyDescent="0.3">
      <c r="A359">
        <v>1356467</v>
      </c>
      <c r="B359" t="s">
        <v>4776</v>
      </c>
      <c r="C359" s="1" t="s">
        <v>4777</v>
      </c>
      <c r="D359" t="s">
        <v>11</v>
      </c>
      <c r="E359">
        <v>1</v>
      </c>
      <c r="F359">
        <v>2</v>
      </c>
      <c r="G359">
        <v>41</v>
      </c>
      <c r="H359" s="2">
        <v>44245.932685185187</v>
      </c>
    </row>
    <row r="360" spans="1:8" ht="14.25" customHeight="1" x14ac:dyDescent="0.3">
      <c r="A360">
        <v>1357846</v>
      </c>
      <c r="B360">
        <v>1357846</v>
      </c>
      <c r="C360" s="1" t="s">
        <v>4778</v>
      </c>
      <c r="D360" t="s">
        <v>11</v>
      </c>
      <c r="E360">
        <v>1</v>
      </c>
      <c r="F360">
        <v>1</v>
      </c>
      <c r="G360">
        <v>43</v>
      </c>
      <c r="H360" s="2">
        <v>44245.94599537037</v>
      </c>
    </row>
    <row r="361" spans="1:8" ht="14.25" customHeight="1" x14ac:dyDescent="0.3">
      <c r="A361">
        <v>1356409</v>
      </c>
      <c r="B361" t="s">
        <v>4779</v>
      </c>
      <c r="C361" s="1" t="s">
        <v>4780</v>
      </c>
      <c r="D361" t="s">
        <v>11</v>
      </c>
      <c r="E361">
        <v>1</v>
      </c>
      <c r="F361">
        <v>2</v>
      </c>
      <c r="G361">
        <v>43</v>
      </c>
      <c r="H361" s="2">
        <v>44245.947766203702</v>
      </c>
    </row>
    <row r="362" spans="1:8" ht="14.25" customHeight="1" x14ac:dyDescent="0.3">
      <c r="A362">
        <v>1356413</v>
      </c>
      <c r="B362" t="s">
        <v>4781</v>
      </c>
      <c r="C362" s="1" t="s">
        <v>4782</v>
      </c>
      <c r="D362" t="s">
        <v>11</v>
      </c>
      <c r="E362">
        <v>1</v>
      </c>
      <c r="F362">
        <v>2</v>
      </c>
      <c r="G362">
        <v>41</v>
      </c>
      <c r="H362" s="2">
        <v>44245.947893518518</v>
      </c>
    </row>
    <row r="363" spans="1:8" ht="14.25" customHeight="1" x14ac:dyDescent="0.3">
      <c r="A363">
        <v>1356460</v>
      </c>
      <c r="B363" t="s">
        <v>4783</v>
      </c>
      <c r="C363" s="1" t="s">
        <v>4784</v>
      </c>
      <c r="D363" t="s">
        <v>11</v>
      </c>
      <c r="E363">
        <v>1</v>
      </c>
      <c r="F363">
        <v>1</v>
      </c>
      <c r="G363">
        <v>41</v>
      </c>
      <c r="H363" s="2">
        <v>44245.94835648148</v>
      </c>
    </row>
    <row r="364" spans="1:8" ht="14.25" customHeight="1" x14ac:dyDescent="0.3">
      <c r="A364">
        <v>1356406</v>
      </c>
      <c r="B364" t="e">
        <f>- phone in main office dropping calls, appears to need to be replaced</f>
        <v>#NAME?</v>
      </c>
      <c r="C364" s="1" t="s">
        <v>4785</v>
      </c>
      <c r="D364" t="s">
        <v>24</v>
      </c>
      <c r="E364">
        <v>1</v>
      </c>
      <c r="F364">
        <v>2</v>
      </c>
      <c r="G364">
        <v>41</v>
      </c>
      <c r="H364" s="2">
        <v>44245.948796296296</v>
      </c>
    </row>
    <row r="365" spans="1:8" ht="14.25" customHeight="1" x14ac:dyDescent="0.3">
      <c r="A365">
        <v>1360285</v>
      </c>
      <c r="B365" t="s">
        <v>4786</v>
      </c>
      <c r="C365" s="1" t="s">
        <v>4787</v>
      </c>
      <c r="D365" t="s">
        <v>11</v>
      </c>
      <c r="E365">
        <v>3</v>
      </c>
      <c r="F365">
        <v>2</v>
      </c>
      <c r="G365">
        <v>41</v>
      </c>
      <c r="H365" s="2">
        <v>44245.949467592596</v>
      </c>
    </row>
    <row r="366" spans="1:8" ht="14.25" customHeight="1" x14ac:dyDescent="0.3">
      <c r="A366">
        <v>1357262</v>
      </c>
      <c r="B366" t="s">
        <v>4788</v>
      </c>
      <c r="C366" s="1" t="s">
        <v>4789</v>
      </c>
      <c r="D366" t="s">
        <v>11</v>
      </c>
      <c r="E366">
        <v>2</v>
      </c>
      <c r="F366">
        <v>2</v>
      </c>
      <c r="G366">
        <v>41</v>
      </c>
      <c r="H366" s="2">
        <v>44245.949988425928</v>
      </c>
    </row>
    <row r="367" spans="1:8" ht="14.25" customHeight="1" x14ac:dyDescent="0.3">
      <c r="A367">
        <v>1357234</v>
      </c>
      <c r="B367" t="e">
        <f>- email not received</f>
        <v>#NAME?</v>
      </c>
      <c r="C367" s="1" t="s">
        <v>4790</v>
      </c>
      <c r="D367" t="s">
        <v>11</v>
      </c>
      <c r="E367">
        <v>3</v>
      </c>
      <c r="F367">
        <v>2</v>
      </c>
      <c r="G367">
        <v>41</v>
      </c>
      <c r="H367" s="2">
        <v>44245.950462962966</v>
      </c>
    </row>
    <row r="368" spans="1:8" ht="14.25" customHeight="1" x14ac:dyDescent="0.3">
      <c r="A368">
        <v>1357820</v>
      </c>
      <c r="B368" t="s">
        <v>4791</v>
      </c>
      <c r="C368" s="1" t="s">
        <v>4792</v>
      </c>
      <c r="D368" t="s">
        <v>11</v>
      </c>
      <c r="E368">
        <v>2</v>
      </c>
      <c r="F368">
        <v>2</v>
      </c>
      <c r="G368">
        <v>43</v>
      </c>
      <c r="H368" s="2">
        <v>44245.951932870368</v>
      </c>
    </row>
    <row r="369" spans="1:8" ht="14.25" customHeight="1" x14ac:dyDescent="0.3">
      <c r="A369">
        <v>1356327</v>
      </c>
      <c r="B369" t="s">
        <v>4793</v>
      </c>
      <c r="C369" s="1" t="s">
        <v>4794</v>
      </c>
      <c r="D369" t="s">
        <v>11</v>
      </c>
      <c r="E369">
        <v>1</v>
      </c>
      <c r="F369">
        <v>1</v>
      </c>
      <c r="G369">
        <v>36</v>
      </c>
      <c r="H369" s="2">
        <v>44245.952187499999</v>
      </c>
    </row>
    <row r="370" spans="1:8" ht="14.25" customHeight="1" x14ac:dyDescent="0.3">
      <c r="A370">
        <v>1356401</v>
      </c>
      <c r="B370" t="s">
        <v>4795</v>
      </c>
      <c r="C370" t="s">
        <v>4796</v>
      </c>
      <c r="D370" t="s">
        <v>11</v>
      </c>
      <c r="E370">
        <v>1</v>
      </c>
      <c r="F370">
        <v>1</v>
      </c>
      <c r="G370">
        <v>43</v>
      </c>
      <c r="H370" s="2">
        <v>44245.952905092592</v>
      </c>
    </row>
    <row r="371" spans="1:8" ht="14.25" customHeight="1" x14ac:dyDescent="0.3">
      <c r="A371">
        <v>1356329</v>
      </c>
      <c r="B371" t="e">
        <f>- outlook</f>
        <v>#NAME?</v>
      </c>
      <c r="C371" s="1" t="s">
        <v>4797</v>
      </c>
      <c r="D371" t="s">
        <v>24</v>
      </c>
      <c r="E371">
        <v>1</v>
      </c>
      <c r="F371">
        <v>3</v>
      </c>
      <c r="G371">
        <v>41</v>
      </c>
      <c r="H371" s="2">
        <v>44245.953020833331</v>
      </c>
    </row>
    <row r="372" spans="1:8" ht="14.25" customHeight="1" x14ac:dyDescent="0.3">
      <c r="A372">
        <v>1356345</v>
      </c>
      <c r="B372" t="e">
        <f>- missing icons</f>
        <v>#NAME?</v>
      </c>
      <c r="C372" s="1" t="s">
        <v>4798</v>
      </c>
      <c r="D372" t="s">
        <v>11</v>
      </c>
      <c r="E372">
        <v>1</v>
      </c>
      <c r="F372">
        <v>1</v>
      </c>
      <c r="G372">
        <v>41</v>
      </c>
      <c r="H372" s="2">
        <v>44245.953136574077</v>
      </c>
    </row>
    <row r="373" spans="1:8" ht="14.25" customHeight="1" x14ac:dyDescent="0.3">
      <c r="A373">
        <v>1356911</v>
      </c>
      <c r="B373" t="s">
        <v>4799</v>
      </c>
      <c r="C373" s="1" t="s">
        <v>4800</v>
      </c>
      <c r="D373" t="s">
        <v>24</v>
      </c>
      <c r="E373">
        <v>2</v>
      </c>
      <c r="F373">
        <v>3</v>
      </c>
      <c r="G373">
        <v>41</v>
      </c>
      <c r="H373" s="2">
        <v>44245.953298611108</v>
      </c>
    </row>
    <row r="374" spans="1:8" ht="14.25" customHeight="1" x14ac:dyDescent="0.3">
      <c r="A374">
        <v>1356361</v>
      </c>
      <c r="B374" t="s">
        <v>4801</v>
      </c>
      <c r="C374" s="1" t="s">
        <v>4802</v>
      </c>
      <c r="D374" t="s">
        <v>11</v>
      </c>
      <c r="E374">
        <v>1</v>
      </c>
      <c r="F374">
        <v>1</v>
      </c>
      <c r="G374">
        <v>41</v>
      </c>
      <c r="H374" s="2">
        <v>44245.953333333331</v>
      </c>
    </row>
    <row r="375" spans="1:8" ht="14.25" customHeight="1" x14ac:dyDescent="0.3">
      <c r="A375">
        <v>1356330</v>
      </c>
      <c r="B375" t="s">
        <v>4803</v>
      </c>
      <c r="C375" s="1" t="s">
        <v>4804</v>
      </c>
      <c r="D375" t="s">
        <v>11</v>
      </c>
      <c r="E375">
        <v>1</v>
      </c>
      <c r="F375">
        <v>1</v>
      </c>
      <c r="G375">
        <v>43</v>
      </c>
      <c r="H375" s="2">
        <v>44245.954004629632</v>
      </c>
    </row>
    <row r="376" spans="1:8" ht="14.25" customHeight="1" x14ac:dyDescent="0.3">
      <c r="A376">
        <v>1356332</v>
      </c>
      <c r="B376" t="s">
        <v>4793</v>
      </c>
      <c r="C376" s="1" t="s">
        <v>4794</v>
      </c>
      <c r="D376" t="s">
        <v>11</v>
      </c>
      <c r="E376">
        <v>1</v>
      </c>
      <c r="F376">
        <v>1</v>
      </c>
      <c r="G376">
        <v>36</v>
      </c>
      <c r="H376" s="2">
        <v>44245.954305555555</v>
      </c>
    </row>
    <row r="377" spans="1:8" ht="14.25" customHeight="1" x14ac:dyDescent="0.3">
      <c r="A377">
        <v>1356522</v>
      </c>
      <c r="B377" t="e">
        <f>- support needed re: locked document</f>
        <v>#NAME?</v>
      </c>
      <c r="C377" s="1" t="s">
        <v>4805</v>
      </c>
      <c r="D377" t="s">
        <v>11</v>
      </c>
      <c r="E377">
        <v>1</v>
      </c>
      <c r="F377">
        <v>3</v>
      </c>
      <c r="G377">
        <v>41</v>
      </c>
      <c r="H377" s="2">
        <v>44245.956678240742</v>
      </c>
    </row>
    <row r="378" spans="1:8" ht="14.25" customHeight="1" x14ac:dyDescent="0.3">
      <c r="A378">
        <v>1357043</v>
      </c>
      <c r="B378" t="e">
        <f>- add shamir shaikh to the group email ctce parts</f>
        <v>#NAME?</v>
      </c>
      <c r="C378" s="1" t="s">
        <v>4806</v>
      </c>
      <c r="D378" t="s">
        <v>11</v>
      </c>
      <c r="E378">
        <v>1</v>
      </c>
      <c r="F378">
        <v>1</v>
      </c>
      <c r="G378">
        <v>43</v>
      </c>
      <c r="H378" s="2">
        <v>44245.95689814815</v>
      </c>
    </row>
    <row r="379" spans="1:8" ht="14.25" customHeight="1" x14ac:dyDescent="0.3">
      <c r="A379">
        <v>1356516</v>
      </c>
      <c r="B379" t="e">
        <f>- roozen center pgh-SW5 port</f>
        <v>#NAME?</v>
      </c>
      <c r="C379" s="1" t="s">
        <v>4807</v>
      </c>
      <c r="D379" t="s">
        <v>11</v>
      </c>
      <c r="E379">
        <v>1</v>
      </c>
      <c r="F379">
        <v>1</v>
      </c>
      <c r="G379">
        <v>43</v>
      </c>
      <c r="H379" s="2">
        <v>44245.957129629627</v>
      </c>
    </row>
    <row r="380" spans="1:8" ht="14.25" customHeight="1" x14ac:dyDescent="0.3">
      <c r="A380">
        <v>1356360</v>
      </c>
      <c r="B380" t="s">
        <v>4808</v>
      </c>
      <c r="C380" t="s">
        <v>4809</v>
      </c>
      <c r="D380" t="s">
        <v>11</v>
      </c>
      <c r="E380">
        <v>2</v>
      </c>
      <c r="F380">
        <v>2</v>
      </c>
      <c r="G380">
        <v>43</v>
      </c>
      <c r="H380" s="2">
        <v>44245.95752314815</v>
      </c>
    </row>
    <row r="381" spans="1:8" ht="14.25" customHeight="1" x14ac:dyDescent="0.3">
      <c r="A381">
        <v>1355959</v>
      </c>
      <c r="C381" s="1" t="s">
        <v>4810</v>
      </c>
      <c r="D381" t="s">
        <v>11</v>
      </c>
      <c r="E381">
        <v>1</v>
      </c>
      <c r="F381">
        <v>1</v>
      </c>
      <c r="G381">
        <v>43</v>
      </c>
      <c r="H381" s="2">
        <v>44245.957685185182</v>
      </c>
    </row>
    <row r="382" spans="1:8" ht="14.25" customHeight="1" x14ac:dyDescent="0.3">
      <c r="A382">
        <v>1356419</v>
      </c>
      <c r="B382" t="s">
        <v>4811</v>
      </c>
      <c r="C382" s="1" t="s">
        <v>4812</v>
      </c>
      <c r="D382" t="s">
        <v>11</v>
      </c>
      <c r="E382">
        <v>2</v>
      </c>
      <c r="F382">
        <v>3</v>
      </c>
      <c r="G382">
        <v>41</v>
      </c>
      <c r="H382" s="2">
        <v>44245.958622685182</v>
      </c>
    </row>
    <row r="383" spans="1:8" ht="14.25" customHeight="1" x14ac:dyDescent="0.3">
      <c r="A383">
        <v>1356366</v>
      </c>
      <c r="B383" t="s">
        <v>4813</v>
      </c>
      <c r="C383" s="1" t="s">
        <v>4814</v>
      </c>
      <c r="D383" t="s">
        <v>11</v>
      </c>
      <c r="E383">
        <v>1</v>
      </c>
      <c r="F383">
        <v>1</v>
      </c>
      <c r="G383">
        <v>41</v>
      </c>
      <c r="H383" s="2">
        <v>44245.959201388891</v>
      </c>
    </row>
    <row r="384" spans="1:8" ht="14.25" customHeight="1" x14ac:dyDescent="0.3">
      <c r="A384">
        <v>1356410</v>
      </c>
      <c r="B384" t="s">
        <v>4815</v>
      </c>
      <c r="C384" s="1" t="s">
        <v>4816</v>
      </c>
      <c r="D384" t="s">
        <v>11</v>
      </c>
      <c r="E384">
        <v>1</v>
      </c>
      <c r="F384">
        <v>2</v>
      </c>
      <c r="G384">
        <v>43</v>
      </c>
      <c r="H384" s="2">
        <v>44245.959537037037</v>
      </c>
    </row>
    <row r="385" spans="1:8" ht="14.25" customHeight="1" x14ac:dyDescent="0.3">
      <c r="A385">
        <v>1356334</v>
      </c>
      <c r="B385" t="s">
        <v>4817</v>
      </c>
      <c r="C385" s="1" t="s">
        <v>4818</v>
      </c>
      <c r="D385" t="s">
        <v>24</v>
      </c>
      <c r="E385">
        <v>1</v>
      </c>
      <c r="F385">
        <v>1</v>
      </c>
      <c r="G385">
        <v>36</v>
      </c>
      <c r="H385" s="2">
        <v>44245.959664351853</v>
      </c>
    </row>
    <row r="386" spans="1:8" ht="14.25" customHeight="1" x14ac:dyDescent="0.3">
      <c r="A386">
        <v>1356341</v>
      </c>
      <c r="B386" t="s">
        <v>4819</v>
      </c>
      <c r="C386" s="1" t="s">
        <v>4820</v>
      </c>
      <c r="D386" t="s">
        <v>11</v>
      </c>
      <c r="E386">
        <v>2</v>
      </c>
      <c r="F386">
        <v>2</v>
      </c>
      <c r="G386">
        <v>41</v>
      </c>
      <c r="H386" s="2">
        <v>44245.960243055553</v>
      </c>
    </row>
    <row r="387" spans="1:8" ht="14.25" customHeight="1" x14ac:dyDescent="0.3">
      <c r="A387">
        <v>1356328</v>
      </c>
      <c r="B387" t="e">
        <f>- install accounting colour printer</f>
        <v>#NAME?</v>
      </c>
      <c r="C387" s="1" t="s">
        <v>4821</v>
      </c>
      <c r="D387" t="s">
        <v>11</v>
      </c>
      <c r="E387">
        <v>1</v>
      </c>
      <c r="F387">
        <v>1</v>
      </c>
      <c r="G387">
        <v>43</v>
      </c>
      <c r="H387" s="2">
        <v>44245.960949074077</v>
      </c>
    </row>
    <row r="388" spans="1:8" ht="14.25" customHeight="1" x14ac:dyDescent="0.3">
      <c r="A388">
        <v>1355634</v>
      </c>
      <c r="B388" t="s">
        <v>4822</v>
      </c>
      <c r="C388" s="1" t="s">
        <v>4823</v>
      </c>
      <c r="D388" t="s">
        <v>11</v>
      </c>
      <c r="E388">
        <v>1</v>
      </c>
      <c r="F388">
        <v>1</v>
      </c>
      <c r="G388">
        <v>43</v>
      </c>
      <c r="H388" s="2">
        <v>44245.961226851854</v>
      </c>
    </row>
    <row r="389" spans="1:8" ht="14.25" customHeight="1" x14ac:dyDescent="0.3">
      <c r="A389">
        <v>1356924</v>
      </c>
      <c r="B389" t="s">
        <v>4824</v>
      </c>
      <c r="C389" t="s">
        <v>4329</v>
      </c>
      <c r="D389" t="s">
        <v>462</v>
      </c>
      <c r="E389">
        <v>1</v>
      </c>
      <c r="F389">
        <v>1</v>
      </c>
      <c r="G389">
        <v>36</v>
      </c>
      <c r="H389" s="2">
        <v>44245.961284722223</v>
      </c>
    </row>
    <row r="390" spans="1:8" ht="14.25" customHeight="1" x14ac:dyDescent="0.3">
      <c r="A390">
        <v>1356317</v>
      </c>
      <c r="B390" t="s">
        <v>4825</v>
      </c>
      <c r="C390" s="1" t="s">
        <v>4826</v>
      </c>
      <c r="D390" t="s">
        <v>11</v>
      </c>
      <c r="E390">
        <v>1</v>
      </c>
      <c r="F390">
        <v>3</v>
      </c>
      <c r="G390">
        <v>41</v>
      </c>
      <c r="H390" s="2">
        <v>44245.961712962962</v>
      </c>
    </row>
    <row r="391" spans="1:8" ht="14.25" customHeight="1" x14ac:dyDescent="0.3">
      <c r="A391">
        <v>1356529</v>
      </c>
      <c r="B391" t="e">
        <f>- new user, stephanie seguin</f>
        <v>#NAME?</v>
      </c>
      <c r="C391" s="1" t="s">
        <v>4827</v>
      </c>
      <c r="D391" t="s">
        <v>11</v>
      </c>
      <c r="E391">
        <v>1</v>
      </c>
      <c r="F391">
        <v>3</v>
      </c>
      <c r="G391">
        <v>43</v>
      </c>
      <c r="H391" s="2">
        <v>44245.963402777779</v>
      </c>
    </row>
    <row r="392" spans="1:8" ht="14.25" customHeight="1" x14ac:dyDescent="0.3">
      <c r="A392">
        <v>1356457</v>
      </c>
      <c r="B392" t="e">
        <f>- new user, alyssa windrim</f>
        <v>#NAME?</v>
      </c>
      <c r="C392" s="1" t="s">
        <v>4828</v>
      </c>
      <c r="D392" t="s">
        <v>11</v>
      </c>
      <c r="E392">
        <v>1</v>
      </c>
      <c r="F392">
        <v>3</v>
      </c>
      <c r="G392">
        <v>43</v>
      </c>
      <c r="H392" s="2">
        <v>44245.963738425926</v>
      </c>
    </row>
    <row r="393" spans="1:8" ht="14.25" customHeight="1" x14ac:dyDescent="0.3">
      <c r="A393">
        <v>1355124</v>
      </c>
      <c r="B393" t="s">
        <v>4829</v>
      </c>
      <c r="C393" s="1" t="s">
        <v>4830</v>
      </c>
      <c r="D393" t="s">
        <v>11</v>
      </c>
      <c r="E393">
        <v>1</v>
      </c>
      <c r="F393">
        <v>1</v>
      </c>
      <c r="G393">
        <v>43</v>
      </c>
      <c r="H393" s="2">
        <v>44245.964224537034</v>
      </c>
    </row>
    <row r="394" spans="1:8" ht="14.25" customHeight="1" x14ac:dyDescent="0.3">
      <c r="A394">
        <v>1355807</v>
      </c>
      <c r="B394" t="s">
        <v>4831</v>
      </c>
      <c r="C394" t="s">
        <v>4832</v>
      </c>
      <c r="D394" t="s">
        <v>1158</v>
      </c>
      <c r="E394">
        <v>1</v>
      </c>
      <c r="F394">
        <v>1</v>
      </c>
      <c r="G394">
        <v>36</v>
      </c>
      <c r="H394" s="2">
        <v>44245.964421296296</v>
      </c>
    </row>
    <row r="395" spans="1:8" ht="14.25" customHeight="1" x14ac:dyDescent="0.3">
      <c r="A395">
        <v>1356342</v>
      </c>
      <c r="B395" t="e">
        <f>- fw: trent threadkel sage access</f>
        <v>#NAME?</v>
      </c>
      <c r="C395" t="s">
        <v>4833</v>
      </c>
      <c r="D395" t="s">
        <v>11</v>
      </c>
      <c r="E395">
        <v>1</v>
      </c>
      <c r="F395">
        <v>1</v>
      </c>
      <c r="G395">
        <v>43</v>
      </c>
      <c r="H395" s="2">
        <v>44245.965289351851</v>
      </c>
    </row>
    <row r="396" spans="1:8" ht="14.25" customHeight="1" x14ac:dyDescent="0.3">
      <c r="A396">
        <v>1355806</v>
      </c>
      <c r="B396" t="s">
        <v>4831</v>
      </c>
      <c r="C396" t="s">
        <v>4832</v>
      </c>
      <c r="D396" t="s">
        <v>1158</v>
      </c>
      <c r="E396">
        <v>1</v>
      </c>
      <c r="F396">
        <v>1</v>
      </c>
      <c r="G396">
        <v>36</v>
      </c>
      <c r="H396" s="2">
        <v>44245.965370370373</v>
      </c>
    </row>
    <row r="397" spans="1:8" ht="14.25" customHeight="1" x14ac:dyDescent="0.3">
      <c r="A397">
        <v>1355108</v>
      </c>
      <c r="B397" t="s">
        <v>4834</v>
      </c>
      <c r="C397" s="1" t="s">
        <v>4835</v>
      </c>
      <c r="D397" t="s">
        <v>11</v>
      </c>
      <c r="E397">
        <v>1</v>
      </c>
      <c r="F397">
        <v>1</v>
      </c>
      <c r="G397">
        <v>43</v>
      </c>
      <c r="H397" s="2">
        <v>44245.965624999997</v>
      </c>
    </row>
    <row r="398" spans="1:8" ht="14.25" customHeight="1" x14ac:dyDescent="0.3">
      <c r="A398">
        <v>1356320</v>
      </c>
      <c r="B398" t="s">
        <v>4836</v>
      </c>
      <c r="C398" s="1" t="s">
        <v>4837</v>
      </c>
      <c r="D398" t="s">
        <v>11</v>
      </c>
      <c r="E398">
        <v>1</v>
      </c>
      <c r="F398">
        <v>3</v>
      </c>
      <c r="G398">
        <v>41</v>
      </c>
      <c r="H398" s="2">
        <v>44245.96670138889</v>
      </c>
    </row>
    <row r="399" spans="1:8" ht="14.25" customHeight="1" x14ac:dyDescent="0.3">
      <c r="A399">
        <v>1355963</v>
      </c>
      <c r="B399" t="s">
        <v>4838</v>
      </c>
      <c r="C399" s="1" t="s">
        <v>4839</v>
      </c>
      <c r="D399" t="s">
        <v>11</v>
      </c>
      <c r="E399">
        <v>1</v>
      </c>
      <c r="F399">
        <v>1</v>
      </c>
      <c r="G399">
        <v>43</v>
      </c>
      <c r="H399" s="2">
        <v>44245.96738425926</v>
      </c>
    </row>
    <row r="400" spans="1:8" ht="14.25" customHeight="1" x14ac:dyDescent="0.3">
      <c r="A400">
        <v>1355972</v>
      </c>
      <c r="B400" t="s">
        <v>4840</v>
      </c>
      <c r="C400" s="1" t="s">
        <v>4841</v>
      </c>
      <c r="D400" t="s">
        <v>11</v>
      </c>
      <c r="E400">
        <v>1</v>
      </c>
      <c r="F400">
        <v>1</v>
      </c>
      <c r="G400">
        <v>43</v>
      </c>
      <c r="H400" s="2">
        <v>44245.967511574076</v>
      </c>
    </row>
    <row r="401" spans="1:8" ht="14.25" customHeight="1" x14ac:dyDescent="0.3">
      <c r="A401">
        <v>1356416</v>
      </c>
      <c r="B401" t="s">
        <v>1238</v>
      </c>
      <c r="C401" s="1" t="s">
        <v>4842</v>
      </c>
      <c r="D401" t="s">
        <v>11</v>
      </c>
      <c r="E401">
        <v>1</v>
      </c>
      <c r="F401">
        <v>1</v>
      </c>
      <c r="G401">
        <v>43</v>
      </c>
      <c r="H401" s="2">
        <v>44245.968773148146</v>
      </c>
    </row>
    <row r="402" spans="1:8" ht="14.25" customHeight="1" x14ac:dyDescent="0.3">
      <c r="A402">
        <v>1355924</v>
      </c>
      <c r="B402" t="s">
        <v>4843</v>
      </c>
      <c r="C402" s="1" t="s">
        <v>4844</v>
      </c>
      <c r="D402" t="s">
        <v>11</v>
      </c>
      <c r="E402">
        <v>1</v>
      </c>
      <c r="F402">
        <v>1</v>
      </c>
      <c r="G402">
        <v>43</v>
      </c>
      <c r="H402" s="2">
        <v>44245.969270833331</v>
      </c>
    </row>
    <row r="403" spans="1:8" ht="14.25" customHeight="1" x14ac:dyDescent="0.3">
      <c r="A403">
        <v>1355964</v>
      </c>
      <c r="B403" t="s">
        <v>4845</v>
      </c>
      <c r="C403" s="1" t="s">
        <v>4846</v>
      </c>
      <c r="D403" t="s">
        <v>11</v>
      </c>
      <c r="E403">
        <v>1</v>
      </c>
      <c r="F403">
        <v>3</v>
      </c>
      <c r="G403">
        <v>43</v>
      </c>
      <c r="H403" s="2">
        <v>44245.970196759263</v>
      </c>
    </row>
    <row r="404" spans="1:8" ht="14.25" customHeight="1" x14ac:dyDescent="0.3">
      <c r="A404">
        <v>1357764</v>
      </c>
      <c r="B404" t="e">
        <f>- access to w drive for sajjad ahmad</f>
        <v>#NAME?</v>
      </c>
      <c r="C404" s="1" t="s">
        <v>4847</v>
      </c>
      <c r="D404" t="s">
        <v>11</v>
      </c>
      <c r="E404">
        <v>1</v>
      </c>
      <c r="F404">
        <v>2</v>
      </c>
      <c r="G404">
        <v>43</v>
      </c>
      <c r="H404" s="2">
        <v>44245.970601851855</v>
      </c>
    </row>
    <row r="405" spans="1:8" ht="14.25" customHeight="1" x14ac:dyDescent="0.3">
      <c r="A405">
        <v>1355802</v>
      </c>
      <c r="B405" t="s">
        <v>4683</v>
      </c>
      <c r="C405" t="s">
        <v>4684</v>
      </c>
      <c r="D405" t="s">
        <v>1158</v>
      </c>
      <c r="E405">
        <v>3</v>
      </c>
      <c r="F405">
        <v>1</v>
      </c>
      <c r="G405">
        <v>36</v>
      </c>
      <c r="H405" s="2">
        <v>44245.971782407411</v>
      </c>
    </row>
    <row r="406" spans="1:8" ht="14.25" customHeight="1" x14ac:dyDescent="0.3">
      <c r="A406">
        <v>1356405</v>
      </c>
      <c r="B406" t="s">
        <v>4848</v>
      </c>
      <c r="C406" t="s">
        <v>4849</v>
      </c>
      <c r="D406" t="s">
        <v>11</v>
      </c>
      <c r="E406">
        <v>1</v>
      </c>
      <c r="F406">
        <v>2</v>
      </c>
      <c r="G406">
        <v>41</v>
      </c>
      <c r="H406" s="2">
        <v>44245.972013888888</v>
      </c>
    </row>
    <row r="407" spans="1:8" ht="14.25" customHeight="1" x14ac:dyDescent="0.3">
      <c r="A407">
        <v>1356235</v>
      </c>
      <c r="B407" t="s">
        <v>4850</v>
      </c>
      <c r="C407" s="1" t="s">
        <v>4851</v>
      </c>
      <c r="D407" t="s">
        <v>11</v>
      </c>
      <c r="E407">
        <v>1</v>
      </c>
      <c r="F407">
        <v>1</v>
      </c>
      <c r="G407">
        <v>36</v>
      </c>
      <c r="H407" s="2">
        <v>44245.972384259258</v>
      </c>
    </row>
    <row r="408" spans="1:8" ht="14.25" customHeight="1" x14ac:dyDescent="0.3">
      <c r="A408">
        <v>1355362</v>
      </c>
      <c r="B408" t="s">
        <v>4683</v>
      </c>
      <c r="C408" t="s">
        <v>4684</v>
      </c>
      <c r="D408" t="s">
        <v>1158</v>
      </c>
      <c r="E408">
        <v>1</v>
      </c>
      <c r="F408">
        <v>1</v>
      </c>
      <c r="G408">
        <v>36</v>
      </c>
      <c r="H408" s="2">
        <v>44245.972731481481</v>
      </c>
    </row>
    <row r="409" spans="1:8" ht="14.25" customHeight="1" x14ac:dyDescent="0.3">
      <c r="A409">
        <v>1356322</v>
      </c>
      <c r="B409" t="s">
        <v>4852</v>
      </c>
      <c r="C409" s="1" t="s">
        <v>4853</v>
      </c>
      <c r="D409" t="s">
        <v>11</v>
      </c>
      <c r="E409">
        <v>1</v>
      </c>
      <c r="F409">
        <v>1</v>
      </c>
      <c r="G409">
        <v>43</v>
      </c>
      <c r="H409" s="2">
        <v>44245.97315972222</v>
      </c>
    </row>
    <row r="410" spans="1:8" ht="14.25" customHeight="1" x14ac:dyDescent="0.3">
      <c r="A410">
        <v>1355140</v>
      </c>
      <c r="B410" t="s">
        <v>4854</v>
      </c>
      <c r="C410" s="1" t="s">
        <v>4855</v>
      </c>
      <c r="D410" t="s">
        <v>11</v>
      </c>
      <c r="E410">
        <v>1</v>
      </c>
      <c r="F410">
        <v>1</v>
      </c>
      <c r="G410">
        <v>43</v>
      </c>
      <c r="H410" s="2">
        <v>44245.973726851851</v>
      </c>
    </row>
    <row r="411" spans="1:8" ht="14.25" customHeight="1" x14ac:dyDescent="0.3">
      <c r="A411">
        <v>1355363</v>
      </c>
      <c r="B411" t="s">
        <v>4690</v>
      </c>
      <c r="C411" t="s">
        <v>4691</v>
      </c>
      <c r="D411" t="s">
        <v>1158</v>
      </c>
      <c r="E411">
        <v>1</v>
      </c>
      <c r="F411">
        <v>1</v>
      </c>
      <c r="G411">
        <v>36</v>
      </c>
      <c r="H411" s="2">
        <v>44245.973946759259</v>
      </c>
    </row>
    <row r="412" spans="1:8" ht="14.25" customHeight="1" x14ac:dyDescent="0.3">
      <c r="A412">
        <v>1355804</v>
      </c>
      <c r="B412" t="s">
        <v>4856</v>
      </c>
      <c r="C412" t="s">
        <v>4857</v>
      </c>
      <c r="D412" t="s">
        <v>1158</v>
      </c>
      <c r="E412">
        <v>1</v>
      </c>
      <c r="F412">
        <v>1</v>
      </c>
      <c r="G412">
        <v>36</v>
      </c>
      <c r="H412" s="2">
        <v>44245.973969907405</v>
      </c>
    </row>
    <row r="413" spans="1:8" ht="14.25" customHeight="1" x14ac:dyDescent="0.3">
      <c r="A413">
        <v>1355492</v>
      </c>
      <c r="B413" t="s">
        <v>4858</v>
      </c>
      <c r="C413" s="1" t="s">
        <v>4859</v>
      </c>
      <c r="D413" t="s">
        <v>11</v>
      </c>
      <c r="E413">
        <v>1</v>
      </c>
      <c r="F413">
        <v>1</v>
      </c>
      <c r="G413">
        <v>43</v>
      </c>
      <c r="H413" s="2">
        <v>44245.974189814813</v>
      </c>
    </row>
    <row r="414" spans="1:8" ht="14.25" customHeight="1" x14ac:dyDescent="0.3">
      <c r="A414">
        <v>1356166</v>
      </c>
      <c r="B414" t="s">
        <v>4860</v>
      </c>
      <c r="C414" s="1" t="s">
        <v>4861</v>
      </c>
      <c r="D414" t="s">
        <v>24</v>
      </c>
      <c r="E414">
        <v>1</v>
      </c>
      <c r="F414">
        <v>1</v>
      </c>
      <c r="G414">
        <v>43</v>
      </c>
      <c r="H414" s="2">
        <v>44245.974328703705</v>
      </c>
    </row>
    <row r="415" spans="1:8" ht="14.25" customHeight="1" x14ac:dyDescent="0.3">
      <c r="A415">
        <v>1355364</v>
      </c>
      <c r="B415" t="s">
        <v>4862</v>
      </c>
      <c r="C415" t="s">
        <v>4863</v>
      </c>
      <c r="D415" t="s">
        <v>1158</v>
      </c>
      <c r="E415">
        <v>1</v>
      </c>
      <c r="F415">
        <v>1</v>
      </c>
      <c r="G415">
        <v>36</v>
      </c>
      <c r="H415" s="2">
        <v>44245.974456018521</v>
      </c>
    </row>
    <row r="416" spans="1:8" ht="14.25" customHeight="1" x14ac:dyDescent="0.3">
      <c r="A416">
        <v>1356431</v>
      </c>
      <c r="B416" t="s">
        <v>4864</v>
      </c>
      <c r="C416" s="1" t="s">
        <v>4865</v>
      </c>
      <c r="D416" t="s">
        <v>11</v>
      </c>
      <c r="E416">
        <v>1</v>
      </c>
      <c r="F416">
        <v>1</v>
      </c>
      <c r="G416">
        <v>43</v>
      </c>
      <c r="H416" s="2">
        <v>44245.974733796298</v>
      </c>
    </row>
    <row r="417" spans="1:8" ht="14.25" customHeight="1" x14ac:dyDescent="0.3">
      <c r="A417">
        <v>1355110</v>
      </c>
      <c r="B417" t="s">
        <v>4866</v>
      </c>
      <c r="C417" s="1" t="s">
        <v>4867</v>
      </c>
      <c r="D417" t="s">
        <v>24</v>
      </c>
      <c r="E417">
        <v>2</v>
      </c>
      <c r="F417">
        <v>3</v>
      </c>
      <c r="G417">
        <v>41</v>
      </c>
      <c r="H417" s="2">
        <v>44245.974756944444</v>
      </c>
    </row>
    <row r="418" spans="1:8" ht="14.25" customHeight="1" x14ac:dyDescent="0.3">
      <c r="A418">
        <v>1355803</v>
      </c>
      <c r="B418" t="s">
        <v>4690</v>
      </c>
      <c r="C418" t="s">
        <v>4691</v>
      </c>
      <c r="D418" t="s">
        <v>1158</v>
      </c>
      <c r="E418">
        <v>1</v>
      </c>
      <c r="F418">
        <v>2</v>
      </c>
      <c r="G418">
        <v>36</v>
      </c>
      <c r="H418" s="2">
        <v>44245.974942129629</v>
      </c>
    </row>
    <row r="419" spans="1:8" ht="14.25" customHeight="1" x14ac:dyDescent="0.3">
      <c r="A419">
        <v>1356396</v>
      </c>
      <c r="B419" t="e">
        <f>- pst files</f>
        <v>#NAME?</v>
      </c>
      <c r="C419" s="1" t="s">
        <v>4868</v>
      </c>
      <c r="D419" t="s">
        <v>11</v>
      </c>
      <c r="E419">
        <v>1</v>
      </c>
      <c r="F419">
        <v>1</v>
      </c>
      <c r="G419">
        <v>43</v>
      </c>
      <c r="H419" s="2">
        <v>44245.974965277775</v>
      </c>
    </row>
    <row r="420" spans="1:8" ht="14.25" customHeight="1" x14ac:dyDescent="0.3">
      <c r="A420">
        <v>1355104</v>
      </c>
      <c r="B420" t="e">
        <f>- update group2 ticket template</f>
        <v>#NAME?</v>
      </c>
      <c r="C420" s="1" t="s">
        <v>4869</v>
      </c>
      <c r="D420" t="s">
        <v>24</v>
      </c>
      <c r="E420">
        <v>1</v>
      </c>
      <c r="F420">
        <v>1</v>
      </c>
      <c r="G420">
        <v>43</v>
      </c>
      <c r="H420" s="2">
        <v>44245.97515046296</v>
      </c>
    </row>
    <row r="421" spans="1:8" ht="14.25" customHeight="1" x14ac:dyDescent="0.3">
      <c r="A421">
        <v>1356343</v>
      </c>
      <c r="B421" t="e">
        <f>- new user, megan dargatz</f>
        <v>#NAME?</v>
      </c>
      <c r="C421" s="1" t="s">
        <v>4870</v>
      </c>
      <c r="D421" t="s">
        <v>11</v>
      </c>
      <c r="E421">
        <v>1</v>
      </c>
      <c r="F421">
        <v>1</v>
      </c>
      <c r="G421">
        <v>43</v>
      </c>
      <c r="H421" s="2">
        <v>44245.975659722222</v>
      </c>
    </row>
    <row r="422" spans="1:8" ht="14.25" customHeight="1" x14ac:dyDescent="0.3">
      <c r="A422">
        <v>1355116</v>
      </c>
      <c r="B422" t="e">
        <f>- bug with pulse vet</f>
        <v>#NAME?</v>
      </c>
      <c r="C422" s="1" t="s">
        <v>4871</v>
      </c>
      <c r="D422" t="s">
        <v>24</v>
      </c>
      <c r="E422">
        <v>1</v>
      </c>
      <c r="F422">
        <v>1</v>
      </c>
      <c r="G422">
        <v>41</v>
      </c>
      <c r="H422" s="2">
        <v>44245.975868055553</v>
      </c>
    </row>
    <row r="423" spans="1:8" ht="14.25" customHeight="1" x14ac:dyDescent="0.3">
      <c r="A423">
        <v>1355148</v>
      </c>
      <c r="B423" t="s">
        <v>4872</v>
      </c>
      <c r="C423" s="1" t="s">
        <v>4873</v>
      </c>
      <c r="D423" t="s">
        <v>24</v>
      </c>
      <c r="E423">
        <v>1</v>
      </c>
      <c r="F423">
        <v>1</v>
      </c>
      <c r="G423">
        <v>43</v>
      </c>
      <c r="H423" s="2">
        <v>44245.976053240738</v>
      </c>
    </row>
    <row r="424" spans="1:8" ht="14.25" customHeight="1" x14ac:dyDescent="0.3">
      <c r="A424">
        <v>1355632</v>
      </c>
      <c r="B424" t="s">
        <v>4874</v>
      </c>
      <c r="C424" s="1" t="s">
        <v>4875</v>
      </c>
      <c r="D424" t="s">
        <v>11</v>
      </c>
      <c r="E424">
        <v>1</v>
      </c>
      <c r="F424">
        <v>1</v>
      </c>
      <c r="G424">
        <v>43</v>
      </c>
      <c r="H424" s="2">
        <v>44245.976168981484</v>
      </c>
    </row>
    <row r="425" spans="1:8" ht="14.25" customHeight="1" x14ac:dyDescent="0.3">
      <c r="A425">
        <v>1355495</v>
      </c>
      <c r="B425" t="e">
        <f>- connecting to shared drive/issues with wifi while offsite</f>
        <v>#NAME?</v>
      </c>
      <c r="C425" s="1" t="s">
        <v>4876</v>
      </c>
      <c r="D425" t="s">
        <v>11</v>
      </c>
      <c r="E425">
        <v>1</v>
      </c>
      <c r="F425">
        <v>3</v>
      </c>
      <c r="G425">
        <v>41</v>
      </c>
      <c r="H425" s="2">
        <v>44245.976446759261</v>
      </c>
    </row>
    <row r="426" spans="1:8" ht="14.25" customHeight="1" x14ac:dyDescent="0.3">
      <c r="A426">
        <v>1355118</v>
      </c>
      <c r="B426" t="e">
        <f>- laptop</f>
        <v>#NAME?</v>
      </c>
      <c r="C426" s="1" t="s">
        <v>4877</v>
      </c>
      <c r="D426" t="s">
        <v>24</v>
      </c>
      <c r="E426">
        <v>1</v>
      </c>
      <c r="F426">
        <v>1</v>
      </c>
      <c r="G426">
        <v>43</v>
      </c>
      <c r="H426" s="2">
        <v>44245.976458333331</v>
      </c>
    </row>
    <row r="427" spans="1:8" ht="14.25" customHeight="1" x14ac:dyDescent="0.3">
      <c r="A427">
        <v>1355569</v>
      </c>
      <c r="B427" t="s">
        <v>4878</v>
      </c>
      <c r="C427" s="1" t="s">
        <v>4879</v>
      </c>
      <c r="D427" t="s">
        <v>11</v>
      </c>
      <c r="E427">
        <v>1</v>
      </c>
      <c r="F427">
        <v>1</v>
      </c>
      <c r="G427">
        <v>43</v>
      </c>
      <c r="H427" s="2">
        <v>44245.976539351854</v>
      </c>
    </row>
    <row r="428" spans="1:8" ht="14.25" customHeight="1" x14ac:dyDescent="0.3">
      <c r="A428">
        <v>1355086</v>
      </c>
      <c r="B428">
        <v>1353256</v>
      </c>
      <c r="C428" s="1" t="s">
        <v>4880</v>
      </c>
      <c r="D428" t="s">
        <v>11</v>
      </c>
      <c r="E428">
        <v>1</v>
      </c>
      <c r="F428">
        <v>1</v>
      </c>
      <c r="G428">
        <v>41</v>
      </c>
      <c r="H428" s="2">
        <v>44245.977314814816</v>
      </c>
    </row>
    <row r="429" spans="1:8" ht="14.25" customHeight="1" x14ac:dyDescent="0.3">
      <c r="A429">
        <v>1355003</v>
      </c>
      <c r="B429" t="s">
        <v>1238</v>
      </c>
      <c r="C429" t="s">
        <v>4881</v>
      </c>
      <c r="D429" t="s">
        <v>11</v>
      </c>
      <c r="E429">
        <v>1</v>
      </c>
      <c r="F429">
        <v>1</v>
      </c>
      <c r="G429">
        <v>41</v>
      </c>
      <c r="H429" s="2">
        <v>44245.977511574078</v>
      </c>
    </row>
    <row r="430" spans="1:8" ht="14.25" customHeight="1" x14ac:dyDescent="0.3">
      <c r="A430">
        <v>1354987</v>
      </c>
      <c r="B430" t="s">
        <v>4882</v>
      </c>
      <c r="C430" s="1" t="s">
        <v>4883</v>
      </c>
      <c r="D430" t="s">
        <v>24</v>
      </c>
      <c r="E430">
        <v>1</v>
      </c>
      <c r="F430">
        <v>1</v>
      </c>
      <c r="G430">
        <v>36</v>
      </c>
      <c r="H430" s="2">
        <v>44245.977581018517</v>
      </c>
    </row>
    <row r="431" spans="1:8" ht="14.25" customHeight="1" x14ac:dyDescent="0.3">
      <c r="A431">
        <v>1355107</v>
      </c>
      <c r="B431" t="s">
        <v>4884</v>
      </c>
      <c r="C431" s="1" t="s">
        <v>4885</v>
      </c>
      <c r="D431" t="s">
        <v>11</v>
      </c>
      <c r="E431">
        <v>1</v>
      </c>
      <c r="F431">
        <v>1</v>
      </c>
      <c r="G431">
        <v>43</v>
      </c>
      <c r="H431" s="2">
        <v>44245.977708333332</v>
      </c>
    </row>
    <row r="432" spans="1:8" ht="14.25" customHeight="1" x14ac:dyDescent="0.3">
      <c r="A432">
        <v>1355021</v>
      </c>
      <c r="B432" t="e">
        <f>- user offboarding - matt steringa</f>
        <v>#NAME?</v>
      </c>
      <c r="C432" s="1" t="s">
        <v>4886</v>
      </c>
      <c r="D432" t="s">
        <v>11</v>
      </c>
      <c r="E432">
        <v>1</v>
      </c>
      <c r="F432">
        <v>3</v>
      </c>
      <c r="G432">
        <v>43</v>
      </c>
      <c r="H432" s="2">
        <v>44245.977893518517</v>
      </c>
    </row>
    <row r="433" spans="1:8" ht="14.25" customHeight="1" x14ac:dyDescent="0.3">
      <c r="A433">
        <v>1356430</v>
      </c>
      <c r="B433" t="e">
        <f>- outlook, unmerge personal and work emails in teams/outlook</f>
        <v>#NAME?</v>
      </c>
      <c r="C433" s="1" t="s">
        <v>4887</v>
      </c>
      <c r="D433" t="s">
        <v>11</v>
      </c>
      <c r="E433">
        <v>1</v>
      </c>
      <c r="F433">
        <v>1</v>
      </c>
      <c r="G433">
        <v>41</v>
      </c>
      <c r="H433" s="2">
        <v>44245.977997685186</v>
      </c>
    </row>
    <row r="434" spans="1:8" ht="14.25" customHeight="1" x14ac:dyDescent="0.3">
      <c r="A434">
        <v>1355805</v>
      </c>
      <c r="B434" t="s">
        <v>4856</v>
      </c>
      <c r="C434" t="s">
        <v>4857</v>
      </c>
      <c r="D434" t="s">
        <v>1158</v>
      </c>
      <c r="E434">
        <v>1</v>
      </c>
      <c r="F434">
        <v>1</v>
      </c>
      <c r="G434">
        <v>36</v>
      </c>
      <c r="H434" s="2">
        <v>44245.978125000001</v>
      </c>
    </row>
    <row r="435" spans="1:8" ht="14.25" customHeight="1" x14ac:dyDescent="0.3">
      <c r="A435">
        <v>1354982</v>
      </c>
      <c r="B435" t="s">
        <v>4888</v>
      </c>
      <c r="C435" s="1" t="s">
        <v>4889</v>
      </c>
      <c r="D435" t="s">
        <v>24</v>
      </c>
      <c r="E435">
        <v>1</v>
      </c>
      <c r="F435">
        <v>1</v>
      </c>
      <c r="G435">
        <v>36</v>
      </c>
      <c r="H435" s="2">
        <v>44245.979085648149</v>
      </c>
    </row>
    <row r="436" spans="1:8" ht="14.25" customHeight="1" x14ac:dyDescent="0.3">
      <c r="A436">
        <v>1355173</v>
      </c>
      <c r="B436" t="s">
        <v>4890</v>
      </c>
      <c r="C436" s="1" t="s">
        <v>4891</v>
      </c>
      <c r="D436" t="s">
        <v>24</v>
      </c>
      <c r="E436">
        <v>1</v>
      </c>
      <c r="F436">
        <v>1</v>
      </c>
      <c r="G436">
        <v>36</v>
      </c>
      <c r="H436" s="2">
        <v>44245.979386574072</v>
      </c>
    </row>
    <row r="437" spans="1:8" ht="14.25" customHeight="1" x14ac:dyDescent="0.3">
      <c r="A437">
        <v>1354995</v>
      </c>
      <c r="B437" t="e">
        <f>- course issues</f>
        <v>#NAME?</v>
      </c>
      <c r="C437" s="1" t="s">
        <v>4892</v>
      </c>
      <c r="D437" t="s">
        <v>24</v>
      </c>
      <c r="E437">
        <v>1</v>
      </c>
      <c r="F437">
        <v>1</v>
      </c>
      <c r="G437">
        <v>41</v>
      </c>
      <c r="H437" s="2">
        <v>44245.979745370372</v>
      </c>
    </row>
    <row r="438" spans="1:8" ht="14.25" customHeight="1" x14ac:dyDescent="0.3">
      <c r="A438">
        <v>1355570</v>
      </c>
      <c r="B438" t="s">
        <v>4893</v>
      </c>
      <c r="C438" s="1" t="s">
        <v>4894</v>
      </c>
      <c r="D438" t="s">
        <v>11</v>
      </c>
      <c r="E438">
        <v>2</v>
      </c>
      <c r="F438">
        <v>2</v>
      </c>
      <c r="G438">
        <v>41</v>
      </c>
      <c r="H438" s="2">
        <v>44245.980104166665</v>
      </c>
    </row>
    <row r="439" spans="1:8" ht="14.25" customHeight="1" x14ac:dyDescent="0.3">
      <c r="A439">
        <v>1354864</v>
      </c>
      <c r="B439" t="s">
        <v>4895</v>
      </c>
      <c r="C439" s="1" t="s">
        <v>4896</v>
      </c>
      <c r="D439" t="s">
        <v>11</v>
      </c>
      <c r="E439">
        <v>1</v>
      </c>
      <c r="F439">
        <v>1</v>
      </c>
      <c r="G439">
        <v>41</v>
      </c>
      <c r="H439" s="2">
        <v>44245.980381944442</v>
      </c>
    </row>
    <row r="440" spans="1:8" ht="14.25" customHeight="1" x14ac:dyDescent="0.3">
      <c r="A440">
        <v>1354515</v>
      </c>
      <c r="B440" t="e">
        <f>- change mitel  admin access</f>
        <v>#NAME?</v>
      </c>
      <c r="C440" s="1" t="s">
        <v>4897</v>
      </c>
      <c r="D440" t="s">
        <v>188</v>
      </c>
      <c r="E440">
        <v>1</v>
      </c>
      <c r="F440">
        <v>1</v>
      </c>
      <c r="G440">
        <v>43</v>
      </c>
      <c r="H440" s="2">
        <v>44245.981099537035</v>
      </c>
    </row>
    <row r="441" spans="1:8" ht="14.25" customHeight="1" x14ac:dyDescent="0.3">
      <c r="A441">
        <v>1356411</v>
      </c>
      <c r="B441" t="e">
        <f>- rds very slow</f>
        <v>#NAME?</v>
      </c>
      <c r="C441" s="1" t="s">
        <v>4898</v>
      </c>
      <c r="D441" t="s">
        <v>24</v>
      </c>
      <c r="E441">
        <v>2</v>
      </c>
      <c r="F441">
        <v>2</v>
      </c>
      <c r="G441">
        <v>41</v>
      </c>
      <c r="H441" s="2">
        <v>44245.981631944444</v>
      </c>
    </row>
    <row r="442" spans="1:8" ht="14.25" customHeight="1" x14ac:dyDescent="0.3">
      <c r="A442">
        <v>1356335</v>
      </c>
      <c r="B442" t="e">
        <f>- access to social media</f>
        <v>#NAME?</v>
      </c>
      <c r="C442" s="1" t="s">
        <v>4899</v>
      </c>
      <c r="D442" t="s">
        <v>11</v>
      </c>
      <c r="E442">
        <v>1</v>
      </c>
      <c r="F442">
        <v>2</v>
      </c>
      <c r="G442">
        <v>41</v>
      </c>
      <c r="H442" s="2">
        <v>44245.982175925928</v>
      </c>
    </row>
    <row r="443" spans="1:8" ht="14.25" customHeight="1" x14ac:dyDescent="0.3">
      <c r="A443">
        <v>1354885</v>
      </c>
      <c r="B443" t="s">
        <v>4900</v>
      </c>
      <c r="C443" s="1" t="s">
        <v>4901</v>
      </c>
      <c r="D443" t="s">
        <v>11</v>
      </c>
      <c r="E443">
        <v>1</v>
      </c>
      <c r="F443">
        <v>1</v>
      </c>
      <c r="G443">
        <v>43</v>
      </c>
      <c r="H443" s="2">
        <v>44245.982233796298</v>
      </c>
    </row>
    <row r="444" spans="1:8" ht="14.25" customHeight="1" x14ac:dyDescent="0.3">
      <c r="A444">
        <v>1354829</v>
      </c>
      <c r="B444" t="s">
        <v>4583</v>
      </c>
      <c r="C444" s="1" t="s">
        <v>4902</v>
      </c>
      <c r="D444" t="s">
        <v>11</v>
      </c>
      <c r="E444">
        <v>1</v>
      </c>
      <c r="F444">
        <v>1</v>
      </c>
      <c r="G444">
        <v>43</v>
      </c>
      <c r="H444" s="2">
        <v>44245.98238425926</v>
      </c>
    </row>
    <row r="445" spans="1:8" ht="14.25" customHeight="1" x14ac:dyDescent="0.3">
      <c r="A445">
        <v>1354881</v>
      </c>
      <c r="B445" t="s">
        <v>4903</v>
      </c>
      <c r="C445" s="1" t="s">
        <v>4904</v>
      </c>
      <c r="D445" t="s">
        <v>11</v>
      </c>
      <c r="E445">
        <v>1</v>
      </c>
      <c r="F445">
        <v>1</v>
      </c>
      <c r="G445">
        <v>43</v>
      </c>
      <c r="H445" s="2">
        <v>44245.982627314814</v>
      </c>
    </row>
    <row r="446" spans="1:8" ht="14.25" customHeight="1" x14ac:dyDescent="0.3">
      <c r="A446">
        <v>1354516</v>
      </c>
      <c r="B446" t="s">
        <v>4905</v>
      </c>
      <c r="C446" s="1" t="s">
        <v>4906</v>
      </c>
      <c r="D446" t="s">
        <v>11</v>
      </c>
      <c r="E446">
        <v>1</v>
      </c>
      <c r="F446">
        <v>3</v>
      </c>
      <c r="G446">
        <v>43</v>
      </c>
      <c r="H446" s="2">
        <v>44245.98265046296</v>
      </c>
    </row>
    <row r="447" spans="1:8" ht="14.25" customHeight="1" x14ac:dyDescent="0.3">
      <c r="A447">
        <v>1354511</v>
      </c>
      <c r="B447" t="s">
        <v>4907</v>
      </c>
      <c r="C447" t="s">
        <v>4908</v>
      </c>
      <c r="D447" t="s">
        <v>11</v>
      </c>
      <c r="E447">
        <v>1</v>
      </c>
      <c r="F447">
        <v>1</v>
      </c>
      <c r="G447">
        <v>43</v>
      </c>
      <c r="H447" s="2">
        <v>44245.982858796298</v>
      </c>
    </row>
    <row r="448" spans="1:8" ht="14.25" customHeight="1" x14ac:dyDescent="0.3">
      <c r="A448">
        <v>1354843</v>
      </c>
      <c r="B448" t="e">
        <f>- need help with email autoreply</f>
        <v>#NAME?</v>
      </c>
      <c r="C448" t="s">
        <v>4909</v>
      </c>
      <c r="D448" t="s">
        <v>11</v>
      </c>
      <c r="E448">
        <v>1</v>
      </c>
      <c r="F448">
        <v>1</v>
      </c>
      <c r="G448">
        <v>41</v>
      </c>
      <c r="H448" s="2">
        <v>44245.98337962963</v>
      </c>
    </row>
    <row r="449" spans="1:8" ht="14.25" customHeight="1" x14ac:dyDescent="0.3">
      <c r="A449">
        <v>1355012</v>
      </c>
      <c r="B449" t="s">
        <v>4910</v>
      </c>
      <c r="C449" s="1" t="s">
        <v>4911</v>
      </c>
      <c r="D449" t="s">
        <v>24</v>
      </c>
      <c r="E449">
        <v>1</v>
      </c>
      <c r="F449">
        <v>1</v>
      </c>
      <c r="G449">
        <v>43</v>
      </c>
      <c r="H449" s="2">
        <v>44245.983518518522</v>
      </c>
    </row>
    <row r="450" spans="1:8" ht="14.25" customHeight="1" x14ac:dyDescent="0.3">
      <c r="A450">
        <v>1354869</v>
      </c>
      <c r="B450" t="s">
        <v>4912</v>
      </c>
      <c r="C450" s="1" t="s">
        <v>4913</v>
      </c>
      <c r="D450" t="s">
        <v>11</v>
      </c>
      <c r="E450">
        <v>1</v>
      </c>
      <c r="F450">
        <v>1</v>
      </c>
      <c r="G450">
        <v>43</v>
      </c>
      <c r="H450" s="2">
        <v>44245.984756944446</v>
      </c>
    </row>
    <row r="451" spans="1:8" ht="14.25" customHeight="1" x14ac:dyDescent="0.3">
      <c r="A451">
        <v>1354986</v>
      </c>
      <c r="B451" t="s">
        <v>4914</v>
      </c>
      <c r="C451" s="1" t="s">
        <v>4915</v>
      </c>
      <c r="D451" t="s">
        <v>11</v>
      </c>
      <c r="E451">
        <v>1</v>
      </c>
      <c r="F451">
        <v>3</v>
      </c>
      <c r="G451">
        <v>41</v>
      </c>
      <c r="H451" s="2">
        <v>44245.985231481478</v>
      </c>
    </row>
    <row r="452" spans="1:8" ht="14.25" customHeight="1" x14ac:dyDescent="0.3">
      <c r="A452">
        <v>1354910</v>
      </c>
      <c r="B452" t="e">
        <f>- computer access</f>
        <v>#NAME?</v>
      </c>
      <c r="C452" s="1" t="s">
        <v>4916</v>
      </c>
      <c r="D452" t="s">
        <v>11</v>
      </c>
      <c r="E452">
        <v>1</v>
      </c>
      <c r="F452">
        <v>1</v>
      </c>
      <c r="G452">
        <v>41</v>
      </c>
      <c r="H452" s="2">
        <v>44245.985381944447</v>
      </c>
    </row>
    <row r="453" spans="1:8" ht="14.25" customHeight="1" x14ac:dyDescent="0.3">
      <c r="A453">
        <v>1356915</v>
      </c>
      <c r="B453" t="e">
        <f>- rds is not available on my computer</f>
        <v>#NAME?</v>
      </c>
      <c r="C453" s="1" t="s">
        <v>4917</v>
      </c>
      <c r="D453" t="s">
        <v>24</v>
      </c>
      <c r="E453">
        <v>1</v>
      </c>
      <c r="F453">
        <v>3</v>
      </c>
      <c r="G453">
        <v>41</v>
      </c>
      <c r="H453" s="2">
        <v>44245.98542824074</v>
      </c>
    </row>
    <row r="454" spans="1:8" ht="14.25" customHeight="1" x14ac:dyDescent="0.3">
      <c r="A454">
        <v>1354477</v>
      </c>
      <c r="B454" t="s">
        <v>4918</v>
      </c>
      <c r="C454" s="1" t="s">
        <v>4919</v>
      </c>
      <c r="D454" t="s">
        <v>11</v>
      </c>
      <c r="E454">
        <v>1</v>
      </c>
      <c r="F454">
        <v>3</v>
      </c>
      <c r="G454">
        <v>43</v>
      </c>
      <c r="H454" s="2">
        <v>44245.986030092594</v>
      </c>
    </row>
    <row r="455" spans="1:8" ht="14.25" customHeight="1" x14ac:dyDescent="0.3">
      <c r="A455">
        <v>1354833</v>
      </c>
      <c r="B455" t="s">
        <v>4920</v>
      </c>
      <c r="C455" s="1" t="s">
        <v>4921</v>
      </c>
      <c r="D455" t="s">
        <v>11</v>
      </c>
      <c r="E455">
        <v>1</v>
      </c>
      <c r="F455">
        <v>2</v>
      </c>
      <c r="G455">
        <v>41</v>
      </c>
      <c r="H455" s="2">
        <v>44245.986134259256</v>
      </c>
    </row>
    <row r="456" spans="1:8" ht="14.25" customHeight="1" x14ac:dyDescent="0.3">
      <c r="A456">
        <v>1354728</v>
      </c>
      <c r="B456" t="s">
        <v>4683</v>
      </c>
      <c r="C456" t="s">
        <v>4684</v>
      </c>
      <c r="D456" t="s">
        <v>1158</v>
      </c>
      <c r="E456">
        <v>1</v>
      </c>
      <c r="F456">
        <v>1</v>
      </c>
      <c r="G456">
        <v>36</v>
      </c>
      <c r="H456" s="2">
        <v>44245.986990740741</v>
      </c>
    </row>
    <row r="457" spans="1:8" ht="14.25" customHeight="1" x14ac:dyDescent="0.3">
      <c r="A457">
        <v>1354452</v>
      </c>
      <c r="B457" t="s">
        <v>4922</v>
      </c>
      <c r="C457" s="1" t="s">
        <v>4923</v>
      </c>
      <c r="D457" t="s">
        <v>24</v>
      </c>
      <c r="E457">
        <v>1</v>
      </c>
      <c r="F457">
        <v>1</v>
      </c>
      <c r="G457">
        <v>36</v>
      </c>
      <c r="H457" s="2">
        <v>44245.988310185188</v>
      </c>
    </row>
    <row r="458" spans="1:8" ht="14.25" customHeight="1" x14ac:dyDescent="0.3">
      <c r="A458">
        <v>1354481</v>
      </c>
      <c r="B458" t="s">
        <v>4924</v>
      </c>
      <c r="C458" s="1" t="s">
        <v>4925</v>
      </c>
      <c r="D458" t="s">
        <v>24</v>
      </c>
      <c r="E458">
        <v>1</v>
      </c>
      <c r="F458">
        <v>1</v>
      </c>
      <c r="G458">
        <v>36</v>
      </c>
      <c r="H458" s="2">
        <v>44245.988449074073</v>
      </c>
    </row>
    <row r="459" spans="1:8" ht="14.25" customHeight="1" x14ac:dyDescent="0.3">
      <c r="A459">
        <v>1354451</v>
      </c>
      <c r="B459" t="e">
        <f>- ms license assessment</f>
        <v>#NAME?</v>
      </c>
      <c r="C459" t="s">
        <v>4926</v>
      </c>
      <c r="D459" t="s">
        <v>11</v>
      </c>
      <c r="E459">
        <v>1</v>
      </c>
      <c r="F459">
        <v>1</v>
      </c>
      <c r="G459">
        <v>43</v>
      </c>
      <c r="H459" s="2">
        <v>44245.988599537035</v>
      </c>
    </row>
    <row r="460" spans="1:8" ht="14.25" customHeight="1" x14ac:dyDescent="0.3">
      <c r="A460">
        <v>1354445</v>
      </c>
      <c r="B460">
        <v>1353844</v>
      </c>
      <c r="C460" s="1" t="s">
        <v>4927</v>
      </c>
      <c r="D460" t="s">
        <v>11</v>
      </c>
      <c r="E460">
        <v>1</v>
      </c>
      <c r="F460">
        <v>1</v>
      </c>
      <c r="G460">
        <v>41</v>
      </c>
      <c r="H460" s="2">
        <v>44245.988888888889</v>
      </c>
    </row>
    <row r="461" spans="1:8" ht="14.25" customHeight="1" x14ac:dyDescent="0.3">
      <c r="A461">
        <v>1354989</v>
      </c>
      <c r="B461" t="s">
        <v>4745</v>
      </c>
      <c r="C461" s="1" t="s">
        <v>4928</v>
      </c>
      <c r="D461" t="s">
        <v>11</v>
      </c>
      <c r="E461">
        <v>1</v>
      </c>
      <c r="F461">
        <v>2</v>
      </c>
      <c r="G461">
        <v>41</v>
      </c>
      <c r="H461" s="2">
        <v>44245.989386574074</v>
      </c>
    </row>
    <row r="462" spans="1:8" ht="14.25" customHeight="1" x14ac:dyDescent="0.3">
      <c r="A462">
        <v>1355092</v>
      </c>
      <c r="B462" t="e">
        <f>- remove files</f>
        <v>#NAME?</v>
      </c>
      <c r="C462" s="1" t="s">
        <v>4929</v>
      </c>
      <c r="D462" t="s">
        <v>24</v>
      </c>
      <c r="E462">
        <v>1</v>
      </c>
      <c r="F462">
        <v>1</v>
      </c>
      <c r="G462">
        <v>43</v>
      </c>
      <c r="H462" s="2">
        <v>44245.989664351851</v>
      </c>
    </row>
    <row r="463" spans="1:8" ht="14.25" customHeight="1" x14ac:dyDescent="0.3">
      <c r="A463">
        <v>1354436</v>
      </c>
      <c r="B463" t="s">
        <v>4930</v>
      </c>
      <c r="C463" s="1" t="s">
        <v>4931</v>
      </c>
      <c r="D463" t="s">
        <v>11</v>
      </c>
      <c r="E463">
        <v>1</v>
      </c>
      <c r="F463">
        <v>1</v>
      </c>
      <c r="G463">
        <v>43</v>
      </c>
      <c r="H463" s="2">
        <v>44245.989814814813</v>
      </c>
    </row>
    <row r="464" spans="1:8" ht="14.25" customHeight="1" x14ac:dyDescent="0.3">
      <c r="A464">
        <v>1354415</v>
      </c>
      <c r="B464" t="s">
        <v>4932</v>
      </c>
      <c r="C464" s="1" t="s">
        <v>4933</v>
      </c>
      <c r="D464" t="s">
        <v>11</v>
      </c>
      <c r="E464">
        <v>1</v>
      </c>
      <c r="F464">
        <v>1</v>
      </c>
      <c r="G464">
        <v>41</v>
      </c>
      <c r="H464" s="2">
        <v>44245.990578703706</v>
      </c>
    </row>
    <row r="465" spans="1:8" ht="14.25" customHeight="1" x14ac:dyDescent="0.3">
      <c r="A465">
        <v>1354439</v>
      </c>
      <c r="B465" t="s">
        <v>4934</v>
      </c>
      <c r="C465" s="1" t="s">
        <v>4935</v>
      </c>
      <c r="D465" t="s">
        <v>11</v>
      </c>
      <c r="E465">
        <v>1</v>
      </c>
      <c r="F465">
        <v>1</v>
      </c>
      <c r="G465">
        <v>41</v>
      </c>
      <c r="H465" s="2">
        <v>44245.991550925923</v>
      </c>
    </row>
    <row r="466" spans="1:8" ht="14.25" customHeight="1" x14ac:dyDescent="0.3">
      <c r="A466">
        <v>1354508</v>
      </c>
      <c r="B466" t="s">
        <v>4936</v>
      </c>
      <c r="C466" s="1" t="s">
        <v>4937</v>
      </c>
      <c r="D466" t="s">
        <v>24</v>
      </c>
      <c r="E466">
        <v>1</v>
      </c>
      <c r="F466">
        <v>1</v>
      </c>
      <c r="G466">
        <v>43</v>
      </c>
      <c r="H466" s="2">
        <v>44245.993356481478</v>
      </c>
    </row>
    <row r="467" spans="1:8" ht="14.25" customHeight="1" x14ac:dyDescent="0.3">
      <c r="A467">
        <v>1354495</v>
      </c>
      <c r="B467" t="e">
        <f>- senior support changes</f>
        <v>#NAME?</v>
      </c>
      <c r="C467" s="1" t="s">
        <v>4938</v>
      </c>
      <c r="D467" t="s">
        <v>11</v>
      </c>
      <c r="E467">
        <v>1</v>
      </c>
      <c r="F467">
        <v>1</v>
      </c>
      <c r="G467">
        <v>43</v>
      </c>
      <c r="H467" s="2">
        <v>44245.995474537034</v>
      </c>
    </row>
    <row r="468" spans="1:8" ht="14.25" customHeight="1" x14ac:dyDescent="0.3">
      <c r="A468">
        <v>1354485</v>
      </c>
      <c r="B468" t="s">
        <v>4939</v>
      </c>
      <c r="C468" s="1" t="s">
        <v>4940</v>
      </c>
      <c r="D468" t="s">
        <v>11</v>
      </c>
      <c r="E468">
        <v>1</v>
      </c>
      <c r="F468">
        <v>1</v>
      </c>
      <c r="G468">
        <v>43</v>
      </c>
      <c r="H468" s="2">
        <v>44245.99590277778</v>
      </c>
    </row>
    <row r="469" spans="1:8" ht="14.25" customHeight="1" x14ac:dyDescent="0.3">
      <c r="A469">
        <v>1354482</v>
      </c>
      <c r="B469" t="e">
        <f>- printer issues</f>
        <v>#NAME?</v>
      </c>
      <c r="C469" s="1" t="s">
        <v>4941</v>
      </c>
      <c r="D469" t="s">
        <v>11</v>
      </c>
      <c r="E469">
        <v>1</v>
      </c>
      <c r="F469">
        <v>3</v>
      </c>
      <c r="G469">
        <v>41</v>
      </c>
      <c r="H469" s="2">
        <v>44245.996863425928</v>
      </c>
    </row>
    <row r="470" spans="1:8" ht="14.25" customHeight="1" x14ac:dyDescent="0.3">
      <c r="A470">
        <v>1354435</v>
      </c>
      <c r="B470" t="s">
        <v>4942</v>
      </c>
      <c r="C470" s="1" t="s">
        <v>4943</v>
      </c>
      <c r="D470" t="s">
        <v>11</v>
      </c>
      <c r="E470">
        <v>1</v>
      </c>
      <c r="F470">
        <v>1</v>
      </c>
      <c r="G470">
        <v>43</v>
      </c>
      <c r="H470" s="2">
        <v>44245.997523148151</v>
      </c>
    </row>
    <row r="471" spans="1:8" ht="14.25" customHeight="1" x14ac:dyDescent="0.3">
      <c r="A471">
        <v>1354333</v>
      </c>
      <c r="B471" t="s">
        <v>4555</v>
      </c>
      <c r="C471" s="1" t="s">
        <v>4944</v>
      </c>
      <c r="D471" t="s">
        <v>11</v>
      </c>
      <c r="E471">
        <v>1</v>
      </c>
      <c r="F471">
        <v>1</v>
      </c>
      <c r="G471">
        <v>41</v>
      </c>
      <c r="H471" s="2">
        <v>44245.998148148145</v>
      </c>
    </row>
    <row r="472" spans="1:8" ht="14.25" customHeight="1" x14ac:dyDescent="0.3">
      <c r="A472">
        <v>1360866</v>
      </c>
      <c r="B472" t="s">
        <v>4945</v>
      </c>
      <c r="C472" s="1" t="s">
        <v>4946</v>
      </c>
      <c r="D472" t="s">
        <v>11</v>
      </c>
      <c r="E472">
        <v>1</v>
      </c>
      <c r="F472">
        <v>3</v>
      </c>
      <c r="G472">
        <v>41</v>
      </c>
      <c r="H472" s="2">
        <v>44246.001712962963</v>
      </c>
    </row>
    <row r="473" spans="1:8" ht="14.25" customHeight="1" x14ac:dyDescent="0.3">
      <c r="A473">
        <v>1357844</v>
      </c>
      <c r="B473" t="s">
        <v>4947</v>
      </c>
      <c r="C473" s="1" t="s">
        <v>4948</v>
      </c>
      <c r="D473" t="s">
        <v>24</v>
      </c>
      <c r="E473">
        <v>1</v>
      </c>
      <c r="F473">
        <v>3</v>
      </c>
      <c r="G473">
        <v>36</v>
      </c>
      <c r="H473" s="2">
        <v>44246.002268518518</v>
      </c>
    </row>
    <row r="474" spans="1:8" ht="14.25" customHeight="1" x14ac:dyDescent="0.3">
      <c r="A474">
        <v>1358951</v>
      </c>
      <c r="B474" t="s">
        <v>4949</v>
      </c>
      <c r="C474" s="1" t="s">
        <v>4950</v>
      </c>
      <c r="D474" t="s">
        <v>24</v>
      </c>
      <c r="E474">
        <v>3</v>
      </c>
      <c r="F474">
        <v>3</v>
      </c>
      <c r="G474">
        <v>36</v>
      </c>
      <c r="H474" s="2">
        <v>44246.002824074072</v>
      </c>
    </row>
    <row r="475" spans="1:8" ht="14.25" customHeight="1" x14ac:dyDescent="0.3">
      <c r="A475">
        <v>1357172</v>
      </c>
      <c r="B475" t="s">
        <v>4951</v>
      </c>
      <c r="C475" s="1" t="s">
        <v>4952</v>
      </c>
      <c r="D475" t="s">
        <v>11</v>
      </c>
      <c r="E475">
        <v>1</v>
      </c>
      <c r="F475">
        <v>1</v>
      </c>
      <c r="G475">
        <v>36</v>
      </c>
      <c r="H475" s="2">
        <v>44246.003206018519</v>
      </c>
    </row>
    <row r="476" spans="1:8" ht="14.25" customHeight="1" x14ac:dyDescent="0.3">
      <c r="A476">
        <v>1358732</v>
      </c>
      <c r="B476" t="s">
        <v>4953</v>
      </c>
      <c r="C476" s="1" t="s">
        <v>4954</v>
      </c>
      <c r="D476" t="s">
        <v>11</v>
      </c>
      <c r="E476">
        <v>2</v>
      </c>
      <c r="F476">
        <v>2</v>
      </c>
      <c r="G476">
        <v>36</v>
      </c>
      <c r="H476" s="2">
        <v>44246.004155092596</v>
      </c>
    </row>
    <row r="477" spans="1:8" ht="14.25" customHeight="1" x14ac:dyDescent="0.3">
      <c r="A477">
        <v>1360802</v>
      </c>
      <c r="B477" t="e">
        <f>- create edmonton site in cw automate for cooper law</f>
        <v>#NAME?</v>
      </c>
      <c r="C477" s="1" t="s">
        <v>4955</v>
      </c>
      <c r="D477" t="s">
        <v>24</v>
      </c>
      <c r="E477">
        <v>2</v>
      </c>
      <c r="F477">
        <v>1</v>
      </c>
      <c r="G477">
        <v>43</v>
      </c>
      <c r="H477" s="2">
        <v>44246.004988425928</v>
      </c>
    </row>
    <row r="478" spans="1:8" ht="14.25" customHeight="1" x14ac:dyDescent="0.3">
      <c r="A478">
        <v>1360252</v>
      </c>
      <c r="B478" t="s">
        <v>4956</v>
      </c>
      <c r="C478" s="1" t="s">
        <v>4957</v>
      </c>
      <c r="D478" t="s">
        <v>11</v>
      </c>
      <c r="E478">
        <v>2</v>
      </c>
      <c r="F478">
        <v>2</v>
      </c>
      <c r="G478">
        <v>43</v>
      </c>
      <c r="H478" s="2">
        <v>44246.005671296298</v>
      </c>
    </row>
    <row r="479" spans="1:8" ht="14.25" customHeight="1" x14ac:dyDescent="0.3">
      <c r="A479">
        <v>1359134</v>
      </c>
      <c r="B479" t="s">
        <v>4958</v>
      </c>
      <c r="C479" s="1" t="s">
        <v>4959</v>
      </c>
      <c r="D479" t="s">
        <v>11</v>
      </c>
      <c r="E479">
        <v>1</v>
      </c>
      <c r="F479">
        <v>3</v>
      </c>
      <c r="G479">
        <v>41</v>
      </c>
      <c r="H479" s="2">
        <v>44246.008900462963</v>
      </c>
    </row>
    <row r="480" spans="1:8" ht="14.25" customHeight="1" x14ac:dyDescent="0.3">
      <c r="A480">
        <v>1354366</v>
      </c>
      <c r="B480" t="s">
        <v>4960</v>
      </c>
      <c r="C480" s="1" t="s">
        <v>4961</v>
      </c>
      <c r="D480" t="s">
        <v>11</v>
      </c>
      <c r="E480">
        <v>1</v>
      </c>
      <c r="F480">
        <v>1</v>
      </c>
      <c r="G480">
        <v>43</v>
      </c>
      <c r="H480" s="2">
        <v>44246.01152777778</v>
      </c>
    </row>
    <row r="481" spans="1:8" ht="14.25" customHeight="1" x14ac:dyDescent="0.3">
      <c r="A481">
        <v>1354324</v>
      </c>
      <c r="B481" t="s">
        <v>4962</v>
      </c>
      <c r="C481" s="1" t="s">
        <v>4963</v>
      </c>
      <c r="D481" t="s">
        <v>24</v>
      </c>
      <c r="E481">
        <v>1</v>
      </c>
      <c r="F481">
        <v>1</v>
      </c>
      <c r="G481">
        <v>43</v>
      </c>
      <c r="H481" s="2">
        <v>44246.012627314813</v>
      </c>
    </row>
    <row r="482" spans="1:8" ht="14.25" customHeight="1" x14ac:dyDescent="0.3">
      <c r="A482">
        <v>1354490</v>
      </c>
      <c r="B482" t="e">
        <f>- disable account, josh cheechoo</f>
        <v>#NAME?</v>
      </c>
      <c r="C482" s="1" t="s">
        <v>4964</v>
      </c>
      <c r="D482" t="s">
        <v>24</v>
      </c>
      <c r="E482">
        <v>1</v>
      </c>
      <c r="F482">
        <v>1</v>
      </c>
      <c r="G482">
        <v>43</v>
      </c>
      <c r="H482" s="2">
        <v>44246.013032407405</v>
      </c>
    </row>
    <row r="483" spans="1:8" ht="14.25" customHeight="1" x14ac:dyDescent="0.3">
      <c r="A483">
        <v>1354368</v>
      </c>
      <c r="B483" t="s">
        <v>4965</v>
      </c>
      <c r="C483" s="1" t="s">
        <v>4966</v>
      </c>
      <c r="D483" t="s">
        <v>11</v>
      </c>
      <c r="E483">
        <v>1</v>
      </c>
      <c r="F483">
        <v>1</v>
      </c>
      <c r="G483">
        <v>41</v>
      </c>
      <c r="H483" s="2">
        <v>44246.013738425929</v>
      </c>
    </row>
    <row r="484" spans="1:8" ht="14.25" customHeight="1" x14ac:dyDescent="0.3">
      <c r="A484">
        <v>1354917</v>
      </c>
      <c r="B484" t="s">
        <v>4967</v>
      </c>
      <c r="C484" s="1" t="s">
        <v>4968</v>
      </c>
      <c r="D484" t="s">
        <v>11</v>
      </c>
      <c r="E484">
        <v>1</v>
      </c>
      <c r="F484">
        <v>1</v>
      </c>
      <c r="G484">
        <v>43</v>
      </c>
      <c r="H484" s="2">
        <v>44246.014305555553</v>
      </c>
    </row>
    <row r="485" spans="1:8" ht="14.25" customHeight="1" x14ac:dyDescent="0.3">
      <c r="A485">
        <v>1354308</v>
      </c>
      <c r="B485" t="s">
        <v>4969</v>
      </c>
      <c r="C485" s="1" t="s">
        <v>4970</v>
      </c>
      <c r="D485" t="s">
        <v>24</v>
      </c>
      <c r="E485">
        <v>1</v>
      </c>
      <c r="F485">
        <v>2</v>
      </c>
      <c r="G485">
        <v>41</v>
      </c>
      <c r="H485" s="2">
        <v>44246.018599537034</v>
      </c>
    </row>
    <row r="486" spans="1:8" ht="14.25" customHeight="1" x14ac:dyDescent="0.3">
      <c r="A486">
        <v>1354878</v>
      </c>
      <c r="B486" t="s">
        <v>4971</v>
      </c>
      <c r="C486" s="1" t="s">
        <v>4972</v>
      </c>
      <c r="D486" t="s">
        <v>11</v>
      </c>
      <c r="E486">
        <v>1</v>
      </c>
      <c r="F486">
        <v>2</v>
      </c>
      <c r="G486">
        <v>41</v>
      </c>
      <c r="H486" s="2">
        <v>44246.040081018517</v>
      </c>
    </row>
    <row r="487" spans="1:8" ht="14.25" customHeight="1" x14ac:dyDescent="0.3">
      <c r="A487">
        <v>1354402</v>
      </c>
      <c r="B487" t="s">
        <v>4973</v>
      </c>
      <c r="C487" s="1" t="s">
        <v>4974</v>
      </c>
      <c r="D487" t="s">
        <v>11</v>
      </c>
      <c r="E487">
        <v>1</v>
      </c>
      <c r="F487">
        <v>2</v>
      </c>
      <c r="G487">
        <v>41</v>
      </c>
      <c r="H487" s="2">
        <v>44246.678287037037</v>
      </c>
    </row>
    <row r="488" spans="1:8" ht="14.25" customHeight="1" x14ac:dyDescent="0.3">
      <c r="A488">
        <v>1354410</v>
      </c>
      <c r="B488" t="e">
        <f>- new email account (membership)</f>
        <v>#NAME?</v>
      </c>
      <c r="C488" s="1" t="s">
        <v>4975</v>
      </c>
      <c r="D488" t="s">
        <v>11</v>
      </c>
      <c r="E488">
        <v>1</v>
      </c>
      <c r="F488">
        <v>1</v>
      </c>
      <c r="G488">
        <v>43</v>
      </c>
      <c r="H488" s="2">
        <v>44246.933113425926</v>
      </c>
    </row>
    <row r="489" spans="1:8" ht="14.25" customHeight="1" x14ac:dyDescent="0.3">
      <c r="A489">
        <v>1354479</v>
      </c>
      <c r="B489" t="e">
        <f>- director emails bouncing</f>
        <v>#NAME?</v>
      </c>
      <c r="C489" s="1" t="s">
        <v>4976</v>
      </c>
      <c r="D489" t="s">
        <v>11</v>
      </c>
      <c r="E489">
        <v>1</v>
      </c>
      <c r="F489">
        <v>2</v>
      </c>
      <c r="G489">
        <v>41</v>
      </c>
      <c r="H489" s="2">
        <v>44246.934351851851</v>
      </c>
    </row>
    <row r="490" spans="1:8" ht="14.25" customHeight="1" x14ac:dyDescent="0.3">
      <c r="A490">
        <v>1353921</v>
      </c>
      <c r="B490" t="e">
        <f>- spam</f>
        <v>#NAME?</v>
      </c>
      <c r="C490" s="1" t="s">
        <v>4977</v>
      </c>
      <c r="D490" t="s">
        <v>11</v>
      </c>
      <c r="E490">
        <v>1</v>
      </c>
      <c r="F490">
        <v>1</v>
      </c>
      <c r="G490">
        <v>41</v>
      </c>
      <c r="H490" s="2">
        <v>44246.934606481482</v>
      </c>
    </row>
    <row r="491" spans="1:8" ht="14.25" customHeight="1" x14ac:dyDescent="0.3">
      <c r="A491">
        <v>1353925</v>
      </c>
      <c r="B491" t="e">
        <f>- equipment drop off</f>
        <v>#NAME?</v>
      </c>
      <c r="C491" s="1" t="s">
        <v>4978</v>
      </c>
      <c r="D491" t="s">
        <v>24</v>
      </c>
      <c r="E491">
        <v>1</v>
      </c>
      <c r="F491">
        <v>3</v>
      </c>
      <c r="G491">
        <v>43</v>
      </c>
      <c r="H491" s="2">
        <v>44246.935115740744</v>
      </c>
    </row>
    <row r="492" spans="1:8" ht="14.25" customHeight="1" x14ac:dyDescent="0.3">
      <c r="A492">
        <v>1354328</v>
      </c>
      <c r="B492" t="s">
        <v>4979</v>
      </c>
      <c r="C492" s="1" t="s">
        <v>4980</v>
      </c>
      <c r="D492" t="s">
        <v>11</v>
      </c>
      <c r="E492">
        <v>1</v>
      </c>
      <c r="F492">
        <v>1</v>
      </c>
      <c r="G492">
        <v>43</v>
      </c>
      <c r="H492" s="2">
        <v>44246.944305555553</v>
      </c>
    </row>
    <row r="493" spans="1:8" ht="14.25" customHeight="1" x14ac:dyDescent="0.3">
      <c r="A493">
        <v>1354443</v>
      </c>
      <c r="B493" t="e">
        <f>- voicemail concern</f>
        <v>#NAME?</v>
      </c>
      <c r="C493" s="1" t="s">
        <v>4981</v>
      </c>
      <c r="D493" t="s">
        <v>11</v>
      </c>
      <c r="E493">
        <v>1</v>
      </c>
      <c r="F493">
        <v>1</v>
      </c>
      <c r="G493">
        <v>41</v>
      </c>
      <c r="H493" s="2">
        <v>44246.958368055559</v>
      </c>
    </row>
    <row r="494" spans="1:8" ht="14.25" customHeight="1" x14ac:dyDescent="0.3">
      <c r="A494">
        <v>1355536</v>
      </c>
      <c r="B494" t="e">
        <f>- access to monique auffrey personal file drive</f>
        <v>#NAME?</v>
      </c>
      <c r="C494" s="1" t="s">
        <v>4982</v>
      </c>
      <c r="D494" t="s">
        <v>24</v>
      </c>
      <c r="E494">
        <v>1</v>
      </c>
      <c r="F494">
        <v>2</v>
      </c>
      <c r="G494">
        <v>43</v>
      </c>
      <c r="H494" s="2">
        <v>44246.959270833337</v>
      </c>
    </row>
    <row r="495" spans="1:8" ht="14.25" customHeight="1" x14ac:dyDescent="0.3">
      <c r="A495">
        <v>1354625</v>
      </c>
      <c r="B495" t="s">
        <v>4983</v>
      </c>
      <c r="C495" s="1" t="s">
        <v>4984</v>
      </c>
      <c r="D495" t="s">
        <v>11</v>
      </c>
      <c r="E495">
        <v>1</v>
      </c>
      <c r="F495">
        <v>1</v>
      </c>
      <c r="G495">
        <v>41</v>
      </c>
      <c r="H495" s="2">
        <v>44246.960011574076</v>
      </c>
    </row>
    <row r="496" spans="1:8" ht="14.25" customHeight="1" x14ac:dyDescent="0.3">
      <c r="A496">
        <v>1354428</v>
      </c>
      <c r="B496" t="s">
        <v>3010</v>
      </c>
      <c r="C496" s="1" t="s">
        <v>4985</v>
      </c>
      <c r="D496" t="s">
        <v>11</v>
      </c>
      <c r="E496">
        <v>1</v>
      </c>
      <c r="F496">
        <v>1</v>
      </c>
      <c r="G496">
        <v>41</v>
      </c>
      <c r="H496" s="2">
        <v>44246.960393518515</v>
      </c>
    </row>
    <row r="497" spans="1:8" ht="14.25" customHeight="1" x14ac:dyDescent="0.3">
      <c r="A497">
        <v>1354424</v>
      </c>
      <c r="B497" t="s">
        <v>4986</v>
      </c>
      <c r="C497" s="1" t="s">
        <v>4987</v>
      </c>
      <c r="D497" t="s">
        <v>11</v>
      </c>
      <c r="E497">
        <v>1</v>
      </c>
      <c r="F497">
        <v>1</v>
      </c>
      <c r="G497">
        <v>41</v>
      </c>
      <c r="H497" s="2">
        <v>44246.960763888892</v>
      </c>
    </row>
    <row r="498" spans="1:8" ht="14.25" customHeight="1" x14ac:dyDescent="0.3">
      <c r="A498">
        <v>1354296</v>
      </c>
      <c r="B498" t="s">
        <v>4988</v>
      </c>
      <c r="C498" s="1" t="s">
        <v>4989</v>
      </c>
      <c r="D498" t="s">
        <v>11</v>
      </c>
      <c r="E498">
        <v>1</v>
      </c>
      <c r="F498">
        <v>1</v>
      </c>
      <c r="G498">
        <v>41</v>
      </c>
      <c r="H498" s="2">
        <v>44246.961516203701</v>
      </c>
    </row>
    <row r="499" spans="1:8" ht="14.25" customHeight="1" x14ac:dyDescent="0.3">
      <c r="A499">
        <v>1354420</v>
      </c>
      <c r="B499" t="e">
        <f>- new employee</f>
        <v>#NAME?</v>
      </c>
      <c r="C499" s="1" t="s">
        <v>4990</v>
      </c>
      <c r="D499" t="s">
        <v>24</v>
      </c>
      <c r="E499">
        <v>1</v>
      </c>
      <c r="F499">
        <v>3</v>
      </c>
      <c r="G499">
        <v>43</v>
      </c>
      <c r="H499" s="2">
        <v>44246.962048611109</v>
      </c>
    </row>
    <row r="500" spans="1:8" ht="14.25" customHeight="1" x14ac:dyDescent="0.3">
      <c r="A500">
        <v>1353837</v>
      </c>
      <c r="B500" t="s">
        <v>4991</v>
      </c>
      <c r="C500" s="1" t="s">
        <v>4992</v>
      </c>
      <c r="D500" t="s">
        <v>11</v>
      </c>
      <c r="E500">
        <v>1</v>
      </c>
      <c r="F500">
        <v>1</v>
      </c>
      <c r="G500">
        <v>43</v>
      </c>
      <c r="H500" s="2">
        <v>44246.964849537035</v>
      </c>
    </row>
    <row r="501" spans="1:8" ht="14.25" customHeight="1" x14ac:dyDescent="0.3">
      <c r="A501">
        <v>1354300</v>
      </c>
      <c r="B501" t="e">
        <f>- i need to install an update for a program called triforce quicktools on my pc.</f>
        <v>#NAME?</v>
      </c>
      <c r="C501" s="1" t="s">
        <v>4993</v>
      </c>
      <c r="D501" t="s">
        <v>24</v>
      </c>
      <c r="E501">
        <v>1</v>
      </c>
      <c r="F501">
        <v>2</v>
      </c>
      <c r="G501">
        <v>43</v>
      </c>
      <c r="H501" s="2">
        <v>44246.96502314815</v>
      </c>
    </row>
    <row r="502" spans="1:8" ht="14.25" customHeight="1" x14ac:dyDescent="0.3">
      <c r="A502">
        <v>1354170</v>
      </c>
      <c r="B502" t="s">
        <v>4690</v>
      </c>
      <c r="C502" t="s">
        <v>4691</v>
      </c>
      <c r="D502" t="s">
        <v>1158</v>
      </c>
      <c r="E502">
        <v>1</v>
      </c>
      <c r="F502">
        <v>1</v>
      </c>
      <c r="G502">
        <v>36</v>
      </c>
      <c r="H502" s="2">
        <v>44246.965231481481</v>
      </c>
    </row>
    <row r="503" spans="1:8" ht="14.25" customHeight="1" x14ac:dyDescent="0.3">
      <c r="A503">
        <v>1353882</v>
      </c>
      <c r="B503" t="s">
        <v>4994</v>
      </c>
      <c r="C503" s="1" t="s">
        <v>4995</v>
      </c>
      <c r="D503" t="s">
        <v>11</v>
      </c>
      <c r="E503">
        <v>1</v>
      </c>
      <c r="F503">
        <v>2</v>
      </c>
      <c r="G503">
        <v>41</v>
      </c>
      <c r="H503" s="2">
        <v>44246.965648148151</v>
      </c>
    </row>
    <row r="504" spans="1:8" ht="14.25" customHeight="1" x14ac:dyDescent="0.3">
      <c r="A504">
        <v>1353902</v>
      </c>
      <c r="B504" t="e">
        <f>- change access to folder</f>
        <v>#NAME?</v>
      </c>
      <c r="C504" s="1" t="s">
        <v>4996</v>
      </c>
      <c r="D504" t="s">
        <v>24</v>
      </c>
      <c r="E504">
        <v>1</v>
      </c>
      <c r="F504">
        <v>1</v>
      </c>
      <c r="G504">
        <v>43</v>
      </c>
      <c r="H504" s="2">
        <v>44246.965821759259</v>
      </c>
    </row>
    <row r="505" spans="1:8" ht="14.25" customHeight="1" x14ac:dyDescent="0.3">
      <c r="A505">
        <v>1353861</v>
      </c>
      <c r="B505" t="s">
        <v>4997</v>
      </c>
      <c r="C505" s="1" t="s">
        <v>4998</v>
      </c>
      <c r="D505" t="s">
        <v>11</v>
      </c>
      <c r="E505">
        <v>1</v>
      </c>
      <c r="F505">
        <v>1</v>
      </c>
      <c r="G505">
        <v>43</v>
      </c>
      <c r="H505" s="2">
        <v>44246.966921296298</v>
      </c>
    </row>
    <row r="506" spans="1:8" ht="14.25" customHeight="1" x14ac:dyDescent="0.3">
      <c r="A506">
        <v>1354421</v>
      </c>
      <c r="B506" t="s">
        <v>4986</v>
      </c>
      <c r="C506" s="1" t="s">
        <v>4999</v>
      </c>
      <c r="D506" t="s">
        <v>11</v>
      </c>
      <c r="E506">
        <v>1</v>
      </c>
      <c r="F506">
        <v>1</v>
      </c>
      <c r="G506">
        <v>41</v>
      </c>
      <c r="H506" s="2">
        <v>44246.967129629629</v>
      </c>
    </row>
    <row r="507" spans="1:8" ht="14.25" customHeight="1" x14ac:dyDescent="0.3">
      <c r="A507">
        <v>1354301</v>
      </c>
      <c r="B507" t="s">
        <v>5000</v>
      </c>
      <c r="C507" s="1" t="s">
        <v>5001</v>
      </c>
      <c r="D507" t="s">
        <v>11</v>
      </c>
      <c r="E507">
        <v>1</v>
      </c>
      <c r="F507">
        <v>1</v>
      </c>
      <c r="G507">
        <v>43</v>
      </c>
      <c r="H507" s="2">
        <v>44246.967164351852</v>
      </c>
    </row>
    <row r="508" spans="1:8" ht="14.25" customHeight="1" x14ac:dyDescent="0.3">
      <c r="A508">
        <v>1354166</v>
      </c>
      <c r="B508" t="s">
        <v>4683</v>
      </c>
      <c r="C508" t="s">
        <v>4684</v>
      </c>
      <c r="D508" t="s">
        <v>1158</v>
      </c>
      <c r="E508">
        <v>1</v>
      </c>
      <c r="F508">
        <v>1</v>
      </c>
      <c r="G508">
        <v>36</v>
      </c>
      <c r="H508" s="2">
        <v>44246.967395833337</v>
      </c>
    </row>
    <row r="509" spans="1:8" ht="14.25" customHeight="1" x14ac:dyDescent="0.3">
      <c r="A509">
        <v>1354973</v>
      </c>
      <c r="B509" t="s">
        <v>5002</v>
      </c>
      <c r="C509" s="1" t="s">
        <v>5003</v>
      </c>
      <c r="D509" t="s">
        <v>11</v>
      </c>
      <c r="E509">
        <v>3</v>
      </c>
      <c r="F509">
        <v>1</v>
      </c>
      <c r="G509">
        <v>43</v>
      </c>
      <c r="H509" s="2">
        <v>44246.968182870369</v>
      </c>
    </row>
    <row r="510" spans="1:8" ht="14.25" customHeight="1" x14ac:dyDescent="0.3">
      <c r="A510">
        <v>1354426</v>
      </c>
      <c r="B510" t="e">
        <f>- disable accounts</f>
        <v>#NAME?</v>
      </c>
      <c r="C510" s="1" t="s">
        <v>5004</v>
      </c>
      <c r="D510" t="s">
        <v>24</v>
      </c>
      <c r="E510">
        <v>1</v>
      </c>
      <c r="F510">
        <v>1</v>
      </c>
      <c r="G510">
        <v>43</v>
      </c>
      <c r="H510" s="2">
        <v>44246.969571759262</v>
      </c>
    </row>
    <row r="511" spans="1:8" ht="14.25" customHeight="1" x14ac:dyDescent="0.3">
      <c r="A511">
        <v>1354272</v>
      </c>
      <c r="B511" t="s">
        <v>5005</v>
      </c>
      <c r="C511" s="1" t="s">
        <v>5006</v>
      </c>
      <c r="D511" t="s">
        <v>11</v>
      </c>
      <c r="E511">
        <v>1</v>
      </c>
      <c r="F511">
        <v>1</v>
      </c>
      <c r="G511">
        <v>41</v>
      </c>
      <c r="H511" s="2">
        <v>44246.970046296294</v>
      </c>
    </row>
    <row r="512" spans="1:8" ht="14.25" customHeight="1" x14ac:dyDescent="0.3">
      <c r="A512">
        <v>1353904</v>
      </c>
      <c r="B512" t="e">
        <f>-  install reflex test</f>
        <v>#NAME?</v>
      </c>
      <c r="C512" s="1" t="s">
        <v>5007</v>
      </c>
      <c r="D512" t="s">
        <v>11</v>
      </c>
      <c r="E512">
        <v>1</v>
      </c>
      <c r="F512">
        <v>1</v>
      </c>
      <c r="G512">
        <v>43</v>
      </c>
      <c r="H512" s="2">
        <v>44246.975613425922</v>
      </c>
    </row>
    <row r="513" spans="1:8" ht="14.25" customHeight="1" x14ac:dyDescent="0.3">
      <c r="A513">
        <v>1353907</v>
      </c>
      <c r="B513" t="s">
        <v>5008</v>
      </c>
      <c r="C513" s="1" t="s">
        <v>5009</v>
      </c>
      <c r="D513" t="s">
        <v>11</v>
      </c>
      <c r="E513">
        <v>1</v>
      </c>
      <c r="F513">
        <v>1</v>
      </c>
      <c r="G513">
        <v>43</v>
      </c>
      <c r="H513" s="2">
        <v>44246.975763888891</v>
      </c>
    </row>
    <row r="514" spans="1:8" ht="14.25" customHeight="1" x14ac:dyDescent="0.3">
      <c r="A514">
        <v>1354167</v>
      </c>
      <c r="B514" t="s">
        <v>4683</v>
      </c>
      <c r="C514" t="s">
        <v>4684</v>
      </c>
      <c r="D514" t="s">
        <v>1158</v>
      </c>
      <c r="E514">
        <v>1</v>
      </c>
      <c r="F514">
        <v>1</v>
      </c>
      <c r="G514">
        <v>36</v>
      </c>
      <c r="H514" s="2">
        <v>44246.975902777776</v>
      </c>
    </row>
    <row r="515" spans="1:8" ht="14.25" customHeight="1" x14ac:dyDescent="0.3">
      <c r="A515">
        <v>1353871</v>
      </c>
      <c r="B515" t="s">
        <v>5010</v>
      </c>
      <c r="C515" s="1" t="s">
        <v>5011</v>
      </c>
      <c r="D515" t="s">
        <v>11</v>
      </c>
      <c r="E515">
        <v>1</v>
      </c>
      <c r="F515">
        <v>1</v>
      </c>
      <c r="G515">
        <v>36</v>
      </c>
      <c r="H515" s="2">
        <v>44246.976122685184</v>
      </c>
    </row>
    <row r="516" spans="1:8" ht="14.25" customHeight="1" x14ac:dyDescent="0.3">
      <c r="A516">
        <v>1353826</v>
      </c>
      <c r="B516" t="e">
        <f>- new contacts</f>
        <v>#NAME?</v>
      </c>
      <c r="C516" s="1" t="s">
        <v>5012</v>
      </c>
      <c r="D516" t="s">
        <v>11</v>
      </c>
      <c r="E516">
        <v>1</v>
      </c>
      <c r="F516">
        <v>1</v>
      </c>
      <c r="G516">
        <v>43</v>
      </c>
      <c r="H516" s="2">
        <v>44246.976307870369</v>
      </c>
    </row>
    <row r="517" spans="1:8" ht="14.25" customHeight="1" x14ac:dyDescent="0.3">
      <c r="A517">
        <v>1353887</v>
      </c>
      <c r="B517" t="s">
        <v>5013</v>
      </c>
      <c r="C517" t="s">
        <v>5014</v>
      </c>
      <c r="D517" t="s">
        <v>11</v>
      </c>
      <c r="E517">
        <v>1</v>
      </c>
      <c r="F517">
        <v>2</v>
      </c>
      <c r="G517">
        <v>41</v>
      </c>
      <c r="H517" s="2">
        <v>44246.976817129631</v>
      </c>
    </row>
    <row r="518" spans="1:8" ht="14.25" customHeight="1" x14ac:dyDescent="0.3">
      <c r="A518">
        <v>1353939</v>
      </c>
      <c r="B518" t="s">
        <v>5015</v>
      </c>
      <c r="C518" s="1" t="s">
        <v>5016</v>
      </c>
      <c r="D518" t="s">
        <v>11</v>
      </c>
      <c r="E518">
        <v>1</v>
      </c>
      <c r="F518">
        <v>1</v>
      </c>
      <c r="G518">
        <v>36</v>
      </c>
      <c r="H518" s="2">
        <v>44246.977013888885</v>
      </c>
    </row>
    <row r="519" spans="1:8" ht="14.25" customHeight="1" x14ac:dyDescent="0.3">
      <c r="A519">
        <v>1354168</v>
      </c>
      <c r="B519" t="s">
        <v>4690</v>
      </c>
      <c r="C519" t="s">
        <v>4691</v>
      </c>
      <c r="D519" t="s">
        <v>1158</v>
      </c>
      <c r="E519">
        <v>1</v>
      </c>
      <c r="F519">
        <v>1</v>
      </c>
      <c r="G519">
        <v>36</v>
      </c>
      <c r="H519" s="2">
        <v>44246.977141203701</v>
      </c>
    </row>
    <row r="520" spans="1:8" ht="14.25" customHeight="1" x14ac:dyDescent="0.3">
      <c r="A520">
        <v>1353824</v>
      </c>
      <c r="B520" t="e">
        <f>- lagging laptop</f>
        <v>#NAME?</v>
      </c>
      <c r="C520" t="s">
        <v>5017</v>
      </c>
      <c r="D520" t="s">
        <v>24</v>
      </c>
      <c r="E520">
        <v>1</v>
      </c>
      <c r="F520">
        <v>2</v>
      </c>
      <c r="G520">
        <v>41</v>
      </c>
      <c r="H520" s="2">
        <v>44246.978067129632</v>
      </c>
    </row>
    <row r="521" spans="1:8" ht="14.25" customHeight="1" x14ac:dyDescent="0.3">
      <c r="A521">
        <v>1353875</v>
      </c>
      <c r="B521" t="e">
        <f>- request for computer with installation</f>
        <v>#NAME?</v>
      </c>
      <c r="C521" s="1" t="s">
        <v>5018</v>
      </c>
      <c r="D521" t="s">
        <v>11</v>
      </c>
      <c r="E521">
        <v>1</v>
      </c>
      <c r="F521">
        <v>1</v>
      </c>
      <c r="G521">
        <v>36</v>
      </c>
      <c r="H521" s="2">
        <v>44246.97928240741</v>
      </c>
    </row>
    <row r="522" spans="1:8" ht="14.25" customHeight="1" x14ac:dyDescent="0.3">
      <c r="A522">
        <v>1353854</v>
      </c>
      <c r="B522" t="s">
        <v>5019</v>
      </c>
      <c r="C522" t="s">
        <v>5020</v>
      </c>
      <c r="D522" t="s">
        <v>11</v>
      </c>
      <c r="E522">
        <v>1</v>
      </c>
      <c r="F522">
        <v>1</v>
      </c>
      <c r="G522">
        <v>41</v>
      </c>
      <c r="H522" s="2">
        <v>44246.979629629626</v>
      </c>
    </row>
    <row r="523" spans="1:8" ht="14.25" customHeight="1" x14ac:dyDescent="0.3">
      <c r="A523">
        <v>1353804</v>
      </c>
      <c r="B523" t="s">
        <v>5021</v>
      </c>
      <c r="C523" s="1" t="s">
        <v>5022</v>
      </c>
      <c r="D523" t="s">
        <v>11</v>
      </c>
      <c r="E523">
        <v>1</v>
      </c>
      <c r="F523">
        <v>1</v>
      </c>
      <c r="G523">
        <v>36</v>
      </c>
      <c r="H523" s="2">
        <v>44246.980219907404</v>
      </c>
    </row>
    <row r="524" spans="1:8" ht="14.25" customHeight="1" x14ac:dyDescent="0.3">
      <c r="A524">
        <v>1353739</v>
      </c>
      <c r="B524" t="s">
        <v>5023</v>
      </c>
      <c r="C524" s="1" t="s">
        <v>5024</v>
      </c>
      <c r="D524" t="s">
        <v>11</v>
      </c>
      <c r="E524">
        <v>1</v>
      </c>
      <c r="F524">
        <v>3</v>
      </c>
      <c r="G524">
        <v>41</v>
      </c>
      <c r="H524" s="2">
        <v>44246.980555555558</v>
      </c>
    </row>
    <row r="525" spans="1:8" ht="14.25" customHeight="1" x14ac:dyDescent="0.3">
      <c r="A525">
        <v>1354364</v>
      </c>
      <c r="B525" t="s">
        <v>1519</v>
      </c>
      <c r="C525" s="1" t="s">
        <v>5025</v>
      </c>
      <c r="D525" t="s">
        <v>11</v>
      </c>
      <c r="E525">
        <v>1</v>
      </c>
      <c r="F525">
        <v>1</v>
      </c>
      <c r="G525">
        <v>36</v>
      </c>
      <c r="H525" s="2">
        <v>44246.989675925928</v>
      </c>
    </row>
    <row r="526" spans="1:8" ht="14.25" customHeight="1" x14ac:dyDescent="0.3">
      <c r="A526">
        <v>1353821</v>
      </c>
      <c r="B526" t="e">
        <f>- ariel performance software</f>
        <v>#NAME?</v>
      </c>
      <c r="C526" s="1" t="s">
        <v>5026</v>
      </c>
      <c r="D526" t="s">
        <v>11</v>
      </c>
      <c r="E526">
        <v>1</v>
      </c>
      <c r="F526">
        <v>1</v>
      </c>
      <c r="G526">
        <v>43</v>
      </c>
      <c r="H526" s="2">
        <v>44246.989814814813</v>
      </c>
    </row>
    <row r="527" spans="1:8" ht="14.25" customHeight="1" x14ac:dyDescent="0.3">
      <c r="A527">
        <v>1353912</v>
      </c>
      <c r="B527" t="s">
        <v>5027</v>
      </c>
      <c r="C527" s="1" t="s">
        <v>5028</v>
      </c>
      <c r="D527" t="s">
        <v>24</v>
      </c>
      <c r="E527">
        <v>1</v>
      </c>
      <c r="F527">
        <v>1</v>
      </c>
      <c r="G527">
        <v>36</v>
      </c>
      <c r="H527" s="2">
        <v>44246.990763888891</v>
      </c>
    </row>
    <row r="528" spans="1:8" ht="14.25" customHeight="1" x14ac:dyDescent="0.3">
      <c r="A528">
        <v>1353728</v>
      </c>
      <c r="B528" t="s">
        <v>5029</v>
      </c>
      <c r="C528" t="s">
        <v>5030</v>
      </c>
      <c r="D528" t="s">
        <v>11</v>
      </c>
      <c r="E528">
        <v>1</v>
      </c>
      <c r="F528">
        <v>1</v>
      </c>
      <c r="G528">
        <v>43</v>
      </c>
      <c r="H528" s="2">
        <v>44246.991261574076</v>
      </c>
    </row>
    <row r="529" spans="1:8" ht="14.25" customHeight="1" x14ac:dyDescent="0.3">
      <c r="A529">
        <v>1353877</v>
      </c>
      <c r="B529" t="s">
        <v>5031</v>
      </c>
      <c r="C529" s="1" t="s">
        <v>5032</v>
      </c>
      <c r="D529" t="s">
        <v>11</v>
      </c>
      <c r="E529">
        <v>1</v>
      </c>
      <c r="F529">
        <v>1</v>
      </c>
      <c r="G529">
        <v>43</v>
      </c>
      <c r="H529" s="2">
        <v>44246.995937500003</v>
      </c>
    </row>
    <row r="530" spans="1:8" ht="14.25" customHeight="1" x14ac:dyDescent="0.3">
      <c r="A530">
        <v>1353808</v>
      </c>
      <c r="B530" t="s">
        <v>5033</v>
      </c>
      <c r="C530" s="1" t="s">
        <v>5034</v>
      </c>
      <c r="D530" t="s">
        <v>11</v>
      </c>
      <c r="E530">
        <v>1</v>
      </c>
      <c r="F530">
        <v>1</v>
      </c>
      <c r="G530">
        <v>36</v>
      </c>
      <c r="H530" s="2">
        <v>44246.997615740744</v>
      </c>
    </row>
    <row r="531" spans="1:8" ht="14.25" customHeight="1" x14ac:dyDescent="0.3">
      <c r="A531">
        <v>1353827</v>
      </c>
      <c r="B531" t="e">
        <f>- notice of upcoming new hire,  francis owusu</f>
        <v>#NAME?</v>
      </c>
      <c r="C531" s="1" t="s">
        <v>5035</v>
      </c>
      <c r="D531" t="s">
        <v>11</v>
      </c>
      <c r="E531">
        <v>1</v>
      </c>
      <c r="F531">
        <v>1</v>
      </c>
      <c r="G531">
        <v>43</v>
      </c>
      <c r="H531" s="2">
        <v>44246.999259259261</v>
      </c>
    </row>
    <row r="532" spans="1:8" ht="14.25" customHeight="1" x14ac:dyDescent="0.3">
      <c r="A532">
        <v>1353802</v>
      </c>
      <c r="B532" t="s">
        <v>5036</v>
      </c>
      <c r="C532" s="1" t="s">
        <v>5037</v>
      </c>
      <c r="D532" t="s">
        <v>24</v>
      </c>
      <c r="E532">
        <v>1</v>
      </c>
      <c r="F532">
        <v>1</v>
      </c>
      <c r="G532">
        <v>36</v>
      </c>
      <c r="H532" s="2">
        <v>44247.000393518516</v>
      </c>
    </row>
    <row r="533" spans="1:8" ht="14.25" customHeight="1" x14ac:dyDescent="0.3">
      <c r="A533">
        <v>1353699</v>
      </c>
      <c r="B533" t="s">
        <v>5038</v>
      </c>
      <c r="C533" s="1" t="s">
        <v>5039</v>
      </c>
      <c r="D533" t="s">
        <v>24</v>
      </c>
      <c r="E533">
        <v>1</v>
      </c>
      <c r="F533">
        <v>3</v>
      </c>
      <c r="G533">
        <v>43</v>
      </c>
      <c r="H533" s="2">
        <v>44247.000625000001</v>
      </c>
    </row>
    <row r="534" spans="1:8" ht="14.25" customHeight="1" x14ac:dyDescent="0.3">
      <c r="A534">
        <v>1353750</v>
      </c>
      <c r="B534" t="e">
        <f>- mapping drives</f>
        <v>#NAME?</v>
      </c>
      <c r="C534" s="1" t="s">
        <v>5040</v>
      </c>
      <c r="D534" t="s">
        <v>11</v>
      </c>
      <c r="E534">
        <v>1</v>
      </c>
      <c r="F534">
        <v>3</v>
      </c>
      <c r="G534">
        <v>41</v>
      </c>
      <c r="H534" s="2">
        <v>44247.002708333333</v>
      </c>
    </row>
    <row r="535" spans="1:8" ht="14.25" customHeight="1" x14ac:dyDescent="0.3">
      <c r="A535">
        <v>1353865</v>
      </c>
      <c r="B535" t="e">
        <f>- email edits</f>
        <v>#NAME?</v>
      </c>
      <c r="C535" s="1" t="s">
        <v>5041</v>
      </c>
      <c r="D535" t="s">
        <v>24</v>
      </c>
      <c r="E535">
        <v>1</v>
      </c>
      <c r="F535">
        <v>2</v>
      </c>
      <c r="G535">
        <v>43</v>
      </c>
      <c r="H535" s="2">
        <v>44247.002824074072</v>
      </c>
    </row>
    <row r="536" spans="1:8" ht="14.25" customHeight="1" x14ac:dyDescent="0.3">
      <c r="A536">
        <v>1353763</v>
      </c>
      <c r="B536" t="e">
        <f>- printer offline</f>
        <v>#NAME?</v>
      </c>
      <c r="C536" s="1" t="s">
        <v>5042</v>
      </c>
      <c r="D536" t="s">
        <v>24</v>
      </c>
      <c r="E536">
        <v>2</v>
      </c>
      <c r="F536">
        <v>2</v>
      </c>
      <c r="G536">
        <v>41</v>
      </c>
      <c r="H536" s="2">
        <v>44247.003078703703</v>
      </c>
    </row>
    <row r="537" spans="1:8" ht="14.25" customHeight="1" x14ac:dyDescent="0.3">
      <c r="A537">
        <v>1353298</v>
      </c>
      <c r="B537" t="s">
        <v>5043</v>
      </c>
      <c r="C537" s="1" t="s">
        <v>5044</v>
      </c>
      <c r="D537" t="s">
        <v>11</v>
      </c>
      <c r="E537">
        <v>1</v>
      </c>
      <c r="F537">
        <v>1</v>
      </c>
      <c r="G537">
        <v>43</v>
      </c>
      <c r="H537" s="2">
        <v>44247.003217592595</v>
      </c>
    </row>
    <row r="538" spans="1:8" ht="14.25" customHeight="1" x14ac:dyDescent="0.3">
      <c r="A538">
        <v>1353749</v>
      </c>
      <c r="B538" t="e">
        <f>- new employee, bruce hill</f>
        <v>#NAME?</v>
      </c>
      <c r="C538" s="1" t="s">
        <v>5045</v>
      </c>
      <c r="D538" t="s">
        <v>24</v>
      </c>
      <c r="E538">
        <v>1</v>
      </c>
      <c r="F538">
        <v>1</v>
      </c>
      <c r="G538">
        <v>43</v>
      </c>
      <c r="H538" s="2">
        <v>44247.003425925926</v>
      </c>
    </row>
    <row r="539" spans="1:8" ht="14.25" customHeight="1" x14ac:dyDescent="0.3">
      <c r="A539">
        <v>1353845</v>
      </c>
      <c r="B539" t="s">
        <v>5046</v>
      </c>
      <c r="C539" s="1" t="s">
        <v>5047</v>
      </c>
      <c r="D539" t="s">
        <v>11</v>
      </c>
      <c r="E539">
        <v>1</v>
      </c>
      <c r="F539">
        <v>1</v>
      </c>
      <c r="G539">
        <v>43</v>
      </c>
      <c r="H539" s="2">
        <v>44247.003680555557</v>
      </c>
    </row>
    <row r="540" spans="1:8" ht="14.25" customHeight="1" x14ac:dyDescent="0.3">
      <c r="A540">
        <v>1353224</v>
      </c>
      <c r="B540" t="e">
        <f>- phone hardware issue</f>
        <v>#NAME?</v>
      </c>
      <c r="C540" s="1" t="s">
        <v>5048</v>
      </c>
      <c r="D540" t="s">
        <v>11</v>
      </c>
      <c r="E540">
        <v>1</v>
      </c>
      <c r="F540">
        <v>2</v>
      </c>
      <c r="G540">
        <v>41</v>
      </c>
      <c r="H540" s="2">
        <v>44247.003900462965</v>
      </c>
    </row>
    <row r="541" spans="1:8" ht="14.25" customHeight="1" x14ac:dyDescent="0.3">
      <c r="A541">
        <v>1353216</v>
      </c>
      <c r="B541" t="s">
        <v>5049</v>
      </c>
      <c r="C541" s="1" t="s">
        <v>5050</v>
      </c>
      <c r="D541" t="s">
        <v>11</v>
      </c>
      <c r="E541">
        <v>1</v>
      </c>
      <c r="F541">
        <v>1</v>
      </c>
      <c r="G541">
        <v>43</v>
      </c>
      <c r="H541" s="2">
        <v>44247.004942129628</v>
      </c>
    </row>
    <row r="542" spans="1:8" ht="14.25" customHeight="1" x14ac:dyDescent="0.3">
      <c r="A542">
        <v>1353246</v>
      </c>
      <c r="B542" t="s">
        <v>5051</v>
      </c>
      <c r="C542" s="1" t="s">
        <v>5052</v>
      </c>
      <c r="D542" t="s">
        <v>11</v>
      </c>
      <c r="E542">
        <v>1</v>
      </c>
      <c r="F542">
        <v>1</v>
      </c>
      <c r="G542">
        <v>43</v>
      </c>
      <c r="H542" s="2">
        <v>44247.005370370367</v>
      </c>
    </row>
    <row r="543" spans="1:8" ht="14.25" customHeight="1" x14ac:dyDescent="0.3">
      <c r="A543">
        <v>1353220</v>
      </c>
      <c r="B543" t="s">
        <v>5053</v>
      </c>
      <c r="C543" s="1" t="s">
        <v>5054</v>
      </c>
      <c r="D543" t="s">
        <v>24</v>
      </c>
      <c r="E543">
        <v>1</v>
      </c>
      <c r="F543">
        <v>3</v>
      </c>
      <c r="G543">
        <v>41</v>
      </c>
      <c r="H543" s="2">
        <v>44247.00540509259</v>
      </c>
    </row>
    <row r="544" spans="1:8" ht="14.25" customHeight="1" x14ac:dyDescent="0.3">
      <c r="A544">
        <v>1353269</v>
      </c>
      <c r="B544" t="s">
        <v>5055</v>
      </c>
      <c r="C544" s="1" t="s">
        <v>5056</v>
      </c>
      <c r="D544" t="s">
        <v>11</v>
      </c>
      <c r="E544">
        <v>1</v>
      </c>
      <c r="F544">
        <v>1</v>
      </c>
      <c r="G544">
        <v>43</v>
      </c>
      <c r="H544" s="2">
        <v>44247.005636574075</v>
      </c>
    </row>
    <row r="545" spans="1:8" ht="14.25" customHeight="1" x14ac:dyDescent="0.3">
      <c r="A545">
        <v>1353200</v>
      </c>
      <c r="B545" t="e">
        <f>- laptops, desktop, printer</f>
        <v>#NAME?</v>
      </c>
      <c r="C545" s="1" t="s">
        <v>5057</v>
      </c>
      <c r="D545" t="s">
        <v>11</v>
      </c>
      <c r="E545">
        <v>1</v>
      </c>
      <c r="F545">
        <v>1</v>
      </c>
      <c r="G545">
        <v>36</v>
      </c>
      <c r="H545" s="2">
        <v>44247.006307870368</v>
      </c>
    </row>
    <row r="546" spans="1:8" ht="14.25" customHeight="1" x14ac:dyDescent="0.3">
      <c r="A546">
        <v>1353184</v>
      </c>
      <c r="B546" t="s">
        <v>5058</v>
      </c>
      <c r="C546" s="1" t="s">
        <v>5059</v>
      </c>
      <c r="D546" t="s">
        <v>11</v>
      </c>
      <c r="E546">
        <v>1</v>
      </c>
      <c r="F546">
        <v>1</v>
      </c>
      <c r="G546">
        <v>36</v>
      </c>
      <c r="H546" s="2">
        <v>44247.00644675926</v>
      </c>
    </row>
    <row r="547" spans="1:8" ht="14.25" customHeight="1" x14ac:dyDescent="0.3">
      <c r="A547">
        <v>1353214</v>
      </c>
      <c r="B547" t="e">
        <f>- fw: remote check-in</f>
        <v>#NAME?</v>
      </c>
      <c r="C547" s="1" t="s">
        <v>5060</v>
      </c>
      <c r="D547" t="s">
        <v>11</v>
      </c>
      <c r="E547">
        <v>1</v>
      </c>
      <c r="F547">
        <v>2</v>
      </c>
      <c r="G547">
        <v>41</v>
      </c>
      <c r="H547" s="2">
        <v>44247.006805555553</v>
      </c>
    </row>
    <row r="548" spans="1:8" ht="14.25" customHeight="1" x14ac:dyDescent="0.3">
      <c r="A548">
        <v>1353834</v>
      </c>
      <c r="B548" t="e">
        <f>- telephone reporting software</f>
        <v>#NAME?</v>
      </c>
      <c r="C548" s="1" t="s">
        <v>5061</v>
      </c>
      <c r="D548" t="s">
        <v>11</v>
      </c>
      <c r="E548">
        <v>1</v>
      </c>
      <c r="F548">
        <v>1</v>
      </c>
      <c r="G548">
        <v>41</v>
      </c>
      <c r="H548" s="2">
        <v>44247.007453703707</v>
      </c>
    </row>
    <row r="549" spans="1:8" ht="14.25" customHeight="1" x14ac:dyDescent="0.3">
      <c r="A549">
        <v>1353179</v>
      </c>
      <c r="B549" t="s">
        <v>5062</v>
      </c>
      <c r="C549" s="1" t="s">
        <v>5063</v>
      </c>
      <c r="D549" t="s">
        <v>11</v>
      </c>
      <c r="E549">
        <v>1</v>
      </c>
      <c r="F549">
        <v>1</v>
      </c>
      <c r="G549">
        <v>43</v>
      </c>
      <c r="H549" s="2">
        <v>44247.0077662037</v>
      </c>
    </row>
    <row r="550" spans="1:8" ht="14.25" customHeight="1" x14ac:dyDescent="0.3">
      <c r="A550">
        <v>1353168</v>
      </c>
      <c r="B550" t="s">
        <v>5064</v>
      </c>
      <c r="C550" s="1" t="s">
        <v>5065</v>
      </c>
      <c r="D550" t="s">
        <v>11</v>
      </c>
      <c r="E550">
        <v>1</v>
      </c>
      <c r="F550">
        <v>1</v>
      </c>
      <c r="G550">
        <v>41</v>
      </c>
      <c r="H550" s="2">
        <v>44247.008229166669</v>
      </c>
    </row>
    <row r="551" spans="1:8" ht="14.25" customHeight="1" x14ac:dyDescent="0.3">
      <c r="A551">
        <v>1353328</v>
      </c>
      <c r="B551" t="s">
        <v>5066</v>
      </c>
      <c r="C551" s="1" t="s">
        <v>5067</v>
      </c>
      <c r="D551" t="s">
        <v>11</v>
      </c>
      <c r="E551">
        <v>3</v>
      </c>
      <c r="F551">
        <v>2</v>
      </c>
      <c r="G551">
        <v>36</v>
      </c>
      <c r="H551" s="2">
        <v>44247.008553240739</v>
      </c>
    </row>
    <row r="552" spans="1:8" ht="14.25" customHeight="1" x14ac:dyDescent="0.3">
      <c r="A552">
        <v>1353212</v>
      </c>
      <c r="B552" t="e">
        <f>- forticlient vpn update</f>
        <v>#NAME?</v>
      </c>
      <c r="C552" s="1" t="s">
        <v>5068</v>
      </c>
      <c r="D552" t="s">
        <v>11</v>
      </c>
      <c r="E552">
        <v>1</v>
      </c>
      <c r="F552">
        <v>2</v>
      </c>
      <c r="G552">
        <v>43</v>
      </c>
      <c r="H552" s="2">
        <v>44247.008715277778</v>
      </c>
    </row>
    <row r="553" spans="1:8" ht="14.25" customHeight="1" x14ac:dyDescent="0.3">
      <c r="A553">
        <v>1353265</v>
      </c>
      <c r="B553" t="s">
        <v>5069</v>
      </c>
      <c r="C553" s="1" t="s">
        <v>5070</v>
      </c>
      <c r="D553" t="s">
        <v>11</v>
      </c>
      <c r="E553">
        <v>1</v>
      </c>
      <c r="F553">
        <v>1</v>
      </c>
      <c r="G553">
        <v>41</v>
      </c>
      <c r="H553" s="2">
        <v>44247.008912037039</v>
      </c>
    </row>
    <row r="554" spans="1:8" ht="14.25" customHeight="1" x14ac:dyDescent="0.3">
      <c r="A554">
        <v>1353103</v>
      </c>
      <c r="B554" t="s">
        <v>5071</v>
      </c>
      <c r="C554" s="1" t="s">
        <v>5072</v>
      </c>
      <c r="D554" t="s">
        <v>11</v>
      </c>
      <c r="E554">
        <v>1</v>
      </c>
      <c r="F554">
        <v>1</v>
      </c>
      <c r="G554">
        <v>36</v>
      </c>
      <c r="H554" s="2">
        <v>44247.009328703702</v>
      </c>
    </row>
    <row r="555" spans="1:8" ht="14.25" customHeight="1" x14ac:dyDescent="0.3">
      <c r="A555">
        <v>1353309</v>
      </c>
      <c r="B555" t="e">
        <f>- katrina workstation performance issue / outlook freezing</f>
        <v>#NAME?</v>
      </c>
      <c r="C555" s="1" t="s">
        <v>5073</v>
      </c>
      <c r="D555" t="s">
        <v>11</v>
      </c>
      <c r="E555">
        <v>1</v>
      </c>
      <c r="F555">
        <v>2</v>
      </c>
      <c r="G555">
        <v>41</v>
      </c>
      <c r="H555" s="2">
        <v>44247.009965277779</v>
      </c>
    </row>
    <row r="556" spans="1:8" ht="14.25" customHeight="1" x14ac:dyDescent="0.3">
      <c r="A556">
        <v>1353201</v>
      </c>
      <c r="B556" t="e">
        <f>- big problem with rds and my desktop and g drive</f>
        <v>#NAME?</v>
      </c>
      <c r="C556" s="1" t="s">
        <v>5074</v>
      </c>
      <c r="D556" t="s">
        <v>24</v>
      </c>
      <c r="E556">
        <v>1</v>
      </c>
      <c r="F556">
        <v>2</v>
      </c>
      <c r="G556">
        <v>41</v>
      </c>
      <c r="H556" s="2">
        <v>44247.010636574072</v>
      </c>
    </row>
    <row r="557" spans="1:8" ht="14.25" customHeight="1" x14ac:dyDescent="0.3">
      <c r="A557">
        <v>1353189</v>
      </c>
      <c r="B557" t="s">
        <v>5075</v>
      </c>
      <c r="C557" s="1" t="s">
        <v>5076</v>
      </c>
      <c r="D557" t="s">
        <v>11</v>
      </c>
      <c r="E557">
        <v>1</v>
      </c>
      <c r="F557">
        <v>3</v>
      </c>
      <c r="G557">
        <v>41</v>
      </c>
      <c r="H557" s="2">
        <v>44247.011990740742</v>
      </c>
    </row>
    <row r="558" spans="1:8" ht="14.25" customHeight="1" x14ac:dyDescent="0.3">
      <c r="A558">
        <v>1353116</v>
      </c>
      <c r="B558" t="s">
        <v>5077</v>
      </c>
      <c r="C558" s="1" t="s">
        <v>5078</v>
      </c>
      <c r="D558" t="s">
        <v>11</v>
      </c>
      <c r="E558">
        <v>1</v>
      </c>
      <c r="F558">
        <v>2</v>
      </c>
      <c r="G558">
        <v>41</v>
      </c>
      <c r="H558" s="2">
        <v>44247.012384259258</v>
      </c>
    </row>
    <row r="559" spans="1:8" ht="14.25" customHeight="1" x14ac:dyDescent="0.3">
      <c r="A559">
        <v>1353303</v>
      </c>
      <c r="B559" t="e">
        <f>- carry steel update site visit templates</f>
        <v>#NAME?</v>
      </c>
      <c r="C559" s="1" t="s">
        <v>5079</v>
      </c>
      <c r="D559" t="s">
        <v>24</v>
      </c>
      <c r="E559">
        <v>1</v>
      </c>
      <c r="F559">
        <v>2</v>
      </c>
      <c r="G559">
        <v>43</v>
      </c>
      <c r="H559" s="2">
        <v>44247.013749999998</v>
      </c>
    </row>
    <row r="560" spans="1:8" ht="14.25" customHeight="1" x14ac:dyDescent="0.3">
      <c r="A560">
        <v>1352651</v>
      </c>
      <c r="B560" t="e">
        <f>- new email address casey smith</f>
        <v>#NAME?</v>
      </c>
      <c r="C560" s="1" t="s">
        <v>5080</v>
      </c>
      <c r="D560" t="s">
        <v>11</v>
      </c>
      <c r="E560">
        <v>1</v>
      </c>
      <c r="F560">
        <v>1</v>
      </c>
      <c r="G560">
        <v>43</v>
      </c>
      <c r="H560" s="2">
        <v>44247.015682870369</v>
      </c>
    </row>
    <row r="561" spans="1:8" ht="14.25" customHeight="1" x14ac:dyDescent="0.3">
      <c r="A561">
        <v>1353754</v>
      </c>
      <c r="B561" t="e">
        <f>- cannot generate new emails or add in extra receipents</f>
        <v>#NAME?</v>
      </c>
      <c r="C561" s="1" t="s">
        <v>5081</v>
      </c>
      <c r="D561" t="s">
        <v>24</v>
      </c>
      <c r="E561">
        <v>1</v>
      </c>
      <c r="F561">
        <v>3</v>
      </c>
      <c r="G561">
        <v>41</v>
      </c>
      <c r="H561" s="2">
        <v>44247.016134259262</v>
      </c>
    </row>
    <row r="562" spans="1:8" ht="14.25" customHeight="1" x14ac:dyDescent="0.3">
      <c r="A562">
        <v>1352620</v>
      </c>
      <c r="B562" t="s">
        <v>5082</v>
      </c>
      <c r="C562" s="1" t="s">
        <v>5083</v>
      </c>
      <c r="D562" t="s">
        <v>24</v>
      </c>
      <c r="E562">
        <v>1</v>
      </c>
      <c r="F562">
        <v>2</v>
      </c>
      <c r="G562">
        <v>41</v>
      </c>
      <c r="H562" s="2">
        <v>44247.017789351848</v>
      </c>
    </row>
    <row r="563" spans="1:8" ht="14.25" customHeight="1" x14ac:dyDescent="0.3">
      <c r="A563">
        <v>1352632</v>
      </c>
      <c r="B563" t="e">
        <f>- apps not working</f>
        <v>#NAME?</v>
      </c>
      <c r="C563" s="1" t="s">
        <v>5084</v>
      </c>
      <c r="D563" t="s">
        <v>11</v>
      </c>
      <c r="E563">
        <v>1</v>
      </c>
      <c r="F563">
        <v>3</v>
      </c>
      <c r="G563">
        <v>41</v>
      </c>
      <c r="H563" s="2">
        <v>44247.018437500003</v>
      </c>
    </row>
    <row r="564" spans="1:8" ht="14.25" customHeight="1" x14ac:dyDescent="0.3">
      <c r="A564">
        <v>1352702</v>
      </c>
      <c r="B564" t="e">
        <f>- continued crashing of system impeding work</f>
        <v>#NAME?</v>
      </c>
      <c r="C564" s="1" t="s">
        <v>5085</v>
      </c>
      <c r="D564" t="s">
        <v>11</v>
      </c>
      <c r="E564">
        <v>1</v>
      </c>
      <c r="F564">
        <v>3</v>
      </c>
      <c r="G564">
        <v>41</v>
      </c>
      <c r="H564" s="2">
        <v>44247.020509259259</v>
      </c>
    </row>
    <row r="565" spans="1:8" ht="14.25" customHeight="1" x14ac:dyDescent="0.3">
      <c r="A565">
        <v>1352594</v>
      </c>
      <c r="B565" t="s">
        <v>5086</v>
      </c>
      <c r="C565" s="1" t="s">
        <v>5087</v>
      </c>
      <c r="D565" t="s">
        <v>11</v>
      </c>
      <c r="E565">
        <v>1</v>
      </c>
      <c r="F565">
        <v>1</v>
      </c>
      <c r="G565">
        <v>43</v>
      </c>
      <c r="H565" s="2">
        <v>44247.020879629628</v>
      </c>
    </row>
    <row r="566" spans="1:8" ht="14.25" customHeight="1" x14ac:dyDescent="0.3">
      <c r="A566">
        <v>1352617</v>
      </c>
      <c r="B566" t="s">
        <v>5088</v>
      </c>
      <c r="C566" s="1" t="s">
        <v>5089</v>
      </c>
      <c r="D566" t="s">
        <v>11</v>
      </c>
      <c r="E566">
        <v>1</v>
      </c>
      <c r="F566">
        <v>1</v>
      </c>
      <c r="G566">
        <v>36</v>
      </c>
      <c r="H566" s="2">
        <v>44247.021157407406</v>
      </c>
    </row>
    <row r="567" spans="1:8" ht="14.25" customHeight="1" x14ac:dyDescent="0.3">
      <c r="A567">
        <v>1352653</v>
      </c>
      <c r="B567" t="s">
        <v>5090</v>
      </c>
      <c r="C567" s="1" t="s">
        <v>5091</v>
      </c>
      <c r="D567" t="s">
        <v>11</v>
      </c>
      <c r="E567">
        <v>1</v>
      </c>
      <c r="F567">
        <v>1</v>
      </c>
      <c r="G567">
        <v>43</v>
      </c>
      <c r="H567" s="2">
        <v>44247.021805555552</v>
      </c>
    </row>
    <row r="568" spans="1:8" ht="14.25" customHeight="1" x14ac:dyDescent="0.3">
      <c r="A568">
        <v>1352754</v>
      </c>
      <c r="B568" t="s">
        <v>5092</v>
      </c>
      <c r="C568" s="1" t="s">
        <v>5093</v>
      </c>
      <c r="D568" t="s">
        <v>11</v>
      </c>
      <c r="E568">
        <v>1</v>
      </c>
      <c r="F568">
        <v>3</v>
      </c>
      <c r="G568">
        <v>41</v>
      </c>
      <c r="H568" s="2">
        <v>44247.022523148145</v>
      </c>
    </row>
    <row r="569" spans="1:8" ht="14.25" customHeight="1" x14ac:dyDescent="0.3">
      <c r="A569">
        <v>1361483</v>
      </c>
      <c r="B569" t="e">
        <f>- cannot print reports</f>
        <v>#NAME?</v>
      </c>
      <c r="C569" s="1" t="s">
        <v>5094</v>
      </c>
      <c r="D569" t="s">
        <v>11</v>
      </c>
      <c r="E569">
        <v>2</v>
      </c>
      <c r="F569">
        <v>3</v>
      </c>
      <c r="G569">
        <v>41</v>
      </c>
      <c r="H569" s="2">
        <v>44249.739050925928</v>
      </c>
    </row>
    <row r="570" spans="1:8" ht="14.25" customHeight="1" x14ac:dyDescent="0.3">
      <c r="A570">
        <v>1362612</v>
      </c>
      <c r="B570" t="s">
        <v>5095</v>
      </c>
      <c r="C570" s="1" t="s">
        <v>5096</v>
      </c>
      <c r="D570" t="s">
        <v>11</v>
      </c>
      <c r="E570">
        <v>2</v>
      </c>
      <c r="F570">
        <v>2</v>
      </c>
      <c r="G570">
        <v>41</v>
      </c>
      <c r="H570" s="2">
        <v>44249.740983796299</v>
      </c>
    </row>
    <row r="571" spans="1:8" ht="14.25" customHeight="1" x14ac:dyDescent="0.3">
      <c r="A571">
        <v>1353552</v>
      </c>
      <c r="B571" t="s">
        <v>4683</v>
      </c>
      <c r="C571" t="s">
        <v>4684</v>
      </c>
      <c r="D571" t="s">
        <v>1158</v>
      </c>
      <c r="E571">
        <v>3</v>
      </c>
      <c r="F571">
        <v>3</v>
      </c>
      <c r="G571">
        <v>36</v>
      </c>
      <c r="H571" s="2">
        <v>44249.741967592592</v>
      </c>
    </row>
    <row r="572" spans="1:8" ht="14.25" customHeight="1" x14ac:dyDescent="0.3">
      <c r="A572">
        <v>1353553</v>
      </c>
      <c r="B572" t="s">
        <v>4683</v>
      </c>
      <c r="C572" t="s">
        <v>4684</v>
      </c>
      <c r="D572" t="s">
        <v>1158</v>
      </c>
      <c r="E572">
        <v>3</v>
      </c>
      <c r="F572">
        <v>1</v>
      </c>
      <c r="G572">
        <v>36</v>
      </c>
      <c r="H572" s="2">
        <v>44249.742083333331</v>
      </c>
    </row>
    <row r="573" spans="1:8" ht="14.25" customHeight="1" x14ac:dyDescent="0.3">
      <c r="A573">
        <v>1353744</v>
      </c>
      <c r="B573" t="s">
        <v>5097</v>
      </c>
      <c r="C573" s="1" t="s">
        <v>5098</v>
      </c>
      <c r="D573" t="s">
        <v>24</v>
      </c>
      <c r="E573">
        <v>1</v>
      </c>
      <c r="F573">
        <v>1</v>
      </c>
      <c r="G573">
        <v>36</v>
      </c>
      <c r="H573" s="2">
        <v>44249.74318287037</v>
      </c>
    </row>
    <row r="574" spans="1:8" ht="14.25" customHeight="1" x14ac:dyDescent="0.3">
      <c r="A574">
        <v>1361834</v>
      </c>
      <c r="B574" t="e">
        <f>- debit machine internet connection</f>
        <v>#NAME?</v>
      </c>
      <c r="C574" s="1" t="s">
        <v>5099</v>
      </c>
      <c r="D574" t="s">
        <v>24</v>
      </c>
      <c r="E574">
        <v>2</v>
      </c>
      <c r="F574">
        <v>3</v>
      </c>
      <c r="G574">
        <v>41</v>
      </c>
      <c r="H574" s="2">
        <v>44249.746342592596</v>
      </c>
    </row>
    <row r="575" spans="1:8" ht="14.25" customHeight="1" x14ac:dyDescent="0.3">
      <c r="A575">
        <v>1361778</v>
      </c>
      <c r="B575" t="s">
        <v>5100</v>
      </c>
      <c r="C575" s="1" t="s">
        <v>5101</v>
      </c>
      <c r="D575" t="s">
        <v>11</v>
      </c>
      <c r="E575">
        <v>3</v>
      </c>
      <c r="F575">
        <v>3</v>
      </c>
      <c r="G575">
        <v>41</v>
      </c>
      <c r="H575" s="2">
        <v>44249.747499999998</v>
      </c>
    </row>
    <row r="576" spans="1:8" ht="14.25" customHeight="1" x14ac:dyDescent="0.3">
      <c r="A576">
        <v>1361454</v>
      </c>
      <c r="B576" t="s">
        <v>5102</v>
      </c>
      <c r="C576" s="1" t="s">
        <v>5103</v>
      </c>
      <c r="D576" t="s">
        <v>24</v>
      </c>
      <c r="E576">
        <v>2</v>
      </c>
      <c r="F576">
        <v>2</v>
      </c>
      <c r="G576">
        <v>41</v>
      </c>
      <c r="H576" s="2">
        <v>44249.747696759259</v>
      </c>
    </row>
    <row r="577" spans="1:8" ht="14.25" customHeight="1" x14ac:dyDescent="0.3">
      <c r="A577">
        <v>1361859</v>
      </c>
      <c r="B577" t="e">
        <f>- microsoft word crashing on rds</f>
        <v>#NAME?</v>
      </c>
      <c r="C577" s="1" t="s">
        <v>5104</v>
      </c>
      <c r="D577" t="s">
        <v>24</v>
      </c>
      <c r="E577">
        <v>2</v>
      </c>
      <c r="F577">
        <v>2</v>
      </c>
      <c r="G577">
        <v>41</v>
      </c>
      <c r="H577" s="2">
        <v>44249.748310185183</v>
      </c>
    </row>
    <row r="578" spans="1:8" ht="14.25" customHeight="1" x14ac:dyDescent="0.3">
      <c r="A578">
        <v>1361436</v>
      </c>
      <c r="B578" t="s">
        <v>5105</v>
      </c>
      <c r="C578" s="1" t="s">
        <v>5106</v>
      </c>
      <c r="D578" t="s">
        <v>24</v>
      </c>
      <c r="E578">
        <v>2</v>
      </c>
      <c r="F578">
        <v>2</v>
      </c>
      <c r="G578">
        <v>41</v>
      </c>
      <c r="H578" s="2">
        <v>44249.748796296299</v>
      </c>
    </row>
    <row r="579" spans="1:8" ht="14.25" customHeight="1" x14ac:dyDescent="0.3">
      <c r="A579">
        <v>1361393</v>
      </c>
      <c r="B579" t="e">
        <f>- unable to open documents in wellness network folder in n drive</f>
        <v>#NAME?</v>
      </c>
      <c r="C579" s="1" t="s">
        <v>5107</v>
      </c>
      <c r="D579" t="s">
        <v>24</v>
      </c>
      <c r="E579">
        <v>2</v>
      </c>
      <c r="F579">
        <v>2</v>
      </c>
      <c r="G579">
        <v>41</v>
      </c>
      <c r="H579" s="2">
        <v>44249.751423611109</v>
      </c>
    </row>
    <row r="580" spans="1:8" ht="14.25" customHeight="1" x14ac:dyDescent="0.3">
      <c r="A580">
        <v>1361326</v>
      </c>
      <c r="B580" t="s">
        <v>5108</v>
      </c>
      <c r="C580" s="1" t="s">
        <v>5109</v>
      </c>
      <c r="D580" t="s">
        <v>24</v>
      </c>
      <c r="E580">
        <v>2</v>
      </c>
      <c r="F580">
        <v>3</v>
      </c>
      <c r="G580">
        <v>41</v>
      </c>
      <c r="H580" s="2">
        <v>44249.752268518518</v>
      </c>
    </row>
    <row r="581" spans="1:8" ht="14.25" customHeight="1" x14ac:dyDescent="0.3">
      <c r="A581">
        <v>1365640</v>
      </c>
      <c r="B581" t="s">
        <v>5110</v>
      </c>
      <c r="C581" s="1" t="s">
        <v>5111</v>
      </c>
      <c r="D581" t="s">
        <v>11</v>
      </c>
      <c r="E581">
        <v>2</v>
      </c>
      <c r="F581">
        <v>1</v>
      </c>
      <c r="G581">
        <v>41</v>
      </c>
      <c r="H581" s="2">
        <v>44249.752534722225</v>
      </c>
    </row>
    <row r="582" spans="1:8" ht="14.25" customHeight="1" x14ac:dyDescent="0.3">
      <c r="A582">
        <v>1361878</v>
      </c>
      <c r="B582" t="s">
        <v>5112</v>
      </c>
      <c r="C582" s="1" t="s">
        <v>5113</v>
      </c>
      <c r="D582" t="s">
        <v>11</v>
      </c>
      <c r="E582">
        <v>2</v>
      </c>
      <c r="F582">
        <v>2</v>
      </c>
      <c r="G582">
        <v>41</v>
      </c>
      <c r="H582" s="2">
        <v>44249.753425925926</v>
      </c>
    </row>
    <row r="583" spans="1:8" ht="14.25" customHeight="1" x14ac:dyDescent="0.3">
      <c r="A583">
        <v>1361402</v>
      </c>
      <c r="B583" t="s">
        <v>5114</v>
      </c>
      <c r="C583" s="1" t="s">
        <v>5115</v>
      </c>
      <c r="D583" t="s">
        <v>11</v>
      </c>
      <c r="E583">
        <v>3</v>
      </c>
      <c r="F583">
        <v>3</v>
      </c>
      <c r="G583">
        <v>43</v>
      </c>
      <c r="H583" s="2">
        <v>44249.75372685185</v>
      </c>
    </row>
    <row r="584" spans="1:8" ht="14.25" customHeight="1" x14ac:dyDescent="0.3">
      <c r="A584">
        <v>1350192</v>
      </c>
      <c r="B584" t="s">
        <v>5116</v>
      </c>
      <c r="C584" s="1" t="s">
        <v>5117</v>
      </c>
      <c r="D584" t="s">
        <v>24</v>
      </c>
      <c r="E584">
        <v>2</v>
      </c>
      <c r="F584">
        <v>2</v>
      </c>
      <c r="G584">
        <v>43</v>
      </c>
      <c r="H584" s="2">
        <v>44249.755497685182</v>
      </c>
    </row>
    <row r="585" spans="1:8" ht="14.25" customHeight="1" x14ac:dyDescent="0.3">
      <c r="A585">
        <v>1352683</v>
      </c>
      <c r="B585" t="e">
        <f>- cannot access fims</f>
        <v>#NAME?</v>
      </c>
      <c r="C585" s="1" t="s">
        <v>5118</v>
      </c>
      <c r="D585" t="s">
        <v>24</v>
      </c>
      <c r="E585">
        <v>1</v>
      </c>
      <c r="F585">
        <v>2</v>
      </c>
      <c r="G585">
        <v>41</v>
      </c>
      <c r="H585" s="2">
        <v>44249.755752314813</v>
      </c>
    </row>
    <row r="586" spans="1:8" ht="14.25" customHeight="1" x14ac:dyDescent="0.3">
      <c r="A586">
        <v>1353164</v>
      </c>
      <c r="B586" t="e">
        <f>- blue circle ins. exchange drive expansion</f>
        <v>#NAME?</v>
      </c>
      <c r="C586" s="1" t="s">
        <v>5119</v>
      </c>
      <c r="D586" t="s">
        <v>24</v>
      </c>
      <c r="E586">
        <v>3</v>
      </c>
      <c r="F586">
        <v>2</v>
      </c>
      <c r="G586">
        <v>43</v>
      </c>
      <c r="H586" s="2">
        <v>44249.757951388892</v>
      </c>
    </row>
    <row r="587" spans="1:8" ht="14.25" customHeight="1" x14ac:dyDescent="0.3">
      <c r="A587">
        <v>1353191</v>
      </c>
      <c r="B587" t="e">
        <f>- nutec pvr</f>
        <v>#NAME?</v>
      </c>
      <c r="C587" s="1" t="s">
        <v>5120</v>
      </c>
      <c r="D587" t="s">
        <v>24</v>
      </c>
      <c r="E587">
        <v>2</v>
      </c>
      <c r="F587">
        <v>2</v>
      </c>
      <c r="G587">
        <v>41</v>
      </c>
      <c r="H587" s="2">
        <v>44249.758113425924</v>
      </c>
    </row>
    <row r="588" spans="1:8" ht="14.25" customHeight="1" x14ac:dyDescent="0.3">
      <c r="A588">
        <v>1350128</v>
      </c>
      <c r="B588" t="e">
        <f>- unifi access for team leads</f>
        <v>#NAME?</v>
      </c>
      <c r="C588" s="1" t="s">
        <v>5121</v>
      </c>
      <c r="D588" t="s">
        <v>24</v>
      </c>
      <c r="E588">
        <v>2</v>
      </c>
      <c r="F588">
        <v>2</v>
      </c>
      <c r="G588">
        <v>43</v>
      </c>
      <c r="H588" s="2">
        <v>44249.759155092594</v>
      </c>
    </row>
    <row r="589" spans="1:8" ht="14.25" customHeight="1" x14ac:dyDescent="0.3">
      <c r="A589">
        <v>1362570</v>
      </c>
      <c r="B589" t="e">
        <f>- printer offline</f>
        <v>#NAME?</v>
      </c>
      <c r="C589" s="1" t="s">
        <v>5122</v>
      </c>
      <c r="D589" t="s">
        <v>24</v>
      </c>
      <c r="E589">
        <v>1</v>
      </c>
      <c r="F589">
        <v>2</v>
      </c>
      <c r="G589">
        <v>41</v>
      </c>
      <c r="H589" s="2">
        <v>44249.760613425926</v>
      </c>
    </row>
    <row r="590" spans="1:8" ht="14.25" customHeight="1" x14ac:dyDescent="0.3">
      <c r="A590">
        <v>1349094</v>
      </c>
      <c r="B590" t="s">
        <v>5123</v>
      </c>
      <c r="C590" s="1" t="s">
        <v>5124</v>
      </c>
      <c r="D590" t="s">
        <v>11</v>
      </c>
      <c r="E590">
        <v>2</v>
      </c>
      <c r="F590">
        <v>3</v>
      </c>
      <c r="G590">
        <v>41</v>
      </c>
      <c r="H590" s="2">
        <v>44249.760798611111</v>
      </c>
    </row>
    <row r="591" spans="1:8" ht="14.25" customHeight="1" x14ac:dyDescent="0.3">
      <c r="A591">
        <v>1361388</v>
      </c>
      <c r="B591" t="e">
        <f>- quickbooks</f>
        <v>#NAME?</v>
      </c>
      <c r="C591" s="1" t="s">
        <v>5125</v>
      </c>
      <c r="D591" t="s">
        <v>11</v>
      </c>
      <c r="E591">
        <v>2</v>
      </c>
      <c r="F591">
        <v>3</v>
      </c>
      <c r="G591">
        <v>41</v>
      </c>
      <c r="H591" s="2">
        <v>44249.76295138889</v>
      </c>
    </row>
    <row r="592" spans="1:8" ht="14.25" customHeight="1" x14ac:dyDescent="0.3">
      <c r="A592">
        <v>1348962</v>
      </c>
      <c r="B592" t="e">
        <f>- adp - error message and cannot login</f>
        <v>#NAME?</v>
      </c>
      <c r="C592" s="1" t="s">
        <v>5126</v>
      </c>
      <c r="D592" t="s">
        <v>24</v>
      </c>
      <c r="E592">
        <v>2</v>
      </c>
      <c r="F592">
        <v>3</v>
      </c>
      <c r="G592">
        <v>41</v>
      </c>
      <c r="H592" s="2">
        <v>44249.763680555552</v>
      </c>
    </row>
    <row r="593" spans="1:8" ht="14.25" customHeight="1" x14ac:dyDescent="0.3">
      <c r="A593">
        <v>1352914</v>
      </c>
      <c r="B593" t="s">
        <v>4683</v>
      </c>
      <c r="C593" t="s">
        <v>4684</v>
      </c>
      <c r="D593" t="s">
        <v>1158</v>
      </c>
      <c r="E593">
        <v>1</v>
      </c>
      <c r="F593">
        <v>1</v>
      </c>
      <c r="G593">
        <v>36</v>
      </c>
      <c r="H593" s="2">
        <v>44249.765370370369</v>
      </c>
    </row>
    <row r="594" spans="1:8" ht="14.25" customHeight="1" x14ac:dyDescent="0.3">
      <c r="A594">
        <v>1349179</v>
      </c>
      <c r="B594" t="s">
        <v>5127</v>
      </c>
      <c r="C594" s="1" t="s">
        <v>5128</v>
      </c>
      <c r="D594" t="s">
        <v>11</v>
      </c>
      <c r="E594">
        <v>2</v>
      </c>
      <c r="F594">
        <v>3</v>
      </c>
      <c r="G594">
        <v>41</v>
      </c>
      <c r="H594" s="2">
        <v>44249.768159722225</v>
      </c>
    </row>
    <row r="595" spans="1:8" ht="14.25" customHeight="1" x14ac:dyDescent="0.3">
      <c r="A595">
        <v>1364535</v>
      </c>
      <c r="B595" t="s">
        <v>5129</v>
      </c>
      <c r="C595" s="1" t="s">
        <v>5130</v>
      </c>
      <c r="D595" t="s">
        <v>24</v>
      </c>
      <c r="E595">
        <v>3</v>
      </c>
      <c r="F595">
        <v>3</v>
      </c>
      <c r="G595">
        <v>41</v>
      </c>
      <c r="H595" s="2">
        <v>44249.769201388888</v>
      </c>
    </row>
    <row r="596" spans="1:8" ht="14.25" customHeight="1" x14ac:dyDescent="0.3">
      <c r="A596">
        <v>1349590</v>
      </c>
      <c r="B596" t="s">
        <v>5131</v>
      </c>
      <c r="C596" s="1" t="s">
        <v>5132</v>
      </c>
      <c r="D596" t="s">
        <v>11</v>
      </c>
      <c r="E596">
        <v>2</v>
      </c>
      <c r="F596">
        <v>3</v>
      </c>
      <c r="G596">
        <v>41</v>
      </c>
      <c r="H596" s="2">
        <v>44249.769247685188</v>
      </c>
    </row>
    <row r="597" spans="1:8" ht="14.25" customHeight="1" x14ac:dyDescent="0.3">
      <c r="A597">
        <v>1348953</v>
      </c>
      <c r="B597" t="s">
        <v>5133</v>
      </c>
      <c r="C597" s="1" t="s">
        <v>5134</v>
      </c>
      <c r="D597" t="s">
        <v>11</v>
      </c>
      <c r="E597">
        <v>2</v>
      </c>
      <c r="F597">
        <v>2</v>
      </c>
      <c r="G597">
        <v>41</v>
      </c>
      <c r="H597" s="2">
        <v>44249.770150462966</v>
      </c>
    </row>
    <row r="598" spans="1:8" ht="14.25" customHeight="1" x14ac:dyDescent="0.3">
      <c r="A598">
        <v>1347637</v>
      </c>
      <c r="B598" t="e">
        <f>- projectwise client port access</f>
        <v>#NAME?</v>
      </c>
      <c r="C598" s="1" t="s">
        <v>5135</v>
      </c>
      <c r="D598" t="s">
        <v>24</v>
      </c>
      <c r="E598">
        <v>2</v>
      </c>
      <c r="F598">
        <v>2</v>
      </c>
      <c r="G598">
        <v>43</v>
      </c>
      <c r="H598" s="2">
        <v>44249.770497685182</v>
      </c>
    </row>
    <row r="599" spans="1:8" ht="14.25" customHeight="1" x14ac:dyDescent="0.3">
      <c r="A599">
        <v>1347602</v>
      </c>
      <c r="B599" t="s">
        <v>5136</v>
      </c>
      <c r="C599" s="1" t="s">
        <v>5137</v>
      </c>
      <c r="D599" t="s">
        <v>24</v>
      </c>
      <c r="E599">
        <v>2</v>
      </c>
      <c r="F599">
        <v>1</v>
      </c>
      <c r="G599">
        <v>41</v>
      </c>
      <c r="H599" s="2">
        <v>44249.770775462966</v>
      </c>
    </row>
    <row r="600" spans="1:8" ht="14.25" customHeight="1" x14ac:dyDescent="0.3">
      <c r="A600">
        <v>1347106</v>
      </c>
      <c r="B600" t="s">
        <v>5138</v>
      </c>
      <c r="C600" s="1" t="s">
        <v>5139</v>
      </c>
      <c r="D600" t="s">
        <v>11</v>
      </c>
      <c r="E600">
        <v>3</v>
      </c>
      <c r="F600">
        <v>3</v>
      </c>
      <c r="G600">
        <v>41</v>
      </c>
      <c r="H600" s="2">
        <v>44249.772268518522</v>
      </c>
    </row>
    <row r="601" spans="1:8" ht="14.25" customHeight="1" x14ac:dyDescent="0.3">
      <c r="A601">
        <v>1350190</v>
      </c>
      <c r="B601" t="s">
        <v>5140</v>
      </c>
      <c r="C601" s="1" t="s">
        <v>5141</v>
      </c>
      <c r="D601" t="s">
        <v>11</v>
      </c>
      <c r="E601">
        <v>2</v>
      </c>
      <c r="F601">
        <v>1</v>
      </c>
      <c r="G601">
        <v>43</v>
      </c>
      <c r="H601" s="2">
        <v>44249.772638888891</v>
      </c>
    </row>
    <row r="602" spans="1:8" ht="14.25" customHeight="1" x14ac:dyDescent="0.3">
      <c r="A602">
        <v>1350274</v>
      </c>
      <c r="B602" t="s">
        <v>5142</v>
      </c>
      <c r="C602" s="1" t="s">
        <v>5143</v>
      </c>
      <c r="D602" t="s">
        <v>24</v>
      </c>
      <c r="E602">
        <v>3</v>
      </c>
      <c r="F602">
        <v>3</v>
      </c>
      <c r="G602">
        <v>41</v>
      </c>
      <c r="H602" s="2">
        <v>44249.773530092592</v>
      </c>
    </row>
    <row r="603" spans="1:8" ht="14.25" customHeight="1" x14ac:dyDescent="0.3">
      <c r="A603">
        <v>1362576</v>
      </c>
      <c r="B603" t="e">
        <f>- re:  urgent - escalation [1]!nursing station printer issues</f>
        <v>#NAME?</v>
      </c>
      <c r="C603" s="1" t="s">
        <v>5144</v>
      </c>
      <c r="D603" t="s">
        <v>11</v>
      </c>
      <c r="E603">
        <v>2</v>
      </c>
      <c r="F603">
        <v>3</v>
      </c>
      <c r="G603">
        <v>41</v>
      </c>
      <c r="H603" s="2">
        <v>44249.773865740739</v>
      </c>
    </row>
    <row r="604" spans="1:8" ht="14.25" customHeight="1" x14ac:dyDescent="0.3">
      <c r="A604">
        <v>1347102</v>
      </c>
      <c r="B604" t="e">
        <f>- hewes itero  element2 - wifi no internet access</f>
        <v>#NAME?</v>
      </c>
      <c r="C604" s="1" t="s">
        <v>5145</v>
      </c>
      <c r="D604" t="s">
        <v>24</v>
      </c>
      <c r="E604">
        <v>2</v>
      </c>
      <c r="F604">
        <v>2</v>
      </c>
      <c r="G604">
        <v>41</v>
      </c>
      <c r="H604" s="2">
        <v>44249.775648148148</v>
      </c>
    </row>
    <row r="605" spans="1:8" ht="14.25" customHeight="1" x14ac:dyDescent="0.3">
      <c r="A605">
        <v>1349679</v>
      </c>
      <c r="B605" t="s">
        <v>4973</v>
      </c>
      <c r="C605" s="1" t="s">
        <v>5146</v>
      </c>
      <c r="D605" t="s">
        <v>11</v>
      </c>
      <c r="E605">
        <v>2</v>
      </c>
      <c r="F605">
        <v>2</v>
      </c>
      <c r="G605">
        <v>41</v>
      </c>
      <c r="H605" s="2">
        <v>44249.776597222219</v>
      </c>
    </row>
    <row r="606" spans="1:8" ht="14.25" customHeight="1" x14ac:dyDescent="0.3">
      <c r="A606">
        <v>1350322</v>
      </c>
      <c r="B606" t="s">
        <v>5147</v>
      </c>
      <c r="C606" s="1" t="s">
        <v>5148</v>
      </c>
      <c r="D606" t="s">
        <v>11</v>
      </c>
      <c r="E606">
        <v>2</v>
      </c>
      <c r="F606">
        <v>2</v>
      </c>
      <c r="G606">
        <v>41</v>
      </c>
      <c r="H606" s="2">
        <v>44249.777974537035</v>
      </c>
    </row>
    <row r="607" spans="1:8" ht="14.25" customHeight="1" x14ac:dyDescent="0.3">
      <c r="A607">
        <v>1347549</v>
      </c>
      <c r="B607" t="s">
        <v>5149</v>
      </c>
      <c r="C607" s="1" t="s">
        <v>5150</v>
      </c>
      <c r="D607" t="s">
        <v>24</v>
      </c>
      <c r="E607">
        <v>2</v>
      </c>
      <c r="F607">
        <v>3</v>
      </c>
      <c r="G607">
        <v>41</v>
      </c>
      <c r="H607" s="2">
        <v>44249.778298611112</v>
      </c>
    </row>
    <row r="608" spans="1:8" ht="14.25" customHeight="1" x14ac:dyDescent="0.3">
      <c r="A608">
        <v>1345743</v>
      </c>
      <c r="B608" t="s">
        <v>5151</v>
      </c>
      <c r="C608" s="1" t="s">
        <v>5152</v>
      </c>
      <c r="D608" t="s">
        <v>11</v>
      </c>
      <c r="E608">
        <v>2</v>
      </c>
      <c r="F608">
        <v>2</v>
      </c>
      <c r="G608">
        <v>41</v>
      </c>
      <c r="H608" s="2">
        <v>44249.783090277779</v>
      </c>
    </row>
    <row r="609" spans="1:8" ht="14.25" customHeight="1" x14ac:dyDescent="0.3">
      <c r="A609">
        <v>1347497</v>
      </c>
      <c r="B609" t="s">
        <v>5153</v>
      </c>
      <c r="C609" s="1" t="s">
        <v>5154</v>
      </c>
      <c r="D609" t="s">
        <v>11</v>
      </c>
      <c r="E609">
        <v>3</v>
      </c>
      <c r="F609">
        <v>2</v>
      </c>
      <c r="G609">
        <v>41</v>
      </c>
      <c r="H609" s="2">
        <v>44249.783368055556</v>
      </c>
    </row>
    <row r="610" spans="1:8" ht="14.25" customHeight="1" x14ac:dyDescent="0.3">
      <c r="A610">
        <v>1361400</v>
      </c>
      <c r="B610" t="s">
        <v>5155</v>
      </c>
      <c r="C610" s="1" t="s">
        <v>5156</v>
      </c>
      <c r="D610" t="s">
        <v>24</v>
      </c>
      <c r="E610">
        <v>2</v>
      </c>
      <c r="F610">
        <v>2</v>
      </c>
      <c r="G610">
        <v>43</v>
      </c>
      <c r="H610" s="2">
        <v>44249.783888888887</v>
      </c>
    </row>
    <row r="611" spans="1:8" ht="14.25" customHeight="1" x14ac:dyDescent="0.3">
      <c r="A611">
        <v>1346482</v>
      </c>
      <c r="B611" t="s">
        <v>5157</v>
      </c>
      <c r="C611" s="1" t="s">
        <v>5158</v>
      </c>
      <c r="D611" t="s">
        <v>11</v>
      </c>
      <c r="E611">
        <v>3</v>
      </c>
      <c r="F611">
        <v>2</v>
      </c>
      <c r="G611">
        <v>43</v>
      </c>
      <c r="H611" s="2">
        <v>44249.784270833334</v>
      </c>
    </row>
    <row r="612" spans="1:8" ht="14.25" customHeight="1" x14ac:dyDescent="0.3">
      <c r="A612">
        <v>1346972</v>
      </c>
      <c r="B612" t="e">
        <f>- e-mail signatures missing</f>
        <v>#NAME?</v>
      </c>
      <c r="C612" s="1" t="s">
        <v>5159</v>
      </c>
      <c r="D612" t="s">
        <v>11</v>
      </c>
      <c r="E612">
        <v>1</v>
      </c>
      <c r="F612">
        <v>1</v>
      </c>
      <c r="G612">
        <v>41</v>
      </c>
      <c r="H612" s="2">
        <v>44249.786261574074</v>
      </c>
    </row>
    <row r="613" spans="1:8" ht="14.25" customHeight="1" x14ac:dyDescent="0.3">
      <c r="A613">
        <v>1345875</v>
      </c>
      <c r="B613" t="s">
        <v>5160</v>
      </c>
      <c r="C613" s="1" t="s">
        <v>5161</v>
      </c>
      <c r="D613" t="s">
        <v>11</v>
      </c>
      <c r="E613">
        <v>2</v>
      </c>
      <c r="F613">
        <v>2</v>
      </c>
      <c r="G613">
        <v>43</v>
      </c>
      <c r="H613" s="2">
        <v>44249.786944444444</v>
      </c>
    </row>
    <row r="614" spans="1:8" ht="14.25" customHeight="1" x14ac:dyDescent="0.3">
      <c r="A614">
        <v>1346061</v>
      </c>
      <c r="B614" t="e">
        <f>- cannot open powerbroker</f>
        <v>#NAME?</v>
      </c>
      <c r="C614" s="1" t="s">
        <v>5162</v>
      </c>
      <c r="D614" t="s">
        <v>24</v>
      </c>
      <c r="E614">
        <v>1</v>
      </c>
      <c r="F614">
        <v>2</v>
      </c>
      <c r="G614">
        <v>41</v>
      </c>
      <c r="H614" s="2">
        <v>44249.788043981483</v>
      </c>
    </row>
    <row r="615" spans="1:8" ht="14.25" customHeight="1" x14ac:dyDescent="0.3">
      <c r="A615">
        <v>1346679</v>
      </c>
      <c r="B615" t="e">
        <f>- nc-ipt-FS1 - expand e: drive</f>
        <v>#NAME?</v>
      </c>
      <c r="C615" s="1" t="s">
        <v>5163</v>
      </c>
      <c r="D615" t="s">
        <v>24</v>
      </c>
      <c r="E615">
        <v>3</v>
      </c>
      <c r="F615">
        <v>2</v>
      </c>
      <c r="G615">
        <v>43</v>
      </c>
      <c r="H615" s="2">
        <v>44249.789872685185</v>
      </c>
    </row>
    <row r="616" spans="1:8" ht="14.25" customHeight="1" x14ac:dyDescent="0.3">
      <c r="A616">
        <v>1352597</v>
      </c>
      <c r="B616" t="s">
        <v>5164</v>
      </c>
      <c r="C616" s="1" t="s">
        <v>5165</v>
      </c>
      <c r="D616" t="s">
        <v>11</v>
      </c>
      <c r="E616">
        <v>1</v>
      </c>
      <c r="F616">
        <v>2</v>
      </c>
      <c r="G616">
        <v>41</v>
      </c>
      <c r="H616" s="2">
        <v>44249.790162037039</v>
      </c>
    </row>
    <row r="617" spans="1:8" ht="14.25" customHeight="1" x14ac:dyDescent="0.3">
      <c r="A617">
        <v>1352500</v>
      </c>
      <c r="B617" t="s">
        <v>5166</v>
      </c>
      <c r="C617" s="1" t="s">
        <v>5167</v>
      </c>
      <c r="D617" t="s">
        <v>11</v>
      </c>
      <c r="E617">
        <v>2</v>
      </c>
      <c r="F617">
        <v>1</v>
      </c>
      <c r="G617">
        <v>41</v>
      </c>
      <c r="H617" s="2">
        <v>44249.790370370371</v>
      </c>
    </row>
    <row r="618" spans="1:8" ht="14.25" customHeight="1" x14ac:dyDescent="0.3">
      <c r="A618">
        <v>1346377</v>
      </c>
      <c r="B618" t="e">
        <f>- teams addition</f>
        <v>#NAME?</v>
      </c>
      <c r="C618" s="1" t="s">
        <v>5168</v>
      </c>
      <c r="D618" t="s">
        <v>24</v>
      </c>
      <c r="E618">
        <v>1</v>
      </c>
      <c r="F618">
        <v>2</v>
      </c>
      <c r="G618">
        <v>41</v>
      </c>
      <c r="H618" s="2">
        <v>44249.791689814818</v>
      </c>
    </row>
    <row r="619" spans="1:8" ht="14.25" customHeight="1" x14ac:dyDescent="0.3">
      <c r="A619">
        <v>1366078</v>
      </c>
      <c r="B619" t="s">
        <v>5169</v>
      </c>
      <c r="C619" s="1" t="s">
        <v>5170</v>
      </c>
      <c r="D619" t="s">
        <v>11</v>
      </c>
      <c r="E619">
        <v>2</v>
      </c>
      <c r="F619">
        <v>2</v>
      </c>
      <c r="G619">
        <v>43</v>
      </c>
      <c r="H619" s="2">
        <v>44249.792164351849</v>
      </c>
    </row>
    <row r="620" spans="1:8" ht="14.25" customHeight="1" x14ac:dyDescent="0.3">
      <c r="A620">
        <v>1347682</v>
      </c>
      <c r="B620" t="e">
        <f>- install adp</f>
        <v>#NAME?</v>
      </c>
      <c r="C620" t="s">
        <v>5171</v>
      </c>
      <c r="D620" t="s">
        <v>24</v>
      </c>
      <c r="E620">
        <v>1</v>
      </c>
      <c r="F620">
        <v>3</v>
      </c>
      <c r="G620">
        <v>43</v>
      </c>
      <c r="H620" s="2">
        <v>44249.792986111112</v>
      </c>
    </row>
    <row r="621" spans="1:8" ht="14.25" customHeight="1" x14ac:dyDescent="0.3">
      <c r="A621">
        <v>1346925</v>
      </c>
      <c r="B621" t="s">
        <v>5151</v>
      </c>
      <c r="C621" s="1" t="s">
        <v>5172</v>
      </c>
      <c r="D621" t="s">
        <v>11</v>
      </c>
      <c r="E621">
        <v>2</v>
      </c>
      <c r="F621">
        <v>2</v>
      </c>
      <c r="G621">
        <v>41</v>
      </c>
      <c r="H621" s="2">
        <v>44249.793668981481</v>
      </c>
    </row>
    <row r="622" spans="1:8" ht="14.25" customHeight="1" x14ac:dyDescent="0.3">
      <c r="A622">
        <v>1348812</v>
      </c>
      <c r="B622" t="s">
        <v>5173</v>
      </c>
      <c r="C622" t="s">
        <v>5174</v>
      </c>
      <c r="D622" t="s">
        <v>188</v>
      </c>
      <c r="E622">
        <v>2</v>
      </c>
      <c r="F622">
        <v>2</v>
      </c>
      <c r="G622">
        <v>43</v>
      </c>
      <c r="H622" s="2">
        <v>44249.793969907405</v>
      </c>
    </row>
    <row r="623" spans="1:8" ht="14.25" customHeight="1" x14ac:dyDescent="0.3">
      <c r="A623">
        <v>1345049</v>
      </c>
      <c r="B623" t="s">
        <v>5173</v>
      </c>
      <c r="C623" t="s">
        <v>5174</v>
      </c>
      <c r="D623" t="s">
        <v>188</v>
      </c>
      <c r="E623">
        <v>2</v>
      </c>
      <c r="F623">
        <v>2</v>
      </c>
      <c r="G623">
        <v>43</v>
      </c>
      <c r="H623" s="2">
        <v>44249.794351851851</v>
      </c>
    </row>
    <row r="624" spans="1:8" ht="14.25" customHeight="1" x14ac:dyDescent="0.3">
      <c r="A624">
        <v>1345774</v>
      </c>
      <c r="B624" t="s">
        <v>5175</v>
      </c>
      <c r="C624" s="1" t="s">
        <v>5176</v>
      </c>
      <c r="D624" t="s">
        <v>11</v>
      </c>
      <c r="E624">
        <v>1</v>
      </c>
      <c r="F624">
        <v>2</v>
      </c>
      <c r="G624">
        <v>41</v>
      </c>
      <c r="H624" s="2">
        <v>44249.794699074075</v>
      </c>
    </row>
    <row r="625" spans="1:8" ht="14.25" customHeight="1" x14ac:dyDescent="0.3">
      <c r="A625">
        <v>1364978</v>
      </c>
      <c r="B625" t="e">
        <f>- compromised account</f>
        <v>#NAME?</v>
      </c>
      <c r="C625" s="1" t="s">
        <v>5177</v>
      </c>
      <c r="D625" t="s">
        <v>11</v>
      </c>
      <c r="E625">
        <v>1</v>
      </c>
      <c r="F625">
        <v>3</v>
      </c>
      <c r="G625">
        <v>41</v>
      </c>
      <c r="H625" s="2">
        <v>44249.795659722222</v>
      </c>
    </row>
    <row r="626" spans="1:8" ht="14.25" customHeight="1" x14ac:dyDescent="0.3">
      <c r="A626">
        <v>1344772</v>
      </c>
      <c r="B626" t="s">
        <v>5178</v>
      </c>
      <c r="C626" s="1" t="s">
        <v>5179</v>
      </c>
      <c r="D626" t="s">
        <v>11</v>
      </c>
      <c r="E626">
        <v>2</v>
      </c>
      <c r="F626">
        <v>2</v>
      </c>
      <c r="G626">
        <v>41</v>
      </c>
      <c r="H626" s="2">
        <v>44249.796909722223</v>
      </c>
    </row>
    <row r="627" spans="1:8" ht="14.25" customHeight="1" x14ac:dyDescent="0.3">
      <c r="A627">
        <v>1345772</v>
      </c>
      <c r="B627" t="e">
        <f>- heavy job shifts employee to different timecard</f>
        <v>#NAME?</v>
      </c>
      <c r="C627" s="1" t="s">
        <v>5180</v>
      </c>
      <c r="D627" t="s">
        <v>24</v>
      </c>
      <c r="E627">
        <v>2</v>
      </c>
      <c r="F627">
        <v>2</v>
      </c>
      <c r="G627">
        <v>41</v>
      </c>
      <c r="H627" s="2">
        <v>44249.797233796293</v>
      </c>
    </row>
    <row r="628" spans="1:8" ht="14.25" customHeight="1" x14ac:dyDescent="0.3">
      <c r="A628">
        <v>1345963</v>
      </c>
      <c r="B628" t="e">
        <f>- email account creation and edits</f>
        <v>#NAME?</v>
      </c>
      <c r="C628" s="1" t="s">
        <v>5181</v>
      </c>
      <c r="D628" t="s">
        <v>24</v>
      </c>
      <c r="E628">
        <v>2</v>
      </c>
      <c r="F628">
        <v>2</v>
      </c>
      <c r="G628">
        <v>43</v>
      </c>
      <c r="H628" s="2">
        <v>44249.803715277776</v>
      </c>
    </row>
    <row r="629" spans="1:8" ht="14.25" customHeight="1" x14ac:dyDescent="0.3">
      <c r="A629">
        <v>1343799</v>
      </c>
      <c r="B629" t="e">
        <f>- office photocopiers</f>
        <v>#NAME?</v>
      </c>
      <c r="C629" s="1" t="s">
        <v>5182</v>
      </c>
      <c r="D629" t="s">
        <v>11</v>
      </c>
      <c r="E629">
        <v>2</v>
      </c>
      <c r="F629">
        <v>2</v>
      </c>
      <c r="G629">
        <v>41</v>
      </c>
      <c r="H629" s="2">
        <v>44249.804085648146</v>
      </c>
    </row>
    <row r="630" spans="1:8" ht="14.25" customHeight="1" x14ac:dyDescent="0.3">
      <c r="A630">
        <v>1342695</v>
      </c>
      <c r="B630" t="e">
        <f>- rds issues for multiple users</f>
        <v>#NAME?</v>
      </c>
      <c r="C630" s="1" t="s">
        <v>5183</v>
      </c>
      <c r="D630" t="s">
        <v>24</v>
      </c>
      <c r="E630">
        <v>2</v>
      </c>
      <c r="F630">
        <v>2</v>
      </c>
      <c r="G630">
        <v>41</v>
      </c>
      <c r="H630" s="2">
        <v>44249.804930555554</v>
      </c>
    </row>
    <row r="631" spans="1:8" ht="14.25" customHeight="1" x14ac:dyDescent="0.3">
      <c r="A631">
        <v>1361897</v>
      </c>
      <c r="B631" t="s">
        <v>5184</v>
      </c>
      <c r="C631" s="1" t="s">
        <v>5185</v>
      </c>
      <c r="D631" t="s">
        <v>11</v>
      </c>
      <c r="E631">
        <v>2</v>
      </c>
      <c r="F631">
        <v>2</v>
      </c>
      <c r="G631">
        <v>41</v>
      </c>
      <c r="H631" s="2">
        <v>44249.805104166669</v>
      </c>
    </row>
    <row r="632" spans="1:8" ht="14.25" customHeight="1" x14ac:dyDescent="0.3">
      <c r="A632">
        <v>1345305</v>
      </c>
      <c r="B632" t="e">
        <f>- edmonton studio server room beep</f>
        <v>#NAME?</v>
      </c>
      <c r="C632" s="1" t="s">
        <v>5186</v>
      </c>
      <c r="D632" t="s">
        <v>11</v>
      </c>
      <c r="E632">
        <v>2</v>
      </c>
      <c r="F632">
        <v>3</v>
      </c>
      <c r="G632">
        <v>41</v>
      </c>
      <c r="H632" s="2">
        <v>44249.805578703701</v>
      </c>
    </row>
    <row r="633" spans="1:8" ht="14.25" customHeight="1" x14ac:dyDescent="0.3">
      <c r="A633">
        <v>1343359</v>
      </c>
      <c r="B633" t="e">
        <f>- paging system</f>
        <v>#NAME?</v>
      </c>
      <c r="C633" s="1" t="s">
        <v>5187</v>
      </c>
      <c r="D633" t="s">
        <v>11</v>
      </c>
      <c r="E633">
        <v>2</v>
      </c>
      <c r="F633">
        <v>2</v>
      </c>
      <c r="G633">
        <v>41</v>
      </c>
      <c r="H633" s="2">
        <v>44249.80572916667</v>
      </c>
    </row>
    <row r="634" spans="1:8" ht="14.25" customHeight="1" x14ac:dyDescent="0.3">
      <c r="A634">
        <v>1345444</v>
      </c>
      <c r="B634" t="s">
        <v>5188</v>
      </c>
      <c r="C634" s="1" t="s">
        <v>5189</v>
      </c>
      <c r="D634" t="s">
        <v>11</v>
      </c>
      <c r="E634">
        <v>2</v>
      </c>
      <c r="F634">
        <v>2</v>
      </c>
      <c r="G634">
        <v>43</v>
      </c>
      <c r="H634" s="2">
        <v>44249.812835648147</v>
      </c>
    </row>
    <row r="635" spans="1:8" ht="14.25" customHeight="1" x14ac:dyDescent="0.3">
      <c r="A635">
        <v>1344664</v>
      </c>
      <c r="B635" t="s">
        <v>5190</v>
      </c>
      <c r="C635" s="1" t="s">
        <v>5191</v>
      </c>
      <c r="D635" t="s">
        <v>11</v>
      </c>
      <c r="E635">
        <v>2</v>
      </c>
      <c r="F635">
        <v>2</v>
      </c>
      <c r="G635">
        <v>41</v>
      </c>
      <c r="H635" s="2">
        <v>44249.821701388886</v>
      </c>
    </row>
    <row r="636" spans="1:8" ht="14.25" customHeight="1" x14ac:dyDescent="0.3">
      <c r="A636">
        <v>1341860</v>
      </c>
      <c r="B636" t="s">
        <v>5192</v>
      </c>
      <c r="C636" s="1" t="s">
        <v>5193</v>
      </c>
      <c r="D636" t="s">
        <v>11</v>
      </c>
      <c r="E636">
        <v>2</v>
      </c>
      <c r="F636">
        <v>2</v>
      </c>
      <c r="G636">
        <v>41</v>
      </c>
      <c r="H636" s="2">
        <v>44249.824236111112</v>
      </c>
    </row>
    <row r="637" spans="1:8" ht="14.25" customHeight="1" x14ac:dyDescent="0.3">
      <c r="A637">
        <v>1341181</v>
      </c>
      <c r="B637" t="s">
        <v>5194</v>
      </c>
      <c r="C637" s="1" t="s">
        <v>5195</v>
      </c>
      <c r="D637" t="s">
        <v>24</v>
      </c>
      <c r="E637">
        <v>2</v>
      </c>
      <c r="F637">
        <v>2</v>
      </c>
      <c r="G637">
        <v>41</v>
      </c>
      <c r="H637" s="2">
        <v>44249.827465277776</v>
      </c>
    </row>
    <row r="638" spans="1:8" ht="14.25" customHeight="1" x14ac:dyDescent="0.3">
      <c r="A638">
        <v>1345982</v>
      </c>
      <c r="B638" t="s">
        <v>5196</v>
      </c>
      <c r="C638" s="1" t="s">
        <v>5197</v>
      </c>
      <c r="D638" t="s">
        <v>11</v>
      </c>
      <c r="E638">
        <v>1</v>
      </c>
      <c r="F638">
        <v>1</v>
      </c>
      <c r="G638">
        <v>43</v>
      </c>
      <c r="H638" s="2">
        <v>44249.828576388885</v>
      </c>
    </row>
    <row r="639" spans="1:8" ht="14.25" customHeight="1" x14ac:dyDescent="0.3">
      <c r="A639">
        <v>1346512</v>
      </c>
      <c r="B639" t="s">
        <v>5198</v>
      </c>
      <c r="C639" s="1" t="s">
        <v>5199</v>
      </c>
      <c r="D639" t="s">
        <v>24</v>
      </c>
      <c r="E639">
        <v>2</v>
      </c>
      <c r="F639">
        <v>2</v>
      </c>
      <c r="G639">
        <v>41</v>
      </c>
      <c r="H639" s="2">
        <v>44249.830717592595</v>
      </c>
    </row>
    <row r="640" spans="1:8" ht="14.25" customHeight="1" x14ac:dyDescent="0.3">
      <c r="A640">
        <v>1364343</v>
      </c>
      <c r="B640" t="s">
        <v>5200</v>
      </c>
      <c r="C640" s="1" t="s">
        <v>5201</v>
      </c>
      <c r="D640" t="s">
        <v>11</v>
      </c>
      <c r="E640">
        <v>1</v>
      </c>
      <c r="F640">
        <v>2</v>
      </c>
      <c r="G640">
        <v>41</v>
      </c>
      <c r="H640" s="2">
        <v>44249.830995370372</v>
      </c>
    </row>
    <row r="641" spans="1:8" ht="14.25" customHeight="1" x14ac:dyDescent="0.3">
      <c r="A641">
        <v>1341310</v>
      </c>
      <c r="B641" t="s">
        <v>5202</v>
      </c>
      <c r="C641" s="1" t="s">
        <v>5203</v>
      </c>
      <c r="D641" t="s">
        <v>11</v>
      </c>
      <c r="E641">
        <v>2</v>
      </c>
      <c r="F641">
        <v>2</v>
      </c>
      <c r="G641">
        <v>43</v>
      </c>
      <c r="H641" s="2">
        <v>44249.834282407406</v>
      </c>
    </row>
    <row r="642" spans="1:8" ht="14.25" customHeight="1" x14ac:dyDescent="0.3">
      <c r="A642">
        <v>1341748</v>
      </c>
      <c r="B642" t="e">
        <f>- phone queues did not auto-switch to on-hours</f>
        <v>#NAME?</v>
      </c>
      <c r="C642" s="1" t="s">
        <v>5204</v>
      </c>
      <c r="D642" t="s">
        <v>24</v>
      </c>
      <c r="E642">
        <v>2</v>
      </c>
      <c r="F642">
        <v>2</v>
      </c>
      <c r="G642">
        <v>41</v>
      </c>
      <c r="H642" s="2">
        <v>44249.836446759262</v>
      </c>
    </row>
    <row r="643" spans="1:8" ht="14.25" customHeight="1" x14ac:dyDescent="0.3">
      <c r="A643">
        <v>1341743</v>
      </c>
      <c r="B643" t="e">
        <f>- RDS3 slow</f>
        <v>#NAME?</v>
      </c>
      <c r="C643" s="1" t="s">
        <v>5205</v>
      </c>
      <c r="D643" t="s">
        <v>24</v>
      </c>
      <c r="E643">
        <v>2</v>
      </c>
      <c r="F643">
        <v>2</v>
      </c>
      <c r="G643">
        <v>41</v>
      </c>
      <c r="H643" s="2">
        <v>44249.838217592594</v>
      </c>
    </row>
    <row r="644" spans="1:8" ht="14.25" customHeight="1" x14ac:dyDescent="0.3">
      <c r="A644">
        <v>1343246</v>
      </c>
      <c r="B644" t="e">
        <f>- unable to access screen connect or teams on nddc-RDS7</f>
        <v>#NAME?</v>
      </c>
      <c r="C644" s="1" t="s">
        <v>5206</v>
      </c>
      <c r="D644" t="s">
        <v>24</v>
      </c>
      <c r="E644">
        <v>2</v>
      </c>
      <c r="F644">
        <v>2</v>
      </c>
      <c r="G644">
        <v>41</v>
      </c>
      <c r="H644" s="2">
        <v>44249.846493055556</v>
      </c>
    </row>
    <row r="645" spans="1:8" ht="14.25" customHeight="1" x14ac:dyDescent="0.3">
      <c r="A645">
        <v>1346380</v>
      </c>
      <c r="B645" t="s">
        <v>5207</v>
      </c>
      <c r="C645" s="1" t="s">
        <v>5208</v>
      </c>
      <c r="D645" t="s">
        <v>11</v>
      </c>
      <c r="E645">
        <v>2</v>
      </c>
      <c r="F645">
        <v>1</v>
      </c>
      <c r="G645">
        <v>41</v>
      </c>
      <c r="H645" s="2">
        <v>44249.847268518519</v>
      </c>
    </row>
    <row r="646" spans="1:8" ht="14.25" customHeight="1" x14ac:dyDescent="0.3">
      <c r="A646">
        <v>1343844</v>
      </c>
      <c r="B646" t="s">
        <v>5209</v>
      </c>
      <c r="C646" s="1" t="s">
        <v>5210</v>
      </c>
      <c r="D646" t="s">
        <v>11</v>
      </c>
      <c r="E646">
        <v>1</v>
      </c>
      <c r="F646">
        <v>2</v>
      </c>
      <c r="G646">
        <v>43</v>
      </c>
      <c r="H646" s="2">
        <v>44249.847743055558</v>
      </c>
    </row>
    <row r="647" spans="1:8" ht="14.25" customHeight="1" x14ac:dyDescent="0.3">
      <c r="A647">
        <v>1346985</v>
      </c>
      <c r="B647" t="e">
        <f>- updates/wsus</f>
        <v>#NAME?</v>
      </c>
      <c r="C647" s="1" t="s">
        <v>5211</v>
      </c>
      <c r="D647" t="s">
        <v>11</v>
      </c>
      <c r="E647">
        <v>3</v>
      </c>
      <c r="F647">
        <v>1</v>
      </c>
      <c r="G647">
        <v>43</v>
      </c>
      <c r="H647" s="2">
        <v>44249.848449074074</v>
      </c>
    </row>
    <row r="648" spans="1:8" ht="14.25" customHeight="1" x14ac:dyDescent="0.3">
      <c r="A648">
        <v>1333772</v>
      </c>
      <c r="B648" t="s">
        <v>5212</v>
      </c>
      <c r="C648" s="1" t="s">
        <v>5213</v>
      </c>
      <c r="D648" t="s">
        <v>11</v>
      </c>
      <c r="E648">
        <v>2</v>
      </c>
      <c r="F648">
        <v>2</v>
      </c>
      <c r="G648">
        <v>41</v>
      </c>
      <c r="H648" s="2">
        <v>44249.848726851851</v>
      </c>
    </row>
    <row r="649" spans="1:8" ht="14.25" customHeight="1" x14ac:dyDescent="0.3">
      <c r="A649">
        <v>1350762</v>
      </c>
      <c r="B649" t="s">
        <v>5214</v>
      </c>
      <c r="C649" s="1" t="s">
        <v>5215</v>
      </c>
      <c r="D649" t="s">
        <v>11</v>
      </c>
      <c r="E649">
        <v>3</v>
      </c>
      <c r="F649">
        <v>2</v>
      </c>
      <c r="G649">
        <v>41</v>
      </c>
      <c r="H649" s="2">
        <v>44249.849062499998</v>
      </c>
    </row>
    <row r="650" spans="1:8" ht="14.25" customHeight="1" x14ac:dyDescent="0.3">
      <c r="A650">
        <v>1346358</v>
      </c>
      <c r="B650" t="s">
        <v>5216</v>
      </c>
      <c r="C650" s="1" t="s">
        <v>5217</v>
      </c>
      <c r="D650" t="s">
        <v>11</v>
      </c>
      <c r="E650">
        <v>1</v>
      </c>
      <c r="F650">
        <v>3</v>
      </c>
      <c r="G650">
        <v>41</v>
      </c>
      <c r="H650" s="2">
        <v>44249.84946759259</v>
      </c>
    </row>
    <row r="651" spans="1:8" ht="14.25" customHeight="1" x14ac:dyDescent="0.3">
      <c r="A651">
        <v>1345385</v>
      </c>
      <c r="B651" t="s">
        <v>5218</v>
      </c>
      <c r="C651" s="1" t="s">
        <v>5219</v>
      </c>
      <c r="D651" t="s">
        <v>11</v>
      </c>
      <c r="E651">
        <v>1</v>
      </c>
      <c r="F651">
        <v>2</v>
      </c>
      <c r="G651">
        <v>41</v>
      </c>
      <c r="H651" s="2">
        <v>44249.85015046296</v>
      </c>
    </row>
    <row r="652" spans="1:8" ht="14.25" customHeight="1" x14ac:dyDescent="0.3">
      <c r="A652">
        <v>1341326</v>
      </c>
      <c r="B652" t="s">
        <v>5220</v>
      </c>
      <c r="C652" s="1" t="s">
        <v>5221</v>
      </c>
      <c r="D652" t="s">
        <v>11</v>
      </c>
      <c r="E652">
        <v>1</v>
      </c>
      <c r="F652">
        <v>2</v>
      </c>
      <c r="G652">
        <v>43</v>
      </c>
      <c r="H652" s="2">
        <v>44249.851168981484</v>
      </c>
    </row>
    <row r="653" spans="1:8" ht="14.25" customHeight="1" x14ac:dyDescent="0.3">
      <c r="A653">
        <v>1341325</v>
      </c>
      <c r="B653" t="e">
        <f>- restart all rds servers</f>
        <v>#NAME?</v>
      </c>
      <c r="C653" s="1" t="s">
        <v>5222</v>
      </c>
      <c r="D653" t="s">
        <v>11</v>
      </c>
      <c r="E653">
        <v>3</v>
      </c>
      <c r="F653">
        <v>3</v>
      </c>
      <c r="G653">
        <v>43</v>
      </c>
      <c r="H653" s="2">
        <v>44249.851736111108</v>
      </c>
    </row>
    <row r="654" spans="1:8" ht="14.25" customHeight="1" x14ac:dyDescent="0.3">
      <c r="A654">
        <v>1345351</v>
      </c>
      <c r="B654" t="s">
        <v>5223</v>
      </c>
      <c r="C654" s="1" t="s">
        <v>5224</v>
      </c>
      <c r="D654" t="s">
        <v>11</v>
      </c>
      <c r="E654">
        <v>1</v>
      </c>
      <c r="F654">
        <v>2</v>
      </c>
      <c r="G654">
        <v>41</v>
      </c>
      <c r="H654" s="2">
        <v>44249.852280092593</v>
      </c>
    </row>
    <row r="655" spans="1:8" ht="14.25" customHeight="1" x14ac:dyDescent="0.3">
      <c r="A655">
        <v>1350123</v>
      </c>
      <c r="B655" t="s">
        <v>5225</v>
      </c>
      <c r="C655" s="1" t="s">
        <v>5226</v>
      </c>
      <c r="D655" t="s">
        <v>11</v>
      </c>
      <c r="E655">
        <v>2</v>
      </c>
      <c r="F655">
        <v>2</v>
      </c>
      <c r="G655">
        <v>41</v>
      </c>
      <c r="H655" s="2">
        <v>44249.852731481478</v>
      </c>
    </row>
    <row r="656" spans="1:8" ht="14.25" customHeight="1" x14ac:dyDescent="0.3">
      <c r="A656">
        <v>1343802</v>
      </c>
      <c r="B656" t="s">
        <v>5227</v>
      </c>
      <c r="C656" s="1" t="s">
        <v>5228</v>
      </c>
      <c r="D656" t="s">
        <v>11</v>
      </c>
      <c r="E656">
        <v>3</v>
      </c>
      <c r="F656">
        <v>1</v>
      </c>
      <c r="G656">
        <v>43</v>
      </c>
      <c r="H656" s="2">
        <v>44249.853067129632</v>
      </c>
    </row>
    <row r="657" spans="1:8" ht="14.25" customHeight="1" x14ac:dyDescent="0.3">
      <c r="A657">
        <v>1342055</v>
      </c>
      <c r="B657" t="s">
        <v>5229</v>
      </c>
      <c r="C657" s="1" t="s">
        <v>5230</v>
      </c>
      <c r="D657" t="s">
        <v>11</v>
      </c>
      <c r="E657">
        <v>2</v>
      </c>
      <c r="F657">
        <v>1</v>
      </c>
      <c r="G657">
        <v>43</v>
      </c>
      <c r="H657" s="2">
        <v>44249.853680555556</v>
      </c>
    </row>
    <row r="658" spans="1:8" ht="14.25" customHeight="1" x14ac:dyDescent="0.3">
      <c r="A658">
        <v>1343494</v>
      </c>
      <c r="B658" t="s">
        <v>5231</v>
      </c>
      <c r="C658" s="1" t="s">
        <v>5232</v>
      </c>
      <c r="D658" t="s">
        <v>11</v>
      </c>
      <c r="E658">
        <v>3</v>
      </c>
      <c r="F658">
        <v>1</v>
      </c>
      <c r="G658">
        <v>41</v>
      </c>
      <c r="H658" s="2">
        <v>44249.854027777779</v>
      </c>
    </row>
    <row r="659" spans="1:8" ht="14.25" customHeight="1" x14ac:dyDescent="0.3">
      <c r="A659">
        <v>1342716</v>
      </c>
      <c r="B659" t="s">
        <v>5233</v>
      </c>
      <c r="C659" s="1" t="s">
        <v>5234</v>
      </c>
      <c r="D659" t="s">
        <v>11</v>
      </c>
      <c r="E659">
        <v>2</v>
      </c>
      <c r="F659">
        <v>2</v>
      </c>
      <c r="G659">
        <v>41</v>
      </c>
      <c r="H659" s="2">
        <v>44249.854791666665</v>
      </c>
    </row>
    <row r="660" spans="1:8" ht="14.25" customHeight="1" x14ac:dyDescent="0.3">
      <c r="A660">
        <v>1341180</v>
      </c>
      <c r="B660" t="s">
        <v>5235</v>
      </c>
      <c r="C660" s="1" t="s">
        <v>5236</v>
      </c>
      <c r="D660" t="s">
        <v>11</v>
      </c>
      <c r="E660">
        <v>2</v>
      </c>
      <c r="F660">
        <v>2</v>
      </c>
      <c r="G660">
        <v>43</v>
      </c>
      <c r="H660" s="2">
        <v>44249.855104166665</v>
      </c>
    </row>
    <row r="661" spans="1:8" ht="14.25" customHeight="1" x14ac:dyDescent="0.3">
      <c r="A661">
        <v>1342552</v>
      </c>
      <c r="B661" t="s">
        <v>5237</v>
      </c>
      <c r="C661" s="1" t="s">
        <v>5238</v>
      </c>
      <c r="D661" t="s">
        <v>24</v>
      </c>
      <c r="E661">
        <v>2</v>
      </c>
      <c r="F661">
        <v>2</v>
      </c>
      <c r="G661">
        <v>43</v>
      </c>
      <c r="H661" s="2">
        <v>44249.856956018521</v>
      </c>
    </row>
    <row r="662" spans="1:8" ht="14.25" customHeight="1" x14ac:dyDescent="0.3">
      <c r="A662">
        <v>1333875</v>
      </c>
      <c r="B662" t="s">
        <v>5239</v>
      </c>
      <c r="C662" s="1" t="s">
        <v>5240</v>
      </c>
      <c r="D662" t="s">
        <v>24</v>
      </c>
      <c r="E662">
        <v>2</v>
      </c>
      <c r="F662">
        <v>2</v>
      </c>
      <c r="G662">
        <v>41</v>
      </c>
      <c r="H662" s="2">
        <v>44249.858865740738</v>
      </c>
    </row>
    <row r="663" spans="1:8" ht="14.25" customHeight="1" x14ac:dyDescent="0.3">
      <c r="A663">
        <v>1333327</v>
      </c>
      <c r="B663" t="s">
        <v>5241</v>
      </c>
      <c r="C663" s="1" t="s">
        <v>5242</v>
      </c>
      <c r="D663" t="s">
        <v>24</v>
      </c>
      <c r="E663">
        <v>2</v>
      </c>
      <c r="F663">
        <v>2</v>
      </c>
      <c r="G663">
        <v>43</v>
      </c>
      <c r="H663" s="2">
        <v>44249.859120370369</v>
      </c>
    </row>
    <row r="664" spans="1:8" ht="14.25" customHeight="1" x14ac:dyDescent="0.3">
      <c r="A664">
        <v>1341889</v>
      </c>
      <c r="B664" t="s">
        <v>5243</v>
      </c>
      <c r="C664" s="1" t="s">
        <v>5244</v>
      </c>
      <c r="D664" t="s">
        <v>11</v>
      </c>
      <c r="E664">
        <v>3</v>
      </c>
      <c r="F664">
        <v>2</v>
      </c>
      <c r="G664">
        <v>41</v>
      </c>
      <c r="H664" s="2">
        <v>44249.859247685185</v>
      </c>
    </row>
    <row r="665" spans="1:8" ht="14.25" customHeight="1" x14ac:dyDescent="0.3">
      <c r="A665">
        <v>1333833</v>
      </c>
      <c r="B665" t="s">
        <v>4555</v>
      </c>
      <c r="C665" s="1" t="s">
        <v>5245</v>
      </c>
      <c r="D665" t="s">
        <v>11</v>
      </c>
      <c r="E665">
        <v>2</v>
      </c>
      <c r="F665">
        <v>2</v>
      </c>
      <c r="G665">
        <v>41</v>
      </c>
      <c r="H665" s="2">
        <v>44249.859340277777</v>
      </c>
    </row>
    <row r="666" spans="1:8" ht="14.25" customHeight="1" x14ac:dyDescent="0.3">
      <c r="A666">
        <v>1333165</v>
      </c>
      <c r="B666" t="e">
        <f>- printer malfunctioning</f>
        <v>#NAME?</v>
      </c>
      <c r="C666" s="1" t="s">
        <v>5246</v>
      </c>
      <c r="D666" t="s">
        <v>24</v>
      </c>
      <c r="E666">
        <v>2</v>
      </c>
      <c r="F666">
        <v>2</v>
      </c>
      <c r="G666">
        <v>41</v>
      </c>
      <c r="H666" s="2">
        <v>44249.859513888892</v>
      </c>
    </row>
    <row r="667" spans="1:8" ht="14.25" customHeight="1" x14ac:dyDescent="0.3">
      <c r="A667">
        <v>1336714</v>
      </c>
      <c r="B667" t="s">
        <v>5247</v>
      </c>
      <c r="C667" s="1" t="s">
        <v>5248</v>
      </c>
      <c r="D667" t="s">
        <v>11</v>
      </c>
      <c r="E667">
        <v>3</v>
      </c>
      <c r="F667">
        <v>3</v>
      </c>
      <c r="G667">
        <v>41</v>
      </c>
      <c r="H667" s="2">
        <v>44249.860138888886</v>
      </c>
    </row>
    <row r="668" spans="1:8" ht="14.25" customHeight="1" x14ac:dyDescent="0.3">
      <c r="A668">
        <v>1345381</v>
      </c>
      <c r="B668" t="e">
        <f>- low disk space on nc--mail01</f>
        <v>#NAME?</v>
      </c>
      <c r="C668" s="1" t="s">
        <v>5249</v>
      </c>
      <c r="D668" t="s">
        <v>24</v>
      </c>
      <c r="E668">
        <v>3</v>
      </c>
      <c r="F668">
        <v>3</v>
      </c>
      <c r="G668">
        <v>41</v>
      </c>
      <c r="H668" s="2">
        <v>44249.861030092594</v>
      </c>
    </row>
    <row r="669" spans="1:8" ht="14.25" customHeight="1" x14ac:dyDescent="0.3">
      <c r="A669">
        <v>1333897</v>
      </c>
      <c r="B669" t="s">
        <v>5250</v>
      </c>
      <c r="C669" t="s">
        <v>5251</v>
      </c>
      <c r="D669" t="s">
        <v>24</v>
      </c>
      <c r="E669">
        <v>1</v>
      </c>
      <c r="F669">
        <v>1</v>
      </c>
      <c r="G669">
        <v>43</v>
      </c>
      <c r="H669" s="2">
        <v>44249.861307870371</v>
      </c>
    </row>
    <row r="670" spans="1:8" ht="14.25" customHeight="1" x14ac:dyDescent="0.3">
      <c r="A670">
        <v>1338209</v>
      </c>
      <c r="B670" t="e">
        <f>- need to watch video presentation at cpacanada.org</f>
        <v>#NAME?</v>
      </c>
      <c r="C670" s="1" t="s">
        <v>5252</v>
      </c>
      <c r="D670" t="s">
        <v>24</v>
      </c>
      <c r="E670">
        <v>1</v>
      </c>
      <c r="F670">
        <v>1</v>
      </c>
      <c r="G670">
        <v>41</v>
      </c>
      <c r="H670" s="2">
        <v>44249.862372685187</v>
      </c>
    </row>
    <row r="671" spans="1:8" ht="14.25" customHeight="1" x14ac:dyDescent="0.3">
      <c r="A671">
        <v>1334422</v>
      </c>
      <c r="B671" t="s">
        <v>5253</v>
      </c>
      <c r="C671" s="1" t="s">
        <v>5254</v>
      </c>
      <c r="D671" t="s">
        <v>11</v>
      </c>
      <c r="E671">
        <v>3</v>
      </c>
      <c r="F671">
        <v>3</v>
      </c>
      <c r="G671">
        <v>41</v>
      </c>
      <c r="H671" s="2">
        <v>44249.863634259258</v>
      </c>
    </row>
    <row r="672" spans="1:8" ht="14.25" customHeight="1" x14ac:dyDescent="0.3">
      <c r="A672">
        <v>1342729</v>
      </c>
      <c r="B672" t="s">
        <v>5255</v>
      </c>
      <c r="C672" s="1" t="s">
        <v>5256</v>
      </c>
      <c r="D672" t="s">
        <v>11</v>
      </c>
      <c r="E672">
        <v>3</v>
      </c>
      <c r="F672">
        <v>2</v>
      </c>
      <c r="G672">
        <v>41</v>
      </c>
      <c r="H672" s="2">
        <v>44249.864004629628</v>
      </c>
    </row>
    <row r="673" spans="1:8" ht="14.25" customHeight="1" x14ac:dyDescent="0.3">
      <c r="A673">
        <v>1362519</v>
      </c>
      <c r="B673" t="e">
        <f>- customer thermometer - connectwise integration</f>
        <v>#NAME?</v>
      </c>
      <c r="C673" s="1" t="s">
        <v>5257</v>
      </c>
      <c r="D673" t="s">
        <v>24</v>
      </c>
      <c r="E673">
        <v>2</v>
      </c>
      <c r="F673">
        <v>2</v>
      </c>
      <c r="G673">
        <v>41</v>
      </c>
      <c r="H673" s="2">
        <v>44249.865277777775</v>
      </c>
    </row>
    <row r="674" spans="1:8" ht="14.25" customHeight="1" x14ac:dyDescent="0.3">
      <c r="A674">
        <v>1333450</v>
      </c>
      <c r="B674" t="s">
        <v>5258</v>
      </c>
      <c r="C674" s="1" t="s">
        <v>5259</v>
      </c>
      <c r="D674" t="s">
        <v>11</v>
      </c>
      <c r="E674">
        <v>3</v>
      </c>
      <c r="F674">
        <v>3</v>
      </c>
      <c r="G674">
        <v>43</v>
      </c>
      <c r="H674" s="2">
        <v>44249.86818287037</v>
      </c>
    </row>
    <row r="675" spans="1:8" ht="14.25" customHeight="1" x14ac:dyDescent="0.3">
      <c r="A675">
        <v>1345293</v>
      </c>
      <c r="B675" t="s">
        <v>5260</v>
      </c>
      <c r="C675" s="1" t="s">
        <v>5261</v>
      </c>
      <c r="D675" t="s">
        <v>24</v>
      </c>
      <c r="E675">
        <v>1</v>
      </c>
      <c r="F675">
        <v>2</v>
      </c>
      <c r="G675">
        <v>36</v>
      </c>
      <c r="H675" s="2">
        <v>44249.868611111109</v>
      </c>
    </row>
    <row r="676" spans="1:8" ht="14.25" customHeight="1" x14ac:dyDescent="0.3">
      <c r="A676">
        <v>1343169</v>
      </c>
      <c r="B676" t="s">
        <v>5262</v>
      </c>
      <c r="C676" s="1" t="s">
        <v>5263</v>
      </c>
      <c r="D676" t="s">
        <v>11</v>
      </c>
      <c r="E676">
        <v>2</v>
      </c>
      <c r="F676">
        <v>2</v>
      </c>
      <c r="G676">
        <v>43</v>
      </c>
      <c r="H676" s="2">
        <v>44249.869305555556</v>
      </c>
    </row>
    <row r="677" spans="1:8" ht="14.25" customHeight="1" x14ac:dyDescent="0.3">
      <c r="A677">
        <v>1361394</v>
      </c>
      <c r="B677" t="e">
        <f>- need phone fixed</f>
        <v>#NAME?</v>
      </c>
      <c r="C677" s="1" t="s">
        <v>5264</v>
      </c>
      <c r="D677" t="s">
        <v>24</v>
      </c>
      <c r="E677">
        <v>2</v>
      </c>
      <c r="F677">
        <v>3</v>
      </c>
      <c r="G677">
        <v>41</v>
      </c>
      <c r="H677" s="2">
        <v>44249.870497685188</v>
      </c>
    </row>
    <row r="678" spans="1:8" ht="14.25" customHeight="1" x14ac:dyDescent="0.3">
      <c r="A678">
        <v>1346525</v>
      </c>
      <c r="B678" t="s">
        <v>5265</v>
      </c>
      <c r="C678" s="1" t="s">
        <v>5266</v>
      </c>
      <c r="D678" t="s">
        <v>11</v>
      </c>
      <c r="E678">
        <v>2</v>
      </c>
      <c r="F678">
        <v>2</v>
      </c>
      <c r="G678">
        <v>41</v>
      </c>
      <c r="H678" s="2">
        <v>44249.871238425927</v>
      </c>
    </row>
    <row r="679" spans="1:8" ht="14.25" customHeight="1" x14ac:dyDescent="0.3">
      <c r="A679">
        <v>1345876</v>
      </c>
      <c r="B679" t="s">
        <v>5267</v>
      </c>
      <c r="C679" s="1" t="s">
        <v>5268</v>
      </c>
      <c r="D679" t="s">
        <v>11</v>
      </c>
      <c r="E679">
        <v>3</v>
      </c>
      <c r="F679">
        <v>2</v>
      </c>
      <c r="G679">
        <v>43</v>
      </c>
      <c r="H679" s="2">
        <v>44249.871412037035</v>
      </c>
    </row>
    <row r="680" spans="1:8" ht="14.25" customHeight="1" x14ac:dyDescent="0.3">
      <c r="A680">
        <v>1333928</v>
      </c>
      <c r="B680" t="s">
        <v>5269</v>
      </c>
      <c r="C680" s="1" t="s">
        <v>5270</v>
      </c>
      <c r="D680" t="s">
        <v>24</v>
      </c>
      <c r="E680">
        <v>3</v>
      </c>
      <c r="F680">
        <v>2</v>
      </c>
      <c r="G680">
        <v>43</v>
      </c>
      <c r="H680" s="2">
        <v>44249.871944444443</v>
      </c>
    </row>
    <row r="681" spans="1:8" ht="14.25" customHeight="1" x14ac:dyDescent="0.3">
      <c r="A681">
        <v>1342749</v>
      </c>
      <c r="B681" t="s">
        <v>5271</v>
      </c>
      <c r="C681" s="1" t="s">
        <v>5272</v>
      </c>
      <c r="D681" t="s">
        <v>11</v>
      </c>
      <c r="E681">
        <v>1</v>
      </c>
      <c r="F681">
        <v>2</v>
      </c>
      <c r="G681">
        <v>41</v>
      </c>
      <c r="H681" s="2">
        <v>44249.872430555559</v>
      </c>
    </row>
    <row r="682" spans="1:8" ht="14.25" customHeight="1" x14ac:dyDescent="0.3">
      <c r="A682">
        <v>1332082</v>
      </c>
      <c r="B682" t="e">
        <f>- rds login issues for mantralogix folks</f>
        <v>#NAME?</v>
      </c>
      <c r="C682" s="1" t="s">
        <v>5273</v>
      </c>
      <c r="D682" t="s">
        <v>24</v>
      </c>
      <c r="E682">
        <v>2</v>
      </c>
      <c r="F682">
        <v>2</v>
      </c>
      <c r="G682">
        <v>41</v>
      </c>
      <c r="H682" s="2">
        <v>44249.875625000001</v>
      </c>
    </row>
    <row r="683" spans="1:8" ht="14.25" customHeight="1" x14ac:dyDescent="0.3">
      <c r="A683">
        <v>1331338</v>
      </c>
      <c r="B683" t="s">
        <v>5274</v>
      </c>
      <c r="C683" s="1" t="s">
        <v>5275</v>
      </c>
      <c r="D683" t="s">
        <v>11</v>
      </c>
      <c r="E683">
        <v>2</v>
      </c>
      <c r="F683">
        <v>2</v>
      </c>
      <c r="G683">
        <v>43</v>
      </c>
      <c r="H683" s="2">
        <v>44249.875856481478</v>
      </c>
    </row>
    <row r="684" spans="1:8" ht="14.25" customHeight="1" x14ac:dyDescent="0.3">
      <c r="A684">
        <v>1333355</v>
      </c>
      <c r="B684" t="s">
        <v>5276</v>
      </c>
      <c r="C684" s="1" t="s">
        <v>5277</v>
      </c>
      <c r="D684" t="s">
        <v>11</v>
      </c>
      <c r="E684">
        <v>2</v>
      </c>
      <c r="F684">
        <v>1</v>
      </c>
      <c r="G684">
        <v>43</v>
      </c>
      <c r="H684" s="2">
        <v>44249.875949074078</v>
      </c>
    </row>
    <row r="685" spans="1:8" ht="14.25" customHeight="1" x14ac:dyDescent="0.3">
      <c r="A685">
        <v>1333716</v>
      </c>
      <c r="B685" t="s">
        <v>5278</v>
      </c>
      <c r="C685" s="1" t="s">
        <v>5279</v>
      </c>
      <c r="D685" t="s">
        <v>24</v>
      </c>
      <c r="E685">
        <v>1</v>
      </c>
      <c r="F685">
        <v>1</v>
      </c>
      <c r="G685">
        <v>43</v>
      </c>
      <c r="H685" s="2">
        <v>44249.877152777779</v>
      </c>
    </row>
    <row r="686" spans="1:8" ht="14.25" customHeight="1" x14ac:dyDescent="0.3">
      <c r="A686">
        <v>1341291</v>
      </c>
      <c r="B686" t="s">
        <v>5280</v>
      </c>
      <c r="C686" s="1" t="s">
        <v>5281</v>
      </c>
      <c r="D686" t="s">
        <v>11</v>
      </c>
      <c r="E686">
        <v>2</v>
      </c>
      <c r="F686">
        <v>2</v>
      </c>
      <c r="G686">
        <v>43</v>
      </c>
      <c r="H686" s="2">
        <v>44249.87871527778</v>
      </c>
    </row>
    <row r="687" spans="1:8" ht="14.25" customHeight="1" x14ac:dyDescent="0.3">
      <c r="A687">
        <v>1333339</v>
      </c>
      <c r="B687" t="s">
        <v>5282</v>
      </c>
      <c r="C687" s="1" t="s">
        <v>5283</v>
      </c>
      <c r="D687" t="s">
        <v>24</v>
      </c>
      <c r="E687">
        <v>2</v>
      </c>
      <c r="F687">
        <v>3</v>
      </c>
      <c r="G687">
        <v>43</v>
      </c>
      <c r="H687" s="2">
        <v>44249.882314814815</v>
      </c>
    </row>
    <row r="688" spans="1:8" ht="14.25" customHeight="1" x14ac:dyDescent="0.3">
      <c r="A688">
        <v>1338181</v>
      </c>
      <c r="B688" t="s">
        <v>5284</v>
      </c>
      <c r="C688" s="1" t="s">
        <v>5285</v>
      </c>
      <c r="D688" t="s">
        <v>24</v>
      </c>
      <c r="E688">
        <v>2</v>
      </c>
      <c r="F688">
        <v>2</v>
      </c>
      <c r="G688">
        <v>41</v>
      </c>
      <c r="H688" s="2">
        <v>44249.884456018517</v>
      </c>
    </row>
    <row r="689" spans="1:8" ht="14.25" customHeight="1" x14ac:dyDescent="0.3">
      <c r="A689">
        <v>1330872</v>
      </c>
      <c r="B689" t="e">
        <f>- cfo _xlnm.database extremely slow</f>
        <v>#NAME?</v>
      </c>
      <c r="C689" s="1" t="s">
        <v>5286</v>
      </c>
      <c r="D689" t="s">
        <v>24</v>
      </c>
      <c r="E689">
        <v>3</v>
      </c>
      <c r="F689">
        <v>2</v>
      </c>
      <c r="G689">
        <v>41</v>
      </c>
      <c r="H689" s="2">
        <v>44249.885127314818</v>
      </c>
    </row>
    <row r="690" spans="1:8" ht="14.25" customHeight="1" x14ac:dyDescent="0.3">
      <c r="A690">
        <v>1334876</v>
      </c>
      <c r="B690" t="s">
        <v>5287</v>
      </c>
      <c r="C690" t="s">
        <v>5288</v>
      </c>
      <c r="D690" t="s">
        <v>11</v>
      </c>
      <c r="E690">
        <v>3</v>
      </c>
      <c r="F690">
        <v>3</v>
      </c>
      <c r="G690">
        <v>43</v>
      </c>
      <c r="H690" s="2">
        <v>44249.886990740742</v>
      </c>
    </row>
    <row r="691" spans="1:8" ht="14.25" customHeight="1" x14ac:dyDescent="0.3">
      <c r="A691">
        <v>1333322</v>
      </c>
      <c r="B691" t="s">
        <v>5289</v>
      </c>
      <c r="C691" s="1" t="s">
        <v>5290</v>
      </c>
      <c r="D691" t="s">
        <v>11</v>
      </c>
      <c r="E691">
        <v>2</v>
      </c>
      <c r="F691">
        <v>2</v>
      </c>
      <c r="G691">
        <v>41</v>
      </c>
      <c r="H691" s="2">
        <v>44249.887361111112</v>
      </c>
    </row>
    <row r="692" spans="1:8" ht="14.25" customHeight="1" x14ac:dyDescent="0.3">
      <c r="A692">
        <v>1333388</v>
      </c>
      <c r="B692" t="s">
        <v>5291</v>
      </c>
      <c r="C692" s="1" t="s">
        <v>5292</v>
      </c>
      <c r="D692" t="s">
        <v>24</v>
      </c>
      <c r="E692">
        <v>3</v>
      </c>
      <c r="F692">
        <v>2</v>
      </c>
      <c r="G692">
        <v>43</v>
      </c>
      <c r="H692" s="2">
        <v>44249.888020833336</v>
      </c>
    </row>
    <row r="693" spans="1:8" ht="14.25" customHeight="1" x14ac:dyDescent="0.3">
      <c r="A693">
        <v>1337685</v>
      </c>
      <c r="B693" t="s">
        <v>5293</v>
      </c>
      <c r="C693" s="1" t="s">
        <v>5294</v>
      </c>
      <c r="D693" t="s">
        <v>11</v>
      </c>
      <c r="E693">
        <v>2</v>
      </c>
      <c r="F693">
        <v>2</v>
      </c>
      <c r="G693">
        <v>43</v>
      </c>
      <c r="H693" s="2">
        <v>44249.889479166668</v>
      </c>
    </row>
    <row r="694" spans="1:8" ht="14.25" customHeight="1" x14ac:dyDescent="0.3">
      <c r="A694">
        <v>1327916</v>
      </c>
      <c r="B694" t="s">
        <v>5295</v>
      </c>
      <c r="C694" s="1" t="s">
        <v>5296</v>
      </c>
      <c r="D694" t="s">
        <v>11</v>
      </c>
      <c r="E694">
        <v>3</v>
      </c>
      <c r="F694">
        <v>3</v>
      </c>
      <c r="G694">
        <v>43</v>
      </c>
      <c r="H694" s="2">
        <v>44249.893703703703</v>
      </c>
    </row>
    <row r="695" spans="1:8" ht="14.25" customHeight="1" x14ac:dyDescent="0.3">
      <c r="A695">
        <v>1330903</v>
      </c>
      <c r="B695" t="e">
        <f>- folders closing</f>
        <v>#NAME?</v>
      </c>
      <c r="C695" t="s">
        <v>5297</v>
      </c>
      <c r="D695" t="s">
        <v>24</v>
      </c>
      <c r="E695">
        <v>2</v>
      </c>
      <c r="F695">
        <v>1</v>
      </c>
      <c r="G695">
        <v>41</v>
      </c>
      <c r="H695" s="2">
        <v>44249.897048611114</v>
      </c>
    </row>
    <row r="696" spans="1:8" ht="14.25" customHeight="1" x14ac:dyDescent="0.3">
      <c r="A696">
        <v>1330745</v>
      </c>
      <c r="B696" t="s">
        <v>5298</v>
      </c>
      <c r="C696" s="1" t="s">
        <v>5299</v>
      </c>
      <c r="D696" t="s">
        <v>11</v>
      </c>
      <c r="E696">
        <v>1</v>
      </c>
      <c r="F696">
        <v>2</v>
      </c>
      <c r="G696">
        <v>43</v>
      </c>
      <c r="H696" s="2">
        <v>44249.897314814814</v>
      </c>
    </row>
    <row r="697" spans="1:8" ht="14.25" customHeight="1" x14ac:dyDescent="0.3">
      <c r="A697">
        <v>1330229</v>
      </c>
      <c r="B697" t="s">
        <v>5300</v>
      </c>
      <c r="C697" s="1" t="s">
        <v>5301</v>
      </c>
      <c r="D697" t="s">
        <v>11</v>
      </c>
      <c r="E697">
        <v>2</v>
      </c>
      <c r="F697">
        <v>2</v>
      </c>
      <c r="G697">
        <v>41</v>
      </c>
      <c r="H697" s="2">
        <v>44249.898414351854</v>
      </c>
    </row>
    <row r="698" spans="1:8" ht="14.25" customHeight="1" x14ac:dyDescent="0.3">
      <c r="A698">
        <v>1328385</v>
      </c>
      <c r="B698" t="e">
        <f>- RDS2 cpu and mem maxed</f>
        <v>#NAME?</v>
      </c>
      <c r="C698" s="1" t="s">
        <v>5302</v>
      </c>
      <c r="D698" t="s">
        <v>11</v>
      </c>
      <c r="E698">
        <v>2</v>
      </c>
      <c r="F698">
        <v>3</v>
      </c>
      <c r="G698">
        <v>41</v>
      </c>
      <c r="H698" s="2">
        <v>44249.901504629626</v>
      </c>
    </row>
    <row r="699" spans="1:8" ht="14.25" customHeight="1" x14ac:dyDescent="0.3">
      <c r="A699">
        <v>1342045</v>
      </c>
      <c r="B699" t="s">
        <v>5303</v>
      </c>
      <c r="C699" s="1" t="s">
        <v>5304</v>
      </c>
      <c r="D699" t="s">
        <v>11</v>
      </c>
      <c r="E699">
        <v>2</v>
      </c>
      <c r="F699">
        <v>2</v>
      </c>
      <c r="G699">
        <v>41</v>
      </c>
      <c r="H699" s="2">
        <v>44249.90252314815</v>
      </c>
    </row>
    <row r="700" spans="1:8" ht="14.25" customHeight="1" x14ac:dyDescent="0.3">
      <c r="A700">
        <v>1326874</v>
      </c>
      <c r="B700" t="s">
        <v>5305</v>
      </c>
      <c r="C700" s="1" t="s">
        <v>5306</v>
      </c>
      <c r="D700" t="s">
        <v>11</v>
      </c>
      <c r="E700">
        <v>3</v>
      </c>
      <c r="F700">
        <v>2</v>
      </c>
      <c r="G700">
        <v>41</v>
      </c>
      <c r="H700" s="2">
        <v>44249.903622685182</v>
      </c>
    </row>
    <row r="701" spans="1:8" ht="14.25" customHeight="1" x14ac:dyDescent="0.3">
      <c r="A701">
        <v>1333159</v>
      </c>
      <c r="B701" t="e">
        <f>- vpn report not working</f>
        <v>#NAME?</v>
      </c>
      <c r="C701" s="1" t="s">
        <v>5307</v>
      </c>
      <c r="D701" t="s">
        <v>11</v>
      </c>
      <c r="E701">
        <v>2</v>
      </c>
      <c r="F701">
        <v>2</v>
      </c>
      <c r="G701">
        <v>41</v>
      </c>
      <c r="H701" s="2">
        <v>44249.90483796296</v>
      </c>
    </row>
    <row r="702" spans="1:8" ht="14.25" customHeight="1" x14ac:dyDescent="0.3">
      <c r="A702">
        <v>1330315</v>
      </c>
      <c r="B702" t="e">
        <f>- rdp for phone system access does not work through rds</f>
        <v>#NAME?</v>
      </c>
      <c r="C702" s="1" t="s">
        <v>5308</v>
      </c>
      <c r="D702" t="s">
        <v>24</v>
      </c>
      <c r="E702">
        <v>2</v>
      </c>
      <c r="F702">
        <v>2</v>
      </c>
      <c r="G702">
        <v>41</v>
      </c>
      <c r="H702" s="2">
        <v>44249.905995370369</v>
      </c>
    </row>
    <row r="703" spans="1:8" ht="14.25" customHeight="1" x14ac:dyDescent="0.3">
      <c r="A703">
        <v>1333398</v>
      </c>
      <c r="B703" t="s">
        <v>5309</v>
      </c>
      <c r="C703" s="1" t="s">
        <v>5310</v>
      </c>
      <c r="D703" t="s">
        <v>11</v>
      </c>
      <c r="E703">
        <v>3</v>
      </c>
      <c r="F703">
        <v>2</v>
      </c>
      <c r="G703">
        <v>41</v>
      </c>
      <c r="H703" s="2">
        <v>44249.906168981484</v>
      </c>
    </row>
    <row r="704" spans="1:8" ht="14.25" customHeight="1" x14ac:dyDescent="0.3">
      <c r="A704">
        <v>1330771</v>
      </c>
      <c r="B704" t="e">
        <f>- cfo _xlnm.database is extremely slow</f>
        <v>#NAME?</v>
      </c>
      <c r="C704" s="1" t="s">
        <v>5311</v>
      </c>
      <c r="D704" t="s">
        <v>24</v>
      </c>
      <c r="E704">
        <v>2</v>
      </c>
      <c r="F704">
        <v>2</v>
      </c>
      <c r="G704">
        <v>41</v>
      </c>
      <c r="H704" s="2">
        <v>44249.906331018516</v>
      </c>
    </row>
    <row r="705" spans="1:8" ht="14.25" customHeight="1" x14ac:dyDescent="0.3">
      <c r="A705">
        <v>1330741</v>
      </c>
      <c r="B705" t="e">
        <f>- printer printing the same document over and over</f>
        <v>#NAME?</v>
      </c>
      <c r="C705" s="1" t="s">
        <v>5312</v>
      </c>
      <c r="D705" t="s">
        <v>24</v>
      </c>
      <c r="E705">
        <v>2</v>
      </c>
      <c r="F705">
        <v>2</v>
      </c>
      <c r="G705">
        <v>41</v>
      </c>
      <c r="H705" s="2">
        <v>44249.906736111108</v>
      </c>
    </row>
    <row r="706" spans="1:8" ht="14.25" customHeight="1" x14ac:dyDescent="0.3">
      <c r="A706">
        <v>1346460</v>
      </c>
      <c r="B706" t="e">
        <f>- bria settings unable to save in rd</f>
        <v>#NAME?</v>
      </c>
      <c r="C706" s="1" t="s">
        <v>5313</v>
      </c>
      <c r="D706" t="s">
        <v>24</v>
      </c>
      <c r="E706">
        <v>2</v>
      </c>
      <c r="F706">
        <v>2</v>
      </c>
      <c r="G706">
        <v>41</v>
      </c>
      <c r="H706" s="2">
        <v>44249.906840277778</v>
      </c>
    </row>
    <row r="707" spans="1:8" ht="14.25" customHeight="1" x14ac:dyDescent="0.3">
      <c r="A707">
        <v>1331862</v>
      </c>
      <c r="B707" t="e">
        <f>- xcharge not displaying transactions</f>
        <v>#NAME?</v>
      </c>
      <c r="C707" s="1" t="s">
        <v>5314</v>
      </c>
      <c r="D707" t="s">
        <v>24</v>
      </c>
      <c r="E707">
        <v>2</v>
      </c>
      <c r="F707">
        <v>2</v>
      </c>
      <c r="G707">
        <v>41</v>
      </c>
      <c r="H707" s="2">
        <v>44249.920162037037</v>
      </c>
    </row>
    <row r="708" spans="1:8" ht="14.25" customHeight="1" x14ac:dyDescent="0.3">
      <c r="A708">
        <v>1329617</v>
      </c>
      <c r="B708" t="s">
        <v>5315</v>
      </c>
      <c r="C708" s="1" t="s">
        <v>5316</v>
      </c>
      <c r="D708" t="s">
        <v>11</v>
      </c>
      <c r="E708">
        <v>1</v>
      </c>
      <c r="F708">
        <v>2</v>
      </c>
      <c r="G708">
        <v>41</v>
      </c>
      <c r="H708" s="2">
        <v>44249.92119212963</v>
      </c>
    </row>
    <row r="709" spans="1:8" ht="14.25" customHeight="1" x14ac:dyDescent="0.3">
      <c r="A709">
        <v>1328309</v>
      </c>
      <c r="B709" t="s">
        <v>5317</v>
      </c>
      <c r="C709" s="1" t="s">
        <v>5318</v>
      </c>
      <c r="D709" t="s">
        <v>11</v>
      </c>
      <c r="E709">
        <v>2</v>
      </c>
      <c r="F709">
        <v>2</v>
      </c>
      <c r="G709">
        <v>41</v>
      </c>
      <c r="H709" s="2">
        <v>44249.922037037039</v>
      </c>
    </row>
    <row r="710" spans="1:8" ht="14.25" customHeight="1" x14ac:dyDescent="0.3">
      <c r="A710">
        <v>1333185</v>
      </c>
      <c r="B710" t="s">
        <v>5319</v>
      </c>
      <c r="C710" s="1" t="s">
        <v>5320</v>
      </c>
      <c r="D710" t="s">
        <v>11</v>
      </c>
      <c r="E710">
        <v>2</v>
      </c>
      <c r="F710">
        <v>2</v>
      </c>
      <c r="G710">
        <v>41</v>
      </c>
      <c r="H710" s="2">
        <v>44249.922118055554</v>
      </c>
    </row>
    <row r="711" spans="1:8" ht="14.25" customHeight="1" x14ac:dyDescent="0.3">
      <c r="A711">
        <v>1328444</v>
      </c>
      <c r="B711" t="s">
        <v>5321</v>
      </c>
      <c r="C711" s="1" t="s">
        <v>5322</v>
      </c>
      <c r="D711" t="s">
        <v>24</v>
      </c>
      <c r="E711">
        <v>2</v>
      </c>
      <c r="F711">
        <v>2</v>
      </c>
      <c r="G711">
        <v>43</v>
      </c>
      <c r="H711" s="2">
        <v>44249.922256944446</v>
      </c>
    </row>
    <row r="712" spans="1:8" ht="14.25" customHeight="1" x14ac:dyDescent="0.3">
      <c r="A712">
        <v>1329813</v>
      </c>
      <c r="B712" t="e">
        <f>- hallway cafe / e4c internet interuption</f>
        <v>#NAME?</v>
      </c>
      <c r="C712" s="1" t="s">
        <v>5323</v>
      </c>
      <c r="D712" t="s">
        <v>11</v>
      </c>
      <c r="E712">
        <v>3</v>
      </c>
      <c r="F712">
        <v>3</v>
      </c>
      <c r="G712">
        <v>41</v>
      </c>
      <c r="H712" s="2">
        <v>44249.923148148147</v>
      </c>
    </row>
    <row r="713" spans="1:8" ht="14.25" customHeight="1" x14ac:dyDescent="0.3">
      <c r="A713">
        <v>1329060</v>
      </c>
      <c r="B713" t="s">
        <v>5324</v>
      </c>
      <c r="C713" t="s">
        <v>4691</v>
      </c>
      <c r="D713" t="s">
        <v>1158</v>
      </c>
      <c r="E713">
        <v>3</v>
      </c>
      <c r="F713">
        <v>1</v>
      </c>
      <c r="G713">
        <v>43</v>
      </c>
      <c r="H713" s="2">
        <v>44249.923333333332</v>
      </c>
    </row>
    <row r="714" spans="1:8" ht="14.25" customHeight="1" x14ac:dyDescent="0.3">
      <c r="A714">
        <v>1328414</v>
      </c>
      <c r="B714" t="s">
        <v>5325</v>
      </c>
      <c r="C714" s="1" t="s">
        <v>5326</v>
      </c>
      <c r="D714" t="s">
        <v>11</v>
      </c>
      <c r="E714">
        <v>1</v>
      </c>
      <c r="F714">
        <v>1</v>
      </c>
      <c r="G714">
        <v>43</v>
      </c>
      <c r="H714" s="2">
        <v>44249.923483796294</v>
      </c>
    </row>
    <row r="715" spans="1:8" ht="14.25" customHeight="1" x14ac:dyDescent="0.3">
      <c r="A715">
        <v>1333317</v>
      </c>
      <c r="B715" t="s">
        <v>5327</v>
      </c>
      <c r="C715" s="1" t="s">
        <v>5328</v>
      </c>
      <c r="D715" t="s">
        <v>24</v>
      </c>
      <c r="E715">
        <v>1</v>
      </c>
      <c r="F715">
        <v>1</v>
      </c>
      <c r="G715">
        <v>43</v>
      </c>
      <c r="H715" s="2">
        <v>44249.924004629633</v>
      </c>
    </row>
    <row r="716" spans="1:8" ht="14.25" customHeight="1" x14ac:dyDescent="0.3">
      <c r="A716">
        <v>1326643</v>
      </c>
      <c r="B716" t="e">
        <f>- i would like to use acrobat pro dc (already available in my desktop) to edit my...</f>
        <v>#NAME?</v>
      </c>
      <c r="C716" s="1" t="s">
        <v>5329</v>
      </c>
      <c r="D716" t="s">
        <v>24</v>
      </c>
      <c r="E716">
        <v>1</v>
      </c>
      <c r="F716">
        <v>2</v>
      </c>
      <c r="G716">
        <v>41</v>
      </c>
      <c r="H716" s="2">
        <v>44249.92428240741</v>
      </c>
    </row>
    <row r="717" spans="1:8" ht="14.25" customHeight="1" x14ac:dyDescent="0.3">
      <c r="A717">
        <v>1327867</v>
      </c>
      <c r="B717" t="s">
        <v>5330</v>
      </c>
      <c r="C717" s="1" t="s">
        <v>5331</v>
      </c>
      <c r="D717" t="s">
        <v>11</v>
      </c>
      <c r="E717">
        <v>2</v>
      </c>
      <c r="F717">
        <v>2</v>
      </c>
      <c r="G717">
        <v>41</v>
      </c>
      <c r="H717" s="2">
        <v>44249.931354166663</v>
      </c>
    </row>
    <row r="718" spans="1:8" ht="14.25" customHeight="1" x14ac:dyDescent="0.3">
      <c r="A718">
        <v>1342623</v>
      </c>
      <c r="B718" t="s">
        <v>5332</v>
      </c>
      <c r="C718" s="1" t="s">
        <v>5333</v>
      </c>
      <c r="D718" t="s">
        <v>11</v>
      </c>
      <c r="E718">
        <v>2</v>
      </c>
      <c r="F718">
        <v>3</v>
      </c>
      <c r="G718">
        <v>43</v>
      </c>
      <c r="H718" s="2">
        <v>44249.931921296295</v>
      </c>
    </row>
    <row r="719" spans="1:8" ht="14.25" customHeight="1" x14ac:dyDescent="0.3">
      <c r="A719">
        <v>1323365</v>
      </c>
      <c r="B719" t="s">
        <v>5334</v>
      </c>
      <c r="C719" s="1" t="s">
        <v>5335</v>
      </c>
      <c r="D719" t="s">
        <v>11</v>
      </c>
      <c r="E719">
        <v>2</v>
      </c>
      <c r="F719">
        <v>2</v>
      </c>
      <c r="G719">
        <v>41</v>
      </c>
      <c r="H719" s="2">
        <v>44249.932546296295</v>
      </c>
    </row>
    <row r="720" spans="1:8" ht="14.25" customHeight="1" x14ac:dyDescent="0.3">
      <c r="A720">
        <v>1327437</v>
      </c>
      <c r="B720" t="s">
        <v>5336</v>
      </c>
      <c r="C720" s="1" t="s">
        <v>5337</v>
      </c>
      <c r="D720" t="s">
        <v>11</v>
      </c>
      <c r="E720">
        <v>1</v>
      </c>
      <c r="F720">
        <v>3</v>
      </c>
      <c r="G720">
        <v>41</v>
      </c>
      <c r="H720" s="2">
        <v>44249.933587962965</v>
      </c>
    </row>
    <row r="721" spans="1:8" ht="14.25" customHeight="1" x14ac:dyDescent="0.3">
      <c r="A721">
        <v>1326702</v>
      </c>
      <c r="B721" t="e">
        <f>- blue circle - nc-bci-db02\e: drive expansion</f>
        <v>#NAME?</v>
      </c>
      <c r="C721" s="1" t="s">
        <v>5338</v>
      </c>
      <c r="D721" t="s">
        <v>24</v>
      </c>
      <c r="E721">
        <v>3</v>
      </c>
      <c r="F721">
        <v>2</v>
      </c>
      <c r="G721">
        <v>43</v>
      </c>
      <c r="H721" s="2">
        <v>44249.933749999997</v>
      </c>
    </row>
    <row r="722" spans="1:8" ht="14.25" customHeight="1" x14ac:dyDescent="0.3">
      <c r="A722">
        <v>1327362</v>
      </c>
      <c r="B722" t="s">
        <v>5339</v>
      </c>
      <c r="C722" s="1" t="s">
        <v>5340</v>
      </c>
      <c r="D722" t="s">
        <v>11</v>
      </c>
      <c r="E722">
        <v>1</v>
      </c>
      <c r="F722">
        <v>3</v>
      </c>
      <c r="G722">
        <v>41</v>
      </c>
      <c r="H722" s="2">
        <v>44249.933923611112</v>
      </c>
    </row>
    <row r="723" spans="1:8" ht="14.25" customHeight="1" x14ac:dyDescent="0.3">
      <c r="A723">
        <v>1326594</v>
      </c>
      <c r="B723" t="e">
        <f>- nd sms gateway not functional</f>
        <v>#NAME?</v>
      </c>
      <c r="C723" s="1" t="s">
        <v>5341</v>
      </c>
      <c r="D723" t="s">
        <v>24</v>
      </c>
      <c r="E723">
        <v>3</v>
      </c>
      <c r="F723">
        <v>2</v>
      </c>
      <c r="G723">
        <v>41</v>
      </c>
      <c r="H723" s="2">
        <v>44249.934282407405</v>
      </c>
    </row>
    <row r="724" spans="1:8" ht="14.25" customHeight="1" x14ac:dyDescent="0.3">
      <c r="A724">
        <v>1325878</v>
      </c>
      <c r="B724" t="e">
        <f>- unable to access calgary and nextcloud subnets through the forticlient vpn</f>
        <v>#NAME?</v>
      </c>
      <c r="C724" s="1" t="s">
        <v>5342</v>
      </c>
      <c r="D724" t="s">
        <v>24</v>
      </c>
      <c r="E724">
        <v>1</v>
      </c>
      <c r="F724">
        <v>2</v>
      </c>
      <c r="G724">
        <v>41</v>
      </c>
      <c r="H724" s="2">
        <v>44249.934664351851</v>
      </c>
    </row>
    <row r="725" spans="1:8" ht="14.25" customHeight="1" x14ac:dyDescent="0.3">
      <c r="A725">
        <v>1331349</v>
      </c>
      <c r="B725" t="s">
        <v>5343</v>
      </c>
      <c r="C725" t="s">
        <v>5344</v>
      </c>
      <c r="D725" t="s">
        <v>11</v>
      </c>
      <c r="E725">
        <v>1</v>
      </c>
      <c r="F725">
        <v>2</v>
      </c>
      <c r="G725">
        <v>41</v>
      </c>
      <c r="H725" s="2">
        <v>44249.934733796297</v>
      </c>
    </row>
    <row r="726" spans="1:8" ht="14.25" customHeight="1" x14ac:dyDescent="0.3">
      <c r="A726">
        <v>1322203</v>
      </c>
      <c r="B726" t="s">
        <v>5345</v>
      </c>
      <c r="C726" s="1" t="s">
        <v>5346</v>
      </c>
      <c r="D726" t="s">
        <v>11</v>
      </c>
      <c r="E726">
        <v>3</v>
      </c>
      <c r="F726">
        <v>3</v>
      </c>
      <c r="G726">
        <v>41</v>
      </c>
      <c r="H726" s="2">
        <v>44249.934953703705</v>
      </c>
    </row>
    <row r="727" spans="1:8" ht="14.25" customHeight="1" x14ac:dyDescent="0.3">
      <c r="A727">
        <v>1329563</v>
      </c>
      <c r="B727" t="s">
        <v>5347</v>
      </c>
      <c r="C727" s="1" t="s">
        <v>5348</v>
      </c>
      <c r="D727" t="s">
        <v>11</v>
      </c>
      <c r="E727">
        <v>1</v>
      </c>
      <c r="F727">
        <v>2</v>
      </c>
      <c r="G727">
        <v>41</v>
      </c>
      <c r="H727" s="2">
        <v>44249.936226851853</v>
      </c>
    </row>
    <row r="728" spans="1:8" ht="14.25" customHeight="1" x14ac:dyDescent="0.3">
      <c r="A728">
        <v>1322781</v>
      </c>
      <c r="B728" t="e">
        <f>- servers</f>
        <v>#NAME?</v>
      </c>
      <c r="C728" s="1" t="s">
        <v>5349</v>
      </c>
      <c r="D728" t="s">
        <v>24</v>
      </c>
      <c r="E728">
        <v>3</v>
      </c>
      <c r="F728">
        <v>3</v>
      </c>
      <c r="G728">
        <v>41</v>
      </c>
      <c r="H728" s="2">
        <v>44249.936527777776</v>
      </c>
    </row>
    <row r="729" spans="1:8" ht="14.25" customHeight="1" x14ac:dyDescent="0.3">
      <c r="A729">
        <v>1329693</v>
      </c>
      <c r="B729" t="s">
        <v>5350</v>
      </c>
      <c r="C729" s="1" t="s">
        <v>5351</v>
      </c>
      <c r="D729" t="s">
        <v>11</v>
      </c>
      <c r="E729">
        <v>2</v>
      </c>
      <c r="F729">
        <v>3</v>
      </c>
      <c r="G729">
        <v>41</v>
      </c>
      <c r="H729" s="2">
        <v>44249.936643518522</v>
      </c>
    </row>
    <row r="730" spans="1:8" ht="14.25" customHeight="1" x14ac:dyDescent="0.3">
      <c r="A730">
        <v>1326001</v>
      </c>
      <c r="B730" t="s">
        <v>5352</v>
      </c>
      <c r="C730" s="1" t="s">
        <v>5353</v>
      </c>
      <c r="D730" t="s">
        <v>11</v>
      </c>
      <c r="E730">
        <v>2</v>
      </c>
      <c r="F730">
        <v>2</v>
      </c>
      <c r="G730">
        <v>41</v>
      </c>
      <c r="H730" s="2">
        <v>44249.938206018516</v>
      </c>
    </row>
    <row r="731" spans="1:8" ht="14.25" customHeight="1" x14ac:dyDescent="0.3">
      <c r="A731">
        <v>1321558</v>
      </c>
      <c r="B731" t="e">
        <f>- expand e drive on nc-apg-BE1</f>
        <v>#NAME?</v>
      </c>
      <c r="C731" s="1" t="s">
        <v>5354</v>
      </c>
      <c r="D731" t="s">
        <v>24</v>
      </c>
      <c r="E731">
        <v>3</v>
      </c>
      <c r="F731">
        <v>2</v>
      </c>
      <c r="G731">
        <v>43</v>
      </c>
      <c r="H731" s="2">
        <v>44249.939756944441</v>
      </c>
    </row>
    <row r="732" spans="1:8" ht="14.25" customHeight="1" x14ac:dyDescent="0.3">
      <c r="A732">
        <v>1321470</v>
      </c>
      <c r="B732" t="s">
        <v>5355</v>
      </c>
      <c r="C732" s="1" t="s">
        <v>5356</v>
      </c>
      <c r="D732" t="s">
        <v>11</v>
      </c>
      <c r="E732">
        <v>1</v>
      </c>
      <c r="F732">
        <v>2</v>
      </c>
      <c r="G732">
        <v>41</v>
      </c>
      <c r="H732" s="2">
        <v>44249.949247685188</v>
      </c>
    </row>
    <row r="733" spans="1:8" ht="14.25" customHeight="1" x14ac:dyDescent="0.3">
      <c r="A733">
        <v>1330923</v>
      </c>
      <c r="B733" t="s">
        <v>5357</v>
      </c>
      <c r="C733" s="1" t="s">
        <v>5358</v>
      </c>
      <c r="D733" t="s">
        <v>24</v>
      </c>
      <c r="E733">
        <v>3</v>
      </c>
      <c r="F733">
        <v>2</v>
      </c>
      <c r="G733">
        <v>36</v>
      </c>
      <c r="H733" s="2">
        <v>44249.951782407406</v>
      </c>
    </row>
    <row r="734" spans="1:8" ht="14.25" customHeight="1" x14ac:dyDescent="0.3">
      <c r="A734">
        <v>1321406</v>
      </c>
      <c r="B734" t="e">
        <f>- mitel softphone access to mantralogix</f>
        <v>#NAME?</v>
      </c>
      <c r="C734" s="1" t="s">
        <v>5359</v>
      </c>
      <c r="D734" t="s">
        <v>24</v>
      </c>
      <c r="E734">
        <v>1</v>
      </c>
      <c r="F734">
        <v>2</v>
      </c>
      <c r="G734">
        <v>43</v>
      </c>
      <c r="H734" s="2">
        <v>44249.95516203704</v>
      </c>
    </row>
    <row r="735" spans="1:8" ht="14.25" customHeight="1" x14ac:dyDescent="0.3">
      <c r="A735">
        <v>1324077</v>
      </c>
      <c r="B735" t="s">
        <v>5360</v>
      </c>
      <c r="C735" s="1" t="s">
        <v>5361</v>
      </c>
      <c r="D735" t="s">
        <v>24</v>
      </c>
      <c r="E735">
        <v>3</v>
      </c>
      <c r="F735">
        <v>2</v>
      </c>
      <c r="G735">
        <v>41</v>
      </c>
      <c r="H735" s="2">
        <v>44249.955891203703</v>
      </c>
    </row>
    <row r="736" spans="1:8" ht="14.25" customHeight="1" x14ac:dyDescent="0.3">
      <c r="A736">
        <v>1321321</v>
      </c>
      <c r="B736" t="s">
        <v>5362</v>
      </c>
      <c r="C736" s="1" t="s">
        <v>5363</v>
      </c>
      <c r="D736" t="s">
        <v>11</v>
      </c>
      <c r="E736">
        <v>3</v>
      </c>
      <c r="F736">
        <v>2</v>
      </c>
      <c r="G736">
        <v>43</v>
      </c>
      <c r="H736" s="2">
        <v>44249.956585648149</v>
      </c>
    </row>
    <row r="737" spans="1:8" ht="14.25" customHeight="1" x14ac:dyDescent="0.3">
      <c r="A737">
        <v>1319204</v>
      </c>
      <c r="B737" t="e">
        <f>- rds mime type issues</f>
        <v>#NAME?</v>
      </c>
      <c r="C737" s="1" t="s">
        <v>5364</v>
      </c>
      <c r="D737" t="s">
        <v>11</v>
      </c>
      <c r="E737">
        <v>1</v>
      </c>
      <c r="F737">
        <v>2</v>
      </c>
      <c r="G737">
        <v>41</v>
      </c>
      <c r="H737" s="2">
        <v>44249.959814814814</v>
      </c>
    </row>
    <row r="738" spans="1:8" ht="14.25" customHeight="1" x14ac:dyDescent="0.3">
      <c r="A738">
        <v>1325863</v>
      </c>
      <c r="B738" t="e">
        <f>- sage update</f>
        <v>#NAME?</v>
      </c>
      <c r="C738" s="1" t="s">
        <v>5365</v>
      </c>
      <c r="D738" t="s">
        <v>11</v>
      </c>
      <c r="E738">
        <v>2</v>
      </c>
      <c r="F738">
        <v>2</v>
      </c>
      <c r="G738">
        <v>43</v>
      </c>
      <c r="H738" s="2">
        <v>44249.960636574076</v>
      </c>
    </row>
    <row r="739" spans="1:8" ht="14.25" customHeight="1" x14ac:dyDescent="0.3">
      <c r="A739">
        <v>1328379</v>
      </c>
      <c r="B739" t="s">
        <v>5366</v>
      </c>
      <c r="C739" s="1" t="s">
        <v>5367</v>
      </c>
      <c r="D739" t="s">
        <v>24</v>
      </c>
      <c r="E739">
        <v>2</v>
      </c>
      <c r="F739">
        <v>2</v>
      </c>
      <c r="G739">
        <v>41</v>
      </c>
      <c r="H739" s="2">
        <v>44249.962800925925</v>
      </c>
    </row>
    <row r="740" spans="1:8" ht="14.25" customHeight="1" x14ac:dyDescent="0.3">
      <c r="A740">
        <v>1321506</v>
      </c>
      <c r="B740" t="s">
        <v>5368</v>
      </c>
      <c r="C740" s="1" t="s">
        <v>5369</v>
      </c>
      <c r="D740" t="s">
        <v>24</v>
      </c>
      <c r="E740">
        <v>2</v>
      </c>
      <c r="F740">
        <v>2</v>
      </c>
      <c r="G740">
        <v>41</v>
      </c>
      <c r="H740" s="2">
        <v>44249.963043981479</v>
      </c>
    </row>
    <row r="741" spans="1:8" ht="14.25" customHeight="1" x14ac:dyDescent="0.3">
      <c r="A741">
        <v>1318469</v>
      </c>
      <c r="B741" t="e">
        <f>- ad password expiry</f>
        <v>#NAME?</v>
      </c>
      <c r="C741" s="1" t="s">
        <v>5370</v>
      </c>
      <c r="D741" t="s">
        <v>11</v>
      </c>
      <c r="E741">
        <v>3</v>
      </c>
      <c r="F741">
        <v>1</v>
      </c>
      <c r="G741">
        <v>43</v>
      </c>
      <c r="H741" s="2">
        <v>44249.963275462964</v>
      </c>
    </row>
    <row r="742" spans="1:8" ht="14.25" customHeight="1" x14ac:dyDescent="0.3">
      <c r="A742">
        <v>1326479</v>
      </c>
      <c r="B742" t="s">
        <v>5371</v>
      </c>
      <c r="C742" s="1" t="s">
        <v>5372</v>
      </c>
      <c r="D742" t="s">
        <v>11</v>
      </c>
      <c r="E742">
        <v>3</v>
      </c>
      <c r="F742">
        <v>2</v>
      </c>
      <c r="G742">
        <v>41</v>
      </c>
      <c r="H742" s="2">
        <v>44249.96398148148</v>
      </c>
    </row>
    <row r="743" spans="1:8" ht="14.25" customHeight="1" x14ac:dyDescent="0.3">
      <c r="A743">
        <v>1332785</v>
      </c>
      <c r="B743" t="s">
        <v>5373</v>
      </c>
      <c r="C743" s="1" t="s">
        <v>5374</v>
      </c>
      <c r="D743" t="s">
        <v>11</v>
      </c>
      <c r="E743">
        <v>1</v>
      </c>
      <c r="F743">
        <v>3</v>
      </c>
      <c r="G743">
        <v>41</v>
      </c>
      <c r="H743" s="2">
        <v>44249.964259259257</v>
      </c>
    </row>
    <row r="744" spans="1:8" ht="14.25" customHeight="1" x14ac:dyDescent="0.3">
      <c r="A744">
        <v>1323570</v>
      </c>
      <c r="B744" t="s">
        <v>5375</v>
      </c>
      <c r="C744" s="1" t="s">
        <v>5376</v>
      </c>
      <c r="D744" t="s">
        <v>11</v>
      </c>
      <c r="E744">
        <v>3</v>
      </c>
      <c r="F744">
        <v>3</v>
      </c>
      <c r="G744">
        <v>43</v>
      </c>
      <c r="H744" s="2">
        <v>44249.964999999997</v>
      </c>
    </row>
    <row r="745" spans="1:8" ht="14.25" customHeight="1" x14ac:dyDescent="0.3">
      <c r="A745">
        <v>1326518</v>
      </c>
      <c r="B745" t="e">
        <f>- need recovery of document folder from back up of my server. folder last used...</f>
        <v>#NAME?</v>
      </c>
      <c r="C745" s="1" t="s">
        <v>5377</v>
      </c>
      <c r="D745" t="s">
        <v>24</v>
      </c>
      <c r="E745">
        <v>1</v>
      </c>
      <c r="F745">
        <v>2</v>
      </c>
      <c r="G745">
        <v>41</v>
      </c>
      <c r="H745" s="2">
        <v>44249.965300925927</v>
      </c>
    </row>
    <row r="746" spans="1:8" ht="14.25" customHeight="1" x14ac:dyDescent="0.3">
      <c r="A746">
        <v>1321440</v>
      </c>
      <c r="B746" t="e">
        <f>- d ramsey system hack</f>
        <v>#NAME?</v>
      </c>
      <c r="C746" s="1" t="s">
        <v>5378</v>
      </c>
      <c r="D746" t="s">
        <v>24</v>
      </c>
      <c r="E746">
        <v>1</v>
      </c>
      <c r="F746">
        <v>3</v>
      </c>
      <c r="G746">
        <v>41</v>
      </c>
      <c r="H746" s="2">
        <v>44249.966874999998</v>
      </c>
    </row>
    <row r="747" spans="1:8" ht="14.25" customHeight="1" x14ac:dyDescent="0.3">
      <c r="A747">
        <v>1317828</v>
      </c>
      <c r="B747" t="s">
        <v>5379</v>
      </c>
      <c r="C747" s="1" t="s">
        <v>5380</v>
      </c>
      <c r="D747" t="s">
        <v>11</v>
      </c>
      <c r="E747">
        <v>1</v>
      </c>
      <c r="F747">
        <v>2</v>
      </c>
      <c r="G747">
        <v>41</v>
      </c>
      <c r="H747" s="2">
        <v>44249.967430555553</v>
      </c>
    </row>
    <row r="748" spans="1:8" ht="14.25" customHeight="1" x14ac:dyDescent="0.3">
      <c r="A748">
        <v>1322766</v>
      </c>
      <c r="B748" t="s">
        <v>5381</v>
      </c>
      <c r="C748" s="1" t="s">
        <v>5382</v>
      </c>
      <c r="D748" t="s">
        <v>24</v>
      </c>
      <c r="E748">
        <v>1</v>
      </c>
      <c r="F748">
        <v>3</v>
      </c>
      <c r="G748">
        <v>41</v>
      </c>
      <c r="H748" s="2">
        <v>44249.967719907407</v>
      </c>
    </row>
    <row r="749" spans="1:8" ht="14.25" customHeight="1" x14ac:dyDescent="0.3">
      <c r="A749">
        <v>1321459</v>
      </c>
      <c r="B749" t="e">
        <f>- access to view site visit schedule for ss team leads</f>
        <v>#NAME?</v>
      </c>
      <c r="C749" s="1" t="s">
        <v>5383</v>
      </c>
      <c r="D749" t="s">
        <v>24</v>
      </c>
      <c r="E749">
        <v>1</v>
      </c>
      <c r="F749">
        <v>2</v>
      </c>
      <c r="G749">
        <v>43</v>
      </c>
      <c r="H749" s="2">
        <v>44249.967800925922</v>
      </c>
    </row>
    <row r="750" spans="1:8" ht="14.25" customHeight="1" x14ac:dyDescent="0.3">
      <c r="A750">
        <v>1322237</v>
      </c>
      <c r="B750" t="e">
        <f>- email issues</f>
        <v>#NAME?</v>
      </c>
      <c r="C750" s="1" t="s">
        <v>5384</v>
      </c>
      <c r="D750" t="s">
        <v>11</v>
      </c>
      <c r="E750">
        <v>1</v>
      </c>
      <c r="F750">
        <v>2</v>
      </c>
      <c r="G750">
        <v>41</v>
      </c>
      <c r="H750" s="2">
        <v>44249.968217592592</v>
      </c>
    </row>
    <row r="751" spans="1:8" ht="14.25" customHeight="1" x14ac:dyDescent="0.3">
      <c r="A751">
        <v>1319842</v>
      </c>
      <c r="B751" t="s">
        <v>5385</v>
      </c>
      <c r="C751" s="1" t="s">
        <v>5386</v>
      </c>
      <c r="D751" t="s">
        <v>11</v>
      </c>
      <c r="E751">
        <v>2</v>
      </c>
      <c r="F751">
        <v>2</v>
      </c>
      <c r="G751">
        <v>41</v>
      </c>
      <c r="H751" s="2">
        <v>44249.968229166669</v>
      </c>
    </row>
    <row r="752" spans="1:8" ht="14.25" customHeight="1" x14ac:dyDescent="0.3">
      <c r="A752">
        <v>1317872</v>
      </c>
      <c r="B752" t="e">
        <f>- somewebsites are blocked</f>
        <v>#NAME?</v>
      </c>
      <c r="C752" s="1" t="s">
        <v>5387</v>
      </c>
      <c r="D752" t="s">
        <v>24</v>
      </c>
      <c r="E752">
        <v>1</v>
      </c>
      <c r="F752">
        <v>2</v>
      </c>
      <c r="G752">
        <v>41</v>
      </c>
      <c r="H752" s="2">
        <v>44249.968923611108</v>
      </c>
    </row>
    <row r="753" spans="1:8" ht="14.25" customHeight="1" x14ac:dyDescent="0.3">
      <c r="A753">
        <v>1322790</v>
      </c>
      <c r="B753" t="s">
        <v>5388</v>
      </c>
      <c r="C753" s="1" t="s">
        <v>5389</v>
      </c>
      <c r="D753" t="s">
        <v>11</v>
      </c>
      <c r="E753">
        <v>3</v>
      </c>
      <c r="F753">
        <v>2</v>
      </c>
      <c r="G753">
        <v>43</v>
      </c>
      <c r="H753" s="2">
        <v>44249.970023148147</v>
      </c>
    </row>
    <row r="754" spans="1:8" ht="14.25" customHeight="1" x14ac:dyDescent="0.3">
      <c r="A754">
        <v>1333280</v>
      </c>
      <c r="B754" t="s">
        <v>5390</v>
      </c>
      <c r="C754" t="s">
        <v>5391</v>
      </c>
      <c r="D754" t="s">
        <v>11</v>
      </c>
      <c r="E754">
        <v>2</v>
      </c>
      <c r="F754">
        <v>3</v>
      </c>
      <c r="G754">
        <v>41</v>
      </c>
      <c r="H754" s="2">
        <v>44249.970254629632</v>
      </c>
    </row>
    <row r="755" spans="1:8" ht="14.25" customHeight="1" x14ac:dyDescent="0.3">
      <c r="A755">
        <v>1319089</v>
      </c>
      <c r="B755" t="e">
        <f>- permissions change for q:\bistrnf</f>
        <v>#NAME?</v>
      </c>
      <c r="C755" s="1" t="s">
        <v>5392</v>
      </c>
      <c r="D755" t="s">
        <v>24</v>
      </c>
      <c r="E755">
        <v>2</v>
      </c>
      <c r="F755">
        <v>2</v>
      </c>
      <c r="G755">
        <v>43</v>
      </c>
      <c r="H755" s="2">
        <v>44249.970532407409</v>
      </c>
    </row>
    <row r="756" spans="1:8" ht="14.25" customHeight="1" x14ac:dyDescent="0.3">
      <c r="A756">
        <v>1323374</v>
      </c>
      <c r="B756" t="s">
        <v>5393</v>
      </c>
      <c r="C756" s="1" t="s">
        <v>5394</v>
      </c>
      <c r="D756" t="s">
        <v>11</v>
      </c>
      <c r="E756">
        <v>1</v>
      </c>
      <c r="F756">
        <v>2</v>
      </c>
      <c r="G756">
        <v>41</v>
      </c>
      <c r="H756" s="2">
        <v>44249.973668981482</v>
      </c>
    </row>
    <row r="757" spans="1:8" ht="14.25" customHeight="1" x14ac:dyDescent="0.3">
      <c r="A757">
        <v>1317104</v>
      </c>
      <c r="B757" t="s">
        <v>5395</v>
      </c>
      <c r="C757" s="1" t="s">
        <v>5396</v>
      </c>
      <c r="D757" t="s">
        <v>24</v>
      </c>
      <c r="E757">
        <v>2</v>
      </c>
      <c r="F757">
        <v>2</v>
      </c>
      <c r="G757">
        <v>41</v>
      </c>
      <c r="H757" s="2">
        <v>44249.974942129629</v>
      </c>
    </row>
    <row r="758" spans="1:8" ht="14.25" customHeight="1" x14ac:dyDescent="0.3">
      <c r="A758">
        <v>1314904</v>
      </c>
      <c r="B758" t="s">
        <v>5397</v>
      </c>
      <c r="C758" s="1" t="s">
        <v>5398</v>
      </c>
      <c r="D758" t="s">
        <v>11</v>
      </c>
      <c r="E758">
        <v>2</v>
      </c>
      <c r="F758">
        <v>2</v>
      </c>
      <c r="G758">
        <v>41</v>
      </c>
      <c r="H758" s="2">
        <v>44249.975243055553</v>
      </c>
    </row>
    <row r="759" spans="1:8" ht="14.25" customHeight="1" x14ac:dyDescent="0.3">
      <c r="A759">
        <v>1341270</v>
      </c>
      <c r="B759" t="s">
        <v>5399</v>
      </c>
      <c r="C759" s="1" t="s">
        <v>5400</v>
      </c>
      <c r="D759" t="s">
        <v>11</v>
      </c>
      <c r="E759">
        <v>2</v>
      </c>
      <c r="F759">
        <v>2</v>
      </c>
      <c r="G759">
        <v>43</v>
      </c>
      <c r="H759" s="2">
        <v>44249.97550925926</v>
      </c>
    </row>
    <row r="760" spans="1:8" ht="14.25" customHeight="1" x14ac:dyDescent="0.3">
      <c r="A760">
        <v>1315080</v>
      </c>
      <c r="B760" t="e">
        <f>- new folder required on n:\special projects called cssbp hr project</f>
        <v>#NAME?</v>
      </c>
      <c r="C760" s="1" t="s">
        <v>5401</v>
      </c>
      <c r="D760" t="s">
        <v>24</v>
      </c>
      <c r="E760">
        <v>2</v>
      </c>
      <c r="F760">
        <v>2</v>
      </c>
      <c r="G760">
        <v>43</v>
      </c>
      <c r="H760" s="2">
        <v>44249.975949074076</v>
      </c>
    </row>
    <row r="761" spans="1:8" ht="14.25" customHeight="1" x14ac:dyDescent="0.3">
      <c r="A761">
        <v>1327705</v>
      </c>
      <c r="B761" t="e">
        <f>- adobe flash</f>
        <v>#NAME?</v>
      </c>
      <c r="C761" s="1" t="s">
        <v>5402</v>
      </c>
      <c r="D761" t="s">
        <v>24</v>
      </c>
      <c r="E761">
        <v>1</v>
      </c>
      <c r="F761">
        <v>3</v>
      </c>
      <c r="G761">
        <v>41</v>
      </c>
      <c r="H761" s="2">
        <v>44249.976134259261</v>
      </c>
    </row>
    <row r="762" spans="1:8" ht="14.25" customHeight="1" x14ac:dyDescent="0.3">
      <c r="A762">
        <v>1315501</v>
      </c>
      <c r="B762" t="s">
        <v>5403</v>
      </c>
      <c r="C762" s="1" t="s">
        <v>5404</v>
      </c>
      <c r="D762" t="s">
        <v>24</v>
      </c>
      <c r="E762">
        <v>2</v>
      </c>
      <c r="F762">
        <v>2</v>
      </c>
      <c r="G762">
        <v>41</v>
      </c>
      <c r="H762" s="2">
        <v>44249.977650462963</v>
      </c>
    </row>
    <row r="763" spans="1:8" ht="14.25" customHeight="1" x14ac:dyDescent="0.3">
      <c r="A763">
        <v>1317892</v>
      </c>
      <c r="B763" t="s">
        <v>5405</v>
      </c>
      <c r="C763" t="s">
        <v>5406</v>
      </c>
      <c r="D763" t="s">
        <v>11</v>
      </c>
      <c r="E763">
        <v>1</v>
      </c>
      <c r="F763">
        <v>2</v>
      </c>
      <c r="G763">
        <v>43</v>
      </c>
      <c r="H763" s="2">
        <v>44249.980185185188</v>
      </c>
    </row>
    <row r="764" spans="1:8" ht="14.25" customHeight="1" x14ac:dyDescent="0.3">
      <c r="A764">
        <v>1313772</v>
      </c>
      <c r="B764" t="e">
        <f>- aatrix software</f>
        <v>#NAME?</v>
      </c>
      <c r="C764" s="1" t="s">
        <v>5407</v>
      </c>
      <c r="D764" t="s">
        <v>11</v>
      </c>
      <c r="E764">
        <v>2</v>
      </c>
      <c r="F764">
        <v>2</v>
      </c>
      <c r="G764">
        <v>41</v>
      </c>
      <c r="H764" s="2">
        <v>44249.980381944442</v>
      </c>
    </row>
    <row r="765" spans="1:8" ht="14.25" customHeight="1" x14ac:dyDescent="0.3">
      <c r="A765">
        <v>1317765</v>
      </c>
      <c r="B765" t="s">
        <v>5408</v>
      </c>
      <c r="C765" s="1" t="s">
        <v>5409</v>
      </c>
      <c r="D765" t="s">
        <v>24</v>
      </c>
      <c r="E765">
        <v>1</v>
      </c>
      <c r="F765">
        <v>2</v>
      </c>
      <c r="G765">
        <v>41</v>
      </c>
      <c r="H765" s="2">
        <v>44249.986597222225</v>
      </c>
    </row>
    <row r="766" spans="1:8" ht="14.25" customHeight="1" x14ac:dyDescent="0.3">
      <c r="A766">
        <v>1317721</v>
      </c>
      <c r="B766" t="e">
        <f>- local printer not available on cloud -suspect thinprint issue</f>
        <v>#NAME?</v>
      </c>
      <c r="C766" s="1" t="s">
        <v>5410</v>
      </c>
      <c r="D766" t="s">
        <v>11</v>
      </c>
      <c r="E766">
        <v>1</v>
      </c>
      <c r="F766">
        <v>2</v>
      </c>
      <c r="G766">
        <v>41</v>
      </c>
      <c r="H766" s="2">
        <v>44249.994201388887</v>
      </c>
    </row>
    <row r="767" spans="1:8" ht="14.25" customHeight="1" x14ac:dyDescent="0.3">
      <c r="A767">
        <v>1317748</v>
      </c>
      <c r="B767" t="s">
        <v>5411</v>
      </c>
      <c r="C767" s="1" t="s">
        <v>5412</v>
      </c>
      <c r="D767" t="s">
        <v>11</v>
      </c>
      <c r="E767">
        <v>1</v>
      </c>
      <c r="F767">
        <v>2</v>
      </c>
      <c r="G767">
        <v>41</v>
      </c>
      <c r="H767" s="2">
        <v>44249.998032407406</v>
      </c>
    </row>
    <row r="768" spans="1:8" ht="14.25" customHeight="1" x14ac:dyDescent="0.3">
      <c r="A768">
        <v>1314983</v>
      </c>
      <c r="B768" t="s">
        <v>5413</v>
      </c>
      <c r="C768" s="1" t="s">
        <v>5414</v>
      </c>
      <c r="D768" t="s">
        <v>11</v>
      </c>
      <c r="E768">
        <v>3</v>
      </c>
      <c r="F768">
        <v>2</v>
      </c>
      <c r="G768">
        <v>41</v>
      </c>
      <c r="H768" s="2">
        <v>44249.998703703706</v>
      </c>
    </row>
    <row r="769" spans="1:8" ht="14.25" customHeight="1" x14ac:dyDescent="0.3">
      <c r="A769">
        <v>1314912</v>
      </c>
      <c r="B769" t="e">
        <f>- alberta pulse growers commission - expand e: drive</f>
        <v>#NAME?</v>
      </c>
      <c r="C769" s="1" t="s">
        <v>5415</v>
      </c>
      <c r="D769" t="s">
        <v>24</v>
      </c>
      <c r="E769">
        <v>3</v>
      </c>
      <c r="F769">
        <v>2</v>
      </c>
      <c r="G769">
        <v>43</v>
      </c>
      <c r="H769" s="2">
        <v>44249.998923611114</v>
      </c>
    </row>
    <row r="770" spans="1:8" ht="14.25" customHeight="1" x14ac:dyDescent="0.3">
      <c r="A770">
        <v>1315487</v>
      </c>
      <c r="B770" t="s">
        <v>5416</v>
      </c>
      <c r="C770" s="1" t="s">
        <v>5417</v>
      </c>
      <c r="D770" t="s">
        <v>24</v>
      </c>
      <c r="E770">
        <v>3</v>
      </c>
      <c r="F770">
        <v>2</v>
      </c>
      <c r="G770">
        <v>41</v>
      </c>
      <c r="H770" s="2">
        <v>44250.017418981479</v>
      </c>
    </row>
    <row r="771" spans="1:8" ht="14.25" customHeight="1" x14ac:dyDescent="0.3">
      <c r="A771">
        <v>1317680</v>
      </c>
      <c r="B771" t="e">
        <f>- web site content blocked</f>
        <v>#NAME?</v>
      </c>
      <c r="C771" s="1" t="s">
        <v>5418</v>
      </c>
      <c r="D771" t="s">
        <v>24</v>
      </c>
      <c r="E771">
        <v>1</v>
      </c>
      <c r="F771">
        <v>3</v>
      </c>
      <c r="G771">
        <v>41</v>
      </c>
      <c r="H771" s="2">
        <v>44250.017743055556</v>
      </c>
    </row>
    <row r="772" spans="1:8" ht="14.25" customHeight="1" x14ac:dyDescent="0.3">
      <c r="A772">
        <v>1317087</v>
      </c>
      <c r="B772" t="s">
        <v>5419</v>
      </c>
      <c r="C772" s="1" t="s">
        <v>5420</v>
      </c>
      <c r="D772" t="s">
        <v>11</v>
      </c>
      <c r="E772">
        <v>1</v>
      </c>
      <c r="F772">
        <v>1</v>
      </c>
      <c r="G772">
        <v>43</v>
      </c>
      <c r="H772" s="2">
        <v>44250.018009259256</v>
      </c>
    </row>
    <row r="773" spans="1:8" ht="14.25" customHeight="1" x14ac:dyDescent="0.3">
      <c r="A773">
        <v>1314899</v>
      </c>
      <c r="B773" t="s">
        <v>5421</v>
      </c>
      <c r="C773" s="1" t="s">
        <v>5422</v>
      </c>
      <c r="D773" t="s">
        <v>11</v>
      </c>
      <c r="E773">
        <v>1</v>
      </c>
      <c r="F773">
        <v>2</v>
      </c>
      <c r="G773">
        <v>41</v>
      </c>
      <c r="H773" s="2">
        <v>44250.018414351849</v>
      </c>
    </row>
    <row r="774" spans="1:8" ht="14.25" customHeight="1" x14ac:dyDescent="0.3">
      <c r="A774">
        <v>1314917</v>
      </c>
      <c r="B774" t="e">
        <f>- accidently deleted a folder</f>
        <v>#NAME?</v>
      </c>
      <c r="C774" s="1" t="s">
        <v>5423</v>
      </c>
      <c r="D774" t="s">
        <v>24</v>
      </c>
      <c r="E774">
        <v>2</v>
      </c>
      <c r="F774">
        <v>2</v>
      </c>
      <c r="G774">
        <v>41</v>
      </c>
      <c r="H774" s="2">
        <v>44250.018611111111</v>
      </c>
    </row>
    <row r="775" spans="1:8" ht="14.25" customHeight="1" x14ac:dyDescent="0.3">
      <c r="A775">
        <v>1317375</v>
      </c>
      <c r="B775" t="e">
        <f>- fw: w drive</f>
        <v>#NAME?</v>
      </c>
      <c r="C775" s="1" t="s">
        <v>5424</v>
      </c>
      <c r="D775" t="s">
        <v>11</v>
      </c>
      <c r="E775">
        <v>2</v>
      </c>
      <c r="F775">
        <v>1</v>
      </c>
      <c r="G775">
        <v>43</v>
      </c>
      <c r="H775" s="2">
        <v>44250.020335648151</v>
      </c>
    </row>
    <row r="776" spans="1:8" ht="14.25" customHeight="1" x14ac:dyDescent="0.3">
      <c r="A776">
        <v>1315608</v>
      </c>
      <c r="B776" t="s">
        <v>5425</v>
      </c>
      <c r="C776" s="1" t="s">
        <v>5426</v>
      </c>
      <c r="D776" t="s">
        <v>11</v>
      </c>
      <c r="E776">
        <v>2</v>
      </c>
      <c r="F776">
        <v>2</v>
      </c>
      <c r="G776">
        <v>43</v>
      </c>
      <c r="H776" s="2">
        <v>44250.020613425928</v>
      </c>
    </row>
    <row r="777" spans="1:8" ht="14.25" customHeight="1" x14ac:dyDescent="0.3">
      <c r="A777">
        <v>1317821</v>
      </c>
      <c r="B777" t="s">
        <v>5427</v>
      </c>
      <c r="C777" s="1" t="s">
        <v>5428</v>
      </c>
      <c r="D777" t="s">
        <v>11</v>
      </c>
      <c r="E777">
        <v>2</v>
      </c>
      <c r="F777">
        <v>2</v>
      </c>
      <c r="G777">
        <v>41</v>
      </c>
      <c r="H777" s="2">
        <v>44250.021608796298</v>
      </c>
    </row>
    <row r="778" spans="1:8" ht="14.25" customHeight="1" x14ac:dyDescent="0.3">
      <c r="A778">
        <v>1315556</v>
      </c>
      <c r="B778" t="s">
        <v>5429</v>
      </c>
      <c r="C778" s="1" t="s">
        <v>5430</v>
      </c>
      <c r="D778" t="s">
        <v>11</v>
      </c>
      <c r="E778">
        <v>2</v>
      </c>
      <c r="F778">
        <v>2</v>
      </c>
      <c r="G778">
        <v>41</v>
      </c>
      <c r="H778" s="2">
        <v>44250.022615740738</v>
      </c>
    </row>
    <row r="779" spans="1:8" ht="14.25" customHeight="1" x14ac:dyDescent="0.3">
      <c r="A779">
        <v>1314948</v>
      </c>
      <c r="B779" t="s">
        <v>5431</v>
      </c>
      <c r="C779" s="1" t="s">
        <v>5432</v>
      </c>
      <c r="D779" t="s">
        <v>11</v>
      </c>
      <c r="E779">
        <v>2</v>
      </c>
      <c r="F779">
        <v>2</v>
      </c>
      <c r="G779">
        <v>41</v>
      </c>
      <c r="H779" s="2">
        <v>44250.022870370369</v>
      </c>
    </row>
    <row r="780" spans="1:8" ht="14.25" customHeight="1" x14ac:dyDescent="0.3">
      <c r="A780">
        <v>1317867</v>
      </c>
      <c r="B780" t="s">
        <v>5433</v>
      </c>
      <c r="C780" s="1" t="s">
        <v>5434</v>
      </c>
      <c r="D780" t="s">
        <v>11</v>
      </c>
      <c r="E780">
        <v>1</v>
      </c>
      <c r="F780">
        <v>2</v>
      </c>
      <c r="G780">
        <v>41</v>
      </c>
      <c r="H780" s="2">
        <v>44250.023032407407</v>
      </c>
    </row>
    <row r="781" spans="1:8" ht="14.25" customHeight="1" x14ac:dyDescent="0.3">
      <c r="A781">
        <v>1314319</v>
      </c>
      <c r="B781" t="e">
        <f>- client: joseph a. nagy professional corporation - server \\nc-dske-BE1  drive g...</f>
        <v>#NAME?</v>
      </c>
      <c r="C781" s="1" t="s">
        <v>5435</v>
      </c>
      <c r="D781" t="s">
        <v>24</v>
      </c>
      <c r="E781">
        <v>3</v>
      </c>
      <c r="F781">
        <v>2</v>
      </c>
      <c r="G781">
        <v>41</v>
      </c>
      <c r="H781" s="2">
        <v>44250.023414351854</v>
      </c>
    </row>
    <row r="782" spans="1:8" ht="14.25" customHeight="1" x14ac:dyDescent="0.3">
      <c r="A782">
        <v>1321381</v>
      </c>
      <c r="B782" t="e">
        <f>- we now require a procedure to allow employess remote access to thier work pc.</f>
        <v>#NAME?</v>
      </c>
      <c r="C782" s="1" t="s">
        <v>5436</v>
      </c>
      <c r="D782" t="s">
        <v>24</v>
      </c>
      <c r="E782">
        <v>3</v>
      </c>
      <c r="F782">
        <v>3</v>
      </c>
      <c r="G782">
        <v>43</v>
      </c>
      <c r="H782" s="2">
        <v>44250.024004629631</v>
      </c>
    </row>
    <row r="783" spans="1:8" ht="14.25" customHeight="1" x14ac:dyDescent="0.3">
      <c r="A783">
        <v>1313676</v>
      </c>
      <c r="B783" t="s">
        <v>5437</v>
      </c>
      <c r="C783" s="1" t="s">
        <v>5438</v>
      </c>
      <c r="D783" t="s">
        <v>11</v>
      </c>
      <c r="E783">
        <v>2</v>
      </c>
      <c r="F783">
        <v>2</v>
      </c>
      <c r="G783">
        <v>41</v>
      </c>
      <c r="H783" s="2">
        <v>44250.025543981479</v>
      </c>
    </row>
    <row r="784" spans="1:8" ht="14.25" customHeight="1" x14ac:dyDescent="0.3">
      <c r="A784">
        <v>1314271</v>
      </c>
      <c r="B784" t="e">
        <f>- high cpu - nc-e4c-RDS2</f>
        <v>#NAME?</v>
      </c>
      <c r="C784" s="1" t="s">
        <v>5439</v>
      </c>
      <c r="D784" t="s">
        <v>24</v>
      </c>
      <c r="E784">
        <v>2</v>
      </c>
      <c r="F784">
        <v>2</v>
      </c>
      <c r="G784">
        <v>41</v>
      </c>
      <c r="H784" s="2">
        <v>44250.026585648149</v>
      </c>
    </row>
    <row r="785" spans="1:8" ht="14.25" customHeight="1" x14ac:dyDescent="0.3">
      <c r="A785">
        <v>1314256</v>
      </c>
      <c r="B785" t="s">
        <v>5440</v>
      </c>
      <c r="C785" s="1" t="s">
        <v>5441</v>
      </c>
      <c r="D785" t="s">
        <v>24</v>
      </c>
      <c r="E785">
        <v>2</v>
      </c>
      <c r="F785">
        <v>2</v>
      </c>
      <c r="G785">
        <v>43</v>
      </c>
      <c r="H785" s="2">
        <v>44250.027141203704</v>
      </c>
    </row>
    <row r="786" spans="1:8" ht="14.25" customHeight="1" x14ac:dyDescent="0.3">
      <c r="A786">
        <v>1317734</v>
      </c>
      <c r="B786" t="e">
        <f>- nextcloud drive expansion - nc-pmkr-BE2 p drive</f>
        <v>#NAME?</v>
      </c>
      <c r="C786" s="1" t="s">
        <v>5442</v>
      </c>
      <c r="D786" t="s">
        <v>24</v>
      </c>
      <c r="E786">
        <v>3</v>
      </c>
      <c r="F786">
        <v>2</v>
      </c>
      <c r="G786">
        <v>43</v>
      </c>
      <c r="H786" s="2">
        <v>44250.028634259259</v>
      </c>
    </row>
    <row r="787" spans="1:8" ht="14.25" customHeight="1" x14ac:dyDescent="0.3">
      <c r="A787">
        <v>1312925</v>
      </c>
      <c r="B787" t="s">
        <v>5443</v>
      </c>
      <c r="C787" s="1" t="s">
        <v>5444</v>
      </c>
      <c r="D787" t="s">
        <v>11</v>
      </c>
      <c r="E787">
        <v>3</v>
      </c>
      <c r="F787">
        <v>2</v>
      </c>
      <c r="G787">
        <v>41</v>
      </c>
      <c r="H787" s="2">
        <v>44250.028912037036</v>
      </c>
    </row>
    <row r="788" spans="1:8" ht="14.25" customHeight="1" x14ac:dyDescent="0.3">
      <c r="A788">
        <v>1313776</v>
      </c>
      <c r="B788" t="e">
        <f>- cx not part of client team distros</f>
        <v>#NAME?</v>
      </c>
      <c r="C788" s="1" t="s">
        <v>5445</v>
      </c>
      <c r="D788" t="s">
        <v>24</v>
      </c>
      <c r="E788">
        <v>1</v>
      </c>
      <c r="F788">
        <v>1</v>
      </c>
      <c r="G788">
        <v>43</v>
      </c>
      <c r="H788" s="2">
        <v>44250.625</v>
      </c>
    </row>
    <row r="789" spans="1:8" ht="14.25" customHeight="1" x14ac:dyDescent="0.3">
      <c r="A789">
        <v>1314342</v>
      </c>
      <c r="B789" t="e">
        <f>-  red deer phones</f>
        <v>#NAME?</v>
      </c>
      <c r="C789" s="1" t="s">
        <v>5446</v>
      </c>
      <c r="D789" t="s">
        <v>11</v>
      </c>
      <c r="E789">
        <v>3</v>
      </c>
      <c r="F789">
        <v>3</v>
      </c>
      <c r="G789">
        <v>41</v>
      </c>
      <c r="H789" s="2">
        <v>44250.626875000002</v>
      </c>
    </row>
    <row r="790" spans="1:8" ht="14.25" customHeight="1" x14ac:dyDescent="0.3">
      <c r="A790">
        <v>1314257</v>
      </c>
      <c r="B790" t="s">
        <v>5447</v>
      </c>
      <c r="C790" s="1" t="s">
        <v>5448</v>
      </c>
      <c r="D790" t="s">
        <v>24</v>
      </c>
      <c r="E790">
        <v>3</v>
      </c>
      <c r="F790">
        <v>1</v>
      </c>
      <c r="G790">
        <v>41</v>
      </c>
      <c r="H790" s="2">
        <v>44250.629467592589</v>
      </c>
    </row>
    <row r="791" spans="1:8" ht="14.25" customHeight="1" x14ac:dyDescent="0.3">
      <c r="A791">
        <v>1317835</v>
      </c>
      <c r="B791" t="s">
        <v>5449</v>
      </c>
      <c r="C791" s="1" t="s">
        <v>5450</v>
      </c>
      <c r="D791" t="s">
        <v>11</v>
      </c>
      <c r="E791">
        <v>1</v>
      </c>
      <c r="F791">
        <v>2</v>
      </c>
      <c r="G791">
        <v>41</v>
      </c>
      <c r="H791" s="2">
        <v>44250.630532407406</v>
      </c>
    </row>
    <row r="792" spans="1:8" ht="14.25" customHeight="1" x14ac:dyDescent="0.3">
      <c r="A792">
        <v>1314275</v>
      </c>
      <c r="B792" t="s">
        <v>5451</v>
      </c>
      <c r="C792" s="1" t="s">
        <v>5452</v>
      </c>
      <c r="D792" t="s">
        <v>11</v>
      </c>
      <c r="E792">
        <v>3</v>
      </c>
      <c r="F792">
        <v>2</v>
      </c>
      <c r="G792">
        <v>43</v>
      </c>
      <c r="H792" s="2">
        <v>44250.631678240738</v>
      </c>
    </row>
    <row r="793" spans="1:8" ht="14.25" customHeight="1" x14ac:dyDescent="0.3">
      <c r="A793">
        <v>1314960</v>
      </c>
      <c r="B793" t="e">
        <f>- sophos access (quarantined emails)</f>
        <v>#NAME?</v>
      </c>
      <c r="C793" s="1" t="s">
        <v>5453</v>
      </c>
      <c r="D793" t="s">
        <v>24</v>
      </c>
      <c r="E793">
        <v>1</v>
      </c>
      <c r="F793">
        <v>1</v>
      </c>
      <c r="G793">
        <v>43</v>
      </c>
      <c r="H793" s="2">
        <v>44250.631840277776</v>
      </c>
    </row>
    <row r="794" spans="1:8" ht="14.25" customHeight="1" x14ac:dyDescent="0.3">
      <c r="A794">
        <v>1313277</v>
      </c>
      <c r="B794" t="s">
        <v>5454</v>
      </c>
      <c r="C794" s="1" t="s">
        <v>5455</v>
      </c>
      <c r="D794" t="s">
        <v>11</v>
      </c>
      <c r="E794">
        <v>2</v>
      </c>
      <c r="F794">
        <v>2</v>
      </c>
      <c r="G794">
        <v>43</v>
      </c>
      <c r="H794" s="2">
        <v>44250.631967592592</v>
      </c>
    </row>
    <row r="795" spans="1:8" ht="14.25" customHeight="1" x14ac:dyDescent="0.3">
      <c r="A795">
        <v>1314327</v>
      </c>
      <c r="B795" t="s">
        <v>5456</v>
      </c>
      <c r="C795" s="1" t="s">
        <v>5457</v>
      </c>
      <c r="D795" t="s">
        <v>11</v>
      </c>
      <c r="E795">
        <v>3</v>
      </c>
      <c r="F795">
        <v>2</v>
      </c>
      <c r="G795">
        <v>43</v>
      </c>
      <c r="H795" s="2">
        <v>44250.632523148146</v>
      </c>
    </row>
    <row r="796" spans="1:8" ht="14.25" customHeight="1" x14ac:dyDescent="0.3">
      <c r="A796">
        <v>1313726</v>
      </c>
      <c r="B796" t="e">
        <f>- assistance setting up auto receptionist through telus</f>
        <v>#NAME?</v>
      </c>
      <c r="C796" s="1" t="s">
        <v>5458</v>
      </c>
      <c r="D796" t="s">
        <v>24</v>
      </c>
      <c r="E796">
        <v>2</v>
      </c>
      <c r="F796">
        <v>2</v>
      </c>
      <c r="G796">
        <v>43</v>
      </c>
      <c r="H796" s="2">
        <v>44250.632928240739</v>
      </c>
    </row>
    <row r="797" spans="1:8" ht="14.25" customHeight="1" x14ac:dyDescent="0.3">
      <c r="A797">
        <v>1315073</v>
      </c>
      <c r="B797" t="s">
        <v>5459</v>
      </c>
      <c r="C797" s="1" t="s">
        <v>5460</v>
      </c>
      <c r="D797" t="s">
        <v>24</v>
      </c>
      <c r="E797">
        <v>2</v>
      </c>
      <c r="F797">
        <v>2</v>
      </c>
      <c r="G797">
        <v>43</v>
      </c>
      <c r="H797" s="2">
        <v>44250.633564814816</v>
      </c>
    </row>
    <row r="798" spans="1:8" ht="14.25" customHeight="1" x14ac:dyDescent="0.3">
      <c r="A798">
        <v>1314918</v>
      </c>
      <c r="B798" t="s">
        <v>5461</v>
      </c>
      <c r="C798" s="1" t="s">
        <v>5462</v>
      </c>
      <c r="D798" t="s">
        <v>11</v>
      </c>
      <c r="E798">
        <v>2</v>
      </c>
      <c r="F798">
        <v>2</v>
      </c>
      <c r="G798">
        <v>41</v>
      </c>
      <c r="H798" s="2">
        <v>44250.634189814817</v>
      </c>
    </row>
    <row r="799" spans="1:8" ht="14.25" customHeight="1" x14ac:dyDescent="0.3">
      <c r="A799">
        <v>1313195</v>
      </c>
      <c r="B799" t="s">
        <v>5463</v>
      </c>
      <c r="C799" s="1" t="s">
        <v>5464</v>
      </c>
      <c r="D799" t="s">
        <v>11</v>
      </c>
      <c r="E799">
        <v>1</v>
      </c>
      <c r="F799">
        <v>2</v>
      </c>
      <c r="G799">
        <v>43</v>
      </c>
      <c r="H799" s="2">
        <v>44250.635000000002</v>
      </c>
    </row>
    <row r="800" spans="1:8" ht="14.25" customHeight="1" x14ac:dyDescent="0.3">
      <c r="A800">
        <v>1318587</v>
      </c>
      <c r="B800" t="s">
        <v>5465</v>
      </c>
      <c r="C800" s="1" t="s">
        <v>5466</v>
      </c>
      <c r="D800" t="s">
        <v>11</v>
      </c>
      <c r="E800">
        <v>2</v>
      </c>
      <c r="F800">
        <v>1</v>
      </c>
      <c r="G800">
        <v>43</v>
      </c>
      <c r="H800" s="2">
        <v>44250.635381944441</v>
      </c>
    </row>
    <row r="801" spans="1:8" ht="14.25" customHeight="1" x14ac:dyDescent="0.3">
      <c r="A801">
        <v>1314970</v>
      </c>
      <c r="B801" t="s">
        <v>5467</v>
      </c>
      <c r="C801" s="1" t="s">
        <v>5468</v>
      </c>
      <c r="D801" t="s">
        <v>24</v>
      </c>
      <c r="E801">
        <v>3</v>
      </c>
      <c r="F801">
        <v>2</v>
      </c>
      <c r="G801">
        <v>41</v>
      </c>
      <c r="H801" s="2">
        <v>44250.63958333333</v>
      </c>
    </row>
    <row r="802" spans="1:8" ht="14.25" customHeight="1" x14ac:dyDescent="0.3">
      <c r="A802">
        <v>1310943</v>
      </c>
      <c r="B802" t="s">
        <v>5469</v>
      </c>
      <c r="C802" s="1" t="s">
        <v>5470</v>
      </c>
      <c r="D802" t="s">
        <v>11</v>
      </c>
      <c r="E802">
        <v>2</v>
      </c>
      <c r="F802">
        <v>2</v>
      </c>
      <c r="G802">
        <v>41</v>
      </c>
      <c r="H802" s="2">
        <v>44250.713946759257</v>
      </c>
    </row>
    <row r="803" spans="1:8" ht="14.25" customHeight="1" x14ac:dyDescent="0.3">
      <c r="A803">
        <v>1313762</v>
      </c>
      <c r="B803" t="s">
        <v>5471</v>
      </c>
      <c r="C803" s="1" t="s">
        <v>5472</v>
      </c>
      <c r="D803" t="s">
        <v>24</v>
      </c>
      <c r="E803">
        <v>2</v>
      </c>
      <c r="F803">
        <v>2</v>
      </c>
      <c r="G803">
        <v>41</v>
      </c>
      <c r="H803" s="2">
        <v>44250.727789351855</v>
      </c>
    </row>
    <row r="804" spans="1:8" ht="14.25" customHeight="1" x14ac:dyDescent="0.3">
      <c r="A804">
        <v>1305287</v>
      </c>
      <c r="B804" t="e">
        <f>- internet speed</f>
        <v>#NAME?</v>
      </c>
      <c r="C804" s="1" t="s">
        <v>5473</v>
      </c>
      <c r="D804" t="s">
        <v>24</v>
      </c>
      <c r="E804">
        <v>3</v>
      </c>
      <c r="F804">
        <v>2</v>
      </c>
      <c r="G804">
        <v>41</v>
      </c>
      <c r="H804" s="2">
        <v>44250.730509259258</v>
      </c>
    </row>
    <row r="805" spans="1:8" ht="14.25" customHeight="1" x14ac:dyDescent="0.3">
      <c r="A805">
        <v>1309226</v>
      </c>
      <c r="B805" t="e">
        <f>- missing email accounts</f>
        <v>#NAME?</v>
      </c>
      <c r="C805" s="1" t="s">
        <v>5474</v>
      </c>
      <c r="D805" t="s">
        <v>11</v>
      </c>
      <c r="E805">
        <v>3</v>
      </c>
      <c r="F805">
        <v>2</v>
      </c>
      <c r="G805">
        <v>41</v>
      </c>
      <c r="H805" s="2">
        <v>44250.735682870371</v>
      </c>
    </row>
    <row r="806" spans="1:8" ht="14.25" customHeight="1" x14ac:dyDescent="0.3">
      <c r="A806">
        <v>1310351</v>
      </c>
      <c r="B806" t="s">
        <v>5475</v>
      </c>
      <c r="C806" s="1" t="s">
        <v>5476</v>
      </c>
      <c r="D806" t="s">
        <v>11</v>
      </c>
      <c r="E806">
        <v>1</v>
      </c>
      <c r="F806">
        <v>2</v>
      </c>
      <c r="G806">
        <v>41</v>
      </c>
      <c r="H806" s="2">
        <v>44250.740127314813</v>
      </c>
    </row>
    <row r="807" spans="1:8" ht="14.25" customHeight="1" x14ac:dyDescent="0.3">
      <c r="A807">
        <v>1310933</v>
      </c>
      <c r="B807" t="e">
        <f>- nc-pmkr-BE2 p: drive almost out of space</f>
        <v>#NAME?</v>
      </c>
      <c r="C807" s="1" t="s">
        <v>5477</v>
      </c>
      <c r="D807" t="s">
        <v>24</v>
      </c>
      <c r="E807">
        <v>3</v>
      </c>
      <c r="F807">
        <v>2</v>
      </c>
      <c r="G807">
        <v>43</v>
      </c>
      <c r="H807" s="2">
        <v>44250.743356481478</v>
      </c>
    </row>
    <row r="808" spans="1:8" ht="14.25" customHeight="1" x14ac:dyDescent="0.3">
      <c r="A808">
        <v>1314212</v>
      </c>
      <c r="B808" t="s">
        <v>5478</v>
      </c>
      <c r="C808" s="1" t="s">
        <v>5479</v>
      </c>
      <c r="D808" t="s">
        <v>24</v>
      </c>
      <c r="E808">
        <v>3</v>
      </c>
      <c r="F808">
        <v>2</v>
      </c>
      <c r="G808">
        <v>41</v>
      </c>
      <c r="H808" s="2">
        <v>44250.747048611112</v>
      </c>
    </row>
    <row r="809" spans="1:8" ht="14.25" customHeight="1" x14ac:dyDescent="0.3">
      <c r="A809">
        <v>1309833</v>
      </c>
      <c r="B809" t="s">
        <v>5480</v>
      </c>
      <c r="C809" s="1" t="s">
        <v>5481</v>
      </c>
      <c r="D809" t="s">
        <v>11</v>
      </c>
      <c r="E809">
        <v>2</v>
      </c>
      <c r="F809">
        <v>2</v>
      </c>
      <c r="G809">
        <v>41</v>
      </c>
      <c r="H809" s="2">
        <v>44250.753657407404</v>
      </c>
    </row>
    <row r="810" spans="1:8" ht="14.25" customHeight="1" x14ac:dyDescent="0.3">
      <c r="A810">
        <v>1313083</v>
      </c>
      <c r="B810" t="s">
        <v>5482</v>
      </c>
      <c r="C810" s="1" t="s">
        <v>5483</v>
      </c>
      <c r="D810" t="s">
        <v>11</v>
      </c>
      <c r="E810">
        <v>1</v>
      </c>
      <c r="F810">
        <v>2</v>
      </c>
      <c r="G810">
        <v>41</v>
      </c>
      <c r="H810" s="2">
        <v>44250.754421296297</v>
      </c>
    </row>
    <row r="811" spans="1:8" ht="14.25" customHeight="1" x14ac:dyDescent="0.3">
      <c r="A811">
        <v>1310924</v>
      </c>
      <c r="B811" t="e">
        <f>- printer access</f>
        <v>#NAME?</v>
      </c>
      <c r="C811" s="1" t="s">
        <v>5484</v>
      </c>
      <c r="D811" t="s">
        <v>24</v>
      </c>
      <c r="E811">
        <v>1</v>
      </c>
      <c r="F811">
        <v>2</v>
      </c>
      <c r="G811">
        <v>41</v>
      </c>
      <c r="H811" s="2">
        <v>44250.755196759259</v>
      </c>
    </row>
    <row r="812" spans="1:8" ht="14.25" customHeight="1" x14ac:dyDescent="0.3">
      <c r="A812">
        <v>1313128</v>
      </c>
      <c r="B812" t="e">
        <f>- team backgrounds</f>
        <v>#NAME?</v>
      </c>
      <c r="C812" s="1" t="s">
        <v>5485</v>
      </c>
      <c r="D812" t="s">
        <v>11</v>
      </c>
      <c r="E812">
        <v>3</v>
      </c>
      <c r="F812">
        <v>1</v>
      </c>
      <c r="G812">
        <v>43</v>
      </c>
      <c r="H812" s="2">
        <v>44250.755474537036</v>
      </c>
    </row>
    <row r="813" spans="1:8" ht="14.25" customHeight="1" x14ac:dyDescent="0.3">
      <c r="A813">
        <v>1309725</v>
      </c>
      <c r="B813" t="s">
        <v>5486</v>
      </c>
      <c r="C813" t="s">
        <v>5487</v>
      </c>
      <c r="D813" t="s">
        <v>11</v>
      </c>
      <c r="E813">
        <v>2</v>
      </c>
      <c r="F813">
        <v>2</v>
      </c>
      <c r="G813">
        <v>43</v>
      </c>
      <c r="H813" s="2">
        <v>44250.755972222221</v>
      </c>
    </row>
    <row r="814" spans="1:8" ht="14.25" customHeight="1" x14ac:dyDescent="0.3">
      <c r="A814">
        <v>1307467</v>
      </c>
      <c r="B814" t="s">
        <v>5488</v>
      </c>
      <c r="C814" s="1" t="s">
        <v>5489</v>
      </c>
      <c r="D814" t="s">
        <v>11</v>
      </c>
      <c r="E814">
        <v>2</v>
      </c>
      <c r="F814">
        <v>1</v>
      </c>
      <c r="G814">
        <v>43</v>
      </c>
      <c r="H814" s="2">
        <v>44250.756608796299</v>
      </c>
    </row>
    <row r="815" spans="1:8" ht="14.25" customHeight="1" x14ac:dyDescent="0.3">
      <c r="A815">
        <v>1310360</v>
      </c>
      <c r="B815" t="s">
        <v>5490</v>
      </c>
      <c r="C815" t="s">
        <v>5491</v>
      </c>
      <c r="D815" t="s">
        <v>11</v>
      </c>
      <c r="E815">
        <v>2</v>
      </c>
      <c r="F815">
        <v>3</v>
      </c>
      <c r="G815">
        <v>41</v>
      </c>
      <c r="H815" s="2">
        <v>44250.756967592592</v>
      </c>
    </row>
    <row r="816" spans="1:8" ht="14.25" customHeight="1" x14ac:dyDescent="0.3">
      <c r="A816">
        <v>1310457</v>
      </c>
      <c r="B816" t="s">
        <v>5492</v>
      </c>
      <c r="C816" s="1" t="s">
        <v>5493</v>
      </c>
      <c r="D816" t="s">
        <v>11</v>
      </c>
      <c r="E816">
        <v>3</v>
      </c>
      <c r="F816">
        <v>2</v>
      </c>
      <c r="G816">
        <v>41</v>
      </c>
      <c r="H816" s="2">
        <v>44250.757245370369</v>
      </c>
    </row>
    <row r="817" spans="1:8" ht="14.25" customHeight="1" x14ac:dyDescent="0.3">
      <c r="A817">
        <v>1309124</v>
      </c>
      <c r="B817" t="e">
        <f>- unable to access teams</f>
        <v>#NAME?</v>
      </c>
      <c r="C817" s="1" t="s">
        <v>5494</v>
      </c>
      <c r="D817" t="s">
        <v>11</v>
      </c>
      <c r="E817">
        <v>2</v>
      </c>
      <c r="F817">
        <v>2</v>
      </c>
      <c r="G817">
        <v>41</v>
      </c>
      <c r="H817" s="2">
        <v>44250.757511574076</v>
      </c>
    </row>
    <row r="818" spans="1:8" ht="14.25" customHeight="1" x14ac:dyDescent="0.3">
      <c r="A818">
        <v>1303826</v>
      </c>
      <c r="B818" t="s">
        <v>5495</v>
      </c>
      <c r="C818" t="s">
        <v>5496</v>
      </c>
      <c r="D818" t="s">
        <v>24</v>
      </c>
      <c r="E818">
        <v>3</v>
      </c>
      <c r="F818">
        <v>3</v>
      </c>
      <c r="G818">
        <v>41</v>
      </c>
      <c r="H818" s="2">
        <v>44250.758263888885</v>
      </c>
    </row>
    <row r="819" spans="1:8" ht="14.25" customHeight="1" x14ac:dyDescent="0.3">
      <c r="A819">
        <v>1309700</v>
      </c>
      <c r="B819" t="s">
        <v>5497</v>
      </c>
      <c r="C819" s="1" t="s">
        <v>5498</v>
      </c>
      <c r="D819" t="s">
        <v>11</v>
      </c>
      <c r="E819">
        <v>1</v>
      </c>
      <c r="F819">
        <v>2</v>
      </c>
      <c r="G819">
        <v>43</v>
      </c>
      <c r="H819" s="2">
        <v>44250.758437500001</v>
      </c>
    </row>
    <row r="820" spans="1:8" ht="14.25" customHeight="1" x14ac:dyDescent="0.3">
      <c r="A820">
        <v>1310883</v>
      </c>
      <c r="B820" t="e">
        <f>- annual power shutdown at sterling place</f>
        <v>#NAME?</v>
      </c>
      <c r="C820" s="1" t="s">
        <v>5499</v>
      </c>
      <c r="D820" t="s">
        <v>24</v>
      </c>
      <c r="E820">
        <v>3</v>
      </c>
      <c r="F820">
        <v>3</v>
      </c>
      <c r="G820">
        <v>43</v>
      </c>
      <c r="H820" s="2">
        <v>44250.759652777779</v>
      </c>
    </row>
    <row r="821" spans="1:8" ht="14.25" customHeight="1" x14ac:dyDescent="0.3">
      <c r="A821">
        <v>1302801</v>
      </c>
      <c r="B821" t="s">
        <v>5500</v>
      </c>
      <c r="C821" s="1" t="s">
        <v>5501</v>
      </c>
      <c r="D821" t="s">
        <v>11</v>
      </c>
      <c r="E821">
        <v>2</v>
      </c>
      <c r="F821">
        <v>2</v>
      </c>
      <c r="G821">
        <v>41</v>
      </c>
      <c r="H821" s="2">
        <v>44250.759895833333</v>
      </c>
    </row>
    <row r="822" spans="1:8" ht="14.25" customHeight="1" x14ac:dyDescent="0.3">
      <c r="A822">
        <v>1309934</v>
      </c>
      <c r="B822" t="s">
        <v>5502</v>
      </c>
      <c r="C822" s="1" t="s">
        <v>5503</v>
      </c>
      <c r="D822" t="s">
        <v>11</v>
      </c>
      <c r="E822">
        <v>1</v>
      </c>
      <c r="F822">
        <v>2</v>
      </c>
      <c r="G822">
        <v>41</v>
      </c>
      <c r="H822" s="2">
        <v>44250.760381944441</v>
      </c>
    </row>
    <row r="823" spans="1:8" ht="14.25" customHeight="1" x14ac:dyDescent="0.3">
      <c r="A823">
        <v>1298200</v>
      </c>
      <c r="B823" t="s">
        <v>5504</v>
      </c>
      <c r="C823" s="1" t="s">
        <v>5505</v>
      </c>
      <c r="D823" t="s">
        <v>24</v>
      </c>
      <c r="E823">
        <v>2</v>
      </c>
      <c r="F823">
        <v>2</v>
      </c>
      <c r="G823">
        <v>41</v>
      </c>
      <c r="H823" s="2">
        <v>44250.76939814815</v>
      </c>
    </row>
    <row r="824" spans="1:8" ht="14.25" customHeight="1" x14ac:dyDescent="0.3">
      <c r="A824">
        <v>1296918</v>
      </c>
      <c r="B824" t="s">
        <v>5506</v>
      </c>
      <c r="C824" s="1" t="s">
        <v>5507</v>
      </c>
      <c r="D824" t="s">
        <v>11</v>
      </c>
      <c r="E824">
        <v>2</v>
      </c>
      <c r="F824">
        <v>2</v>
      </c>
      <c r="G824">
        <v>41</v>
      </c>
      <c r="H824" s="2">
        <v>44250.782534722224</v>
      </c>
    </row>
    <row r="825" spans="1:8" ht="14.25" customHeight="1" x14ac:dyDescent="0.3">
      <c r="A825">
        <v>1307231</v>
      </c>
      <c r="B825" t="e">
        <f>- printer issues</f>
        <v>#NAME?</v>
      </c>
      <c r="C825" s="1" t="s">
        <v>5508</v>
      </c>
      <c r="D825" t="s">
        <v>11</v>
      </c>
      <c r="E825">
        <v>1</v>
      </c>
      <c r="F825">
        <v>1</v>
      </c>
      <c r="G825">
        <v>43</v>
      </c>
      <c r="H825" s="2">
        <v>44250.78402777778</v>
      </c>
    </row>
    <row r="826" spans="1:8" ht="14.25" customHeight="1" x14ac:dyDescent="0.3">
      <c r="A826">
        <v>1294433</v>
      </c>
      <c r="B826" t="s">
        <v>5509</v>
      </c>
      <c r="C826" s="1" t="s">
        <v>5510</v>
      </c>
      <c r="D826" t="s">
        <v>11</v>
      </c>
      <c r="E826">
        <v>3</v>
      </c>
      <c r="F826">
        <v>3</v>
      </c>
      <c r="G826">
        <v>41</v>
      </c>
      <c r="H826" s="2">
        <v>44250.849594907406</v>
      </c>
    </row>
    <row r="827" spans="1:8" ht="14.25" customHeight="1" x14ac:dyDescent="0.3">
      <c r="A827">
        <v>1294620</v>
      </c>
      <c r="B827" t="s">
        <v>5511</v>
      </c>
      <c r="C827" s="1" t="s">
        <v>5512</v>
      </c>
      <c r="D827" t="s">
        <v>11</v>
      </c>
      <c r="E827">
        <v>2</v>
      </c>
      <c r="F827">
        <v>3</v>
      </c>
      <c r="G827">
        <v>41</v>
      </c>
      <c r="H827" s="2">
        <v>44250.852951388886</v>
      </c>
    </row>
    <row r="828" spans="1:8" ht="14.25" customHeight="1" x14ac:dyDescent="0.3">
      <c r="A828">
        <v>1291747</v>
      </c>
      <c r="B828" t="s">
        <v>5513</v>
      </c>
      <c r="C828" s="1" t="s">
        <v>5514</v>
      </c>
      <c r="D828" t="s">
        <v>11</v>
      </c>
      <c r="E828">
        <v>2</v>
      </c>
      <c r="F828">
        <v>2</v>
      </c>
      <c r="G828">
        <v>41</v>
      </c>
      <c r="H828" s="2">
        <v>44250.877175925925</v>
      </c>
    </row>
    <row r="829" spans="1:8" ht="14.25" customHeight="1" x14ac:dyDescent="0.3">
      <c r="A829">
        <v>1288167</v>
      </c>
      <c r="B829" t="e">
        <f>- align bookmarks link</f>
        <v>#NAME?</v>
      </c>
      <c r="C829" s="1" t="s">
        <v>5515</v>
      </c>
      <c r="D829" t="s">
        <v>11</v>
      </c>
      <c r="E829">
        <v>3</v>
      </c>
      <c r="F829">
        <v>1</v>
      </c>
      <c r="G829">
        <v>43</v>
      </c>
      <c r="H829" s="2">
        <v>44250.887453703705</v>
      </c>
    </row>
    <row r="830" spans="1:8" ht="14.25" customHeight="1" x14ac:dyDescent="0.3">
      <c r="A830">
        <v>1289370</v>
      </c>
      <c r="B830" t="s">
        <v>5516</v>
      </c>
      <c r="C830" s="1" t="s">
        <v>5517</v>
      </c>
      <c r="D830" t="s">
        <v>11</v>
      </c>
      <c r="E830">
        <v>2</v>
      </c>
      <c r="F830">
        <v>2</v>
      </c>
      <c r="G830">
        <v>41</v>
      </c>
      <c r="H830" s="2">
        <v>44250.893020833333</v>
      </c>
    </row>
    <row r="831" spans="1:8" ht="14.25" customHeight="1" x14ac:dyDescent="0.3">
      <c r="A831">
        <v>1285382</v>
      </c>
      <c r="B831" t="s">
        <v>5518</v>
      </c>
      <c r="C831" s="1" t="s">
        <v>5519</v>
      </c>
      <c r="D831" t="s">
        <v>24</v>
      </c>
      <c r="E831">
        <v>3</v>
      </c>
      <c r="F831">
        <v>2</v>
      </c>
      <c r="G831">
        <v>41</v>
      </c>
      <c r="H831" s="2">
        <v>44250.89466435185</v>
      </c>
    </row>
    <row r="832" spans="1:8" ht="14.25" customHeight="1" x14ac:dyDescent="0.3">
      <c r="A832">
        <v>1288770</v>
      </c>
      <c r="B832" t="s">
        <v>5520</v>
      </c>
      <c r="C832" s="1" t="s">
        <v>5521</v>
      </c>
      <c r="D832" t="s">
        <v>11</v>
      </c>
      <c r="E832">
        <v>2</v>
      </c>
      <c r="F832">
        <v>2</v>
      </c>
      <c r="G832">
        <v>41</v>
      </c>
      <c r="H832" s="2">
        <v>44250.894930555558</v>
      </c>
    </row>
    <row r="833" spans="1:8" ht="14.25" customHeight="1" x14ac:dyDescent="0.3">
      <c r="A833">
        <v>1287383</v>
      </c>
      <c r="B833" t="e">
        <f>- jobboss</f>
        <v>#NAME?</v>
      </c>
      <c r="C833" s="1" t="s">
        <v>5522</v>
      </c>
      <c r="D833" t="s">
        <v>11</v>
      </c>
      <c r="E833">
        <v>3</v>
      </c>
      <c r="F833">
        <v>2</v>
      </c>
      <c r="G833">
        <v>41</v>
      </c>
      <c r="H833" s="2">
        <v>44250.896180555559</v>
      </c>
    </row>
    <row r="834" spans="1:8" ht="14.25" customHeight="1" x14ac:dyDescent="0.3">
      <c r="A834">
        <v>1284780</v>
      </c>
      <c r="B834" t="e">
        <f>- extremely slow network</f>
        <v>#NAME?</v>
      </c>
      <c r="C834" s="1" t="s">
        <v>5523</v>
      </c>
      <c r="D834" t="s">
        <v>11</v>
      </c>
      <c r="E834">
        <v>3</v>
      </c>
      <c r="F834">
        <v>2</v>
      </c>
      <c r="G834">
        <v>41</v>
      </c>
      <c r="H834" s="2">
        <v>44250.896377314813</v>
      </c>
    </row>
    <row r="835" spans="1:8" ht="14.25" customHeight="1" x14ac:dyDescent="0.3">
      <c r="A835">
        <v>1313199</v>
      </c>
      <c r="B835" t="e">
        <f>- fortianalyzer demo for senior ss team</f>
        <v>#NAME?</v>
      </c>
      <c r="C835" s="1" t="s">
        <v>5524</v>
      </c>
      <c r="D835" t="s">
        <v>24</v>
      </c>
      <c r="E835">
        <v>2</v>
      </c>
      <c r="F835">
        <v>2</v>
      </c>
      <c r="G835">
        <v>43</v>
      </c>
      <c r="H835" s="2">
        <v>44250.904583333337</v>
      </c>
    </row>
    <row r="836" spans="1:8" ht="14.25" customHeight="1" x14ac:dyDescent="0.3">
      <c r="A836">
        <v>1303862</v>
      </c>
      <c r="B836" t="s">
        <v>5525</v>
      </c>
      <c r="C836" s="1" t="s">
        <v>5526</v>
      </c>
      <c r="D836" t="s">
        <v>24</v>
      </c>
      <c r="E836">
        <v>3</v>
      </c>
      <c r="F836">
        <v>2</v>
      </c>
      <c r="G836">
        <v>43</v>
      </c>
      <c r="H836" s="2">
        <v>44250.904768518521</v>
      </c>
    </row>
    <row r="837" spans="1:8" ht="14.25" customHeight="1" x14ac:dyDescent="0.3">
      <c r="A837">
        <v>1309739</v>
      </c>
      <c r="B837" t="e">
        <f>-  unable to park or transfer calls</f>
        <v>#NAME?</v>
      </c>
      <c r="C837" s="1" t="s">
        <v>5527</v>
      </c>
      <c r="D837" t="s">
        <v>24</v>
      </c>
      <c r="E837">
        <v>3</v>
      </c>
      <c r="F837">
        <v>2</v>
      </c>
      <c r="G837">
        <v>41</v>
      </c>
      <c r="H837" s="2">
        <v>44250.905312499999</v>
      </c>
    </row>
    <row r="838" spans="1:8" ht="14.25" customHeight="1" x14ac:dyDescent="0.3">
      <c r="A838">
        <v>1311612</v>
      </c>
      <c r="B838" t="s">
        <v>5528</v>
      </c>
      <c r="C838" s="1" t="s">
        <v>5529</v>
      </c>
      <c r="D838" t="s">
        <v>11</v>
      </c>
      <c r="E838">
        <v>2</v>
      </c>
      <c r="F838">
        <v>1</v>
      </c>
      <c r="G838">
        <v>43</v>
      </c>
      <c r="H838" s="2">
        <v>44250.905636574076</v>
      </c>
    </row>
    <row r="839" spans="1:8" ht="14.25" customHeight="1" x14ac:dyDescent="0.3">
      <c r="A839">
        <v>1283666</v>
      </c>
      <c r="B839" t="s">
        <v>5530</v>
      </c>
      <c r="C839" s="1" t="s">
        <v>5531</v>
      </c>
      <c r="D839" t="s">
        <v>11</v>
      </c>
      <c r="E839">
        <v>2</v>
      </c>
      <c r="F839">
        <v>2</v>
      </c>
      <c r="G839">
        <v>41</v>
      </c>
      <c r="H839" s="2">
        <v>44250.920578703706</v>
      </c>
    </row>
    <row r="840" spans="1:8" ht="14.25" customHeight="1" x14ac:dyDescent="0.3">
      <c r="A840">
        <v>1287650</v>
      </c>
      <c r="B840" t="e">
        <f>- calgary scanner not working - cannot connect to server</f>
        <v>#NAME?</v>
      </c>
      <c r="C840" s="1" t="s">
        <v>5532</v>
      </c>
      <c r="D840" t="s">
        <v>24</v>
      </c>
      <c r="E840">
        <v>2</v>
      </c>
      <c r="F840">
        <v>2</v>
      </c>
      <c r="G840">
        <v>41</v>
      </c>
      <c r="H840" s="2">
        <v>44250.925000000003</v>
      </c>
    </row>
    <row r="841" spans="1:8" ht="14.25" customHeight="1" x14ac:dyDescent="0.3">
      <c r="A841">
        <v>1286211</v>
      </c>
      <c r="B841" t="e">
        <f>- pathway sync not working</f>
        <v>#NAME?</v>
      </c>
      <c r="C841" s="1" t="s">
        <v>5533</v>
      </c>
      <c r="D841" t="s">
        <v>24</v>
      </c>
      <c r="E841">
        <v>2</v>
      </c>
      <c r="F841">
        <v>2</v>
      </c>
      <c r="G841">
        <v>41</v>
      </c>
      <c r="H841" s="2">
        <v>44250.932002314818</v>
      </c>
    </row>
    <row r="842" spans="1:8" ht="14.25" customHeight="1" x14ac:dyDescent="0.3">
      <c r="A842">
        <v>1285487</v>
      </c>
      <c r="B842" t="e">
        <f>- urgent issues with rds</f>
        <v>#NAME?</v>
      </c>
      <c r="C842" s="1" t="s">
        <v>5534</v>
      </c>
      <c r="D842" t="s">
        <v>11</v>
      </c>
      <c r="E842">
        <v>2</v>
      </c>
      <c r="F842">
        <v>2</v>
      </c>
      <c r="G842">
        <v>41</v>
      </c>
      <c r="H842" s="2">
        <v>44250.935810185183</v>
      </c>
    </row>
    <row r="843" spans="1:8" ht="14.25" customHeight="1" x14ac:dyDescent="0.3">
      <c r="A843">
        <v>1314989</v>
      </c>
      <c r="B843" t="e">
        <f>- alberta pulse growers commission - expand drive further</f>
        <v>#NAME?</v>
      </c>
      <c r="C843" s="1" t="s">
        <v>5535</v>
      </c>
      <c r="D843" t="s">
        <v>24</v>
      </c>
      <c r="E843">
        <v>3</v>
      </c>
      <c r="F843">
        <v>2</v>
      </c>
      <c r="G843">
        <v>43</v>
      </c>
      <c r="H843" s="2">
        <v>44250.966226851851</v>
      </c>
    </row>
    <row r="844" spans="1:8" ht="14.25" customHeight="1" x14ac:dyDescent="0.3">
      <c r="A844">
        <v>1311686</v>
      </c>
      <c r="B844" t="e">
        <f>- printer down</f>
        <v>#NAME?</v>
      </c>
      <c r="C844" s="1" t="s">
        <v>5536</v>
      </c>
      <c r="D844" t="s">
        <v>11</v>
      </c>
      <c r="E844">
        <v>2</v>
      </c>
      <c r="F844">
        <v>2</v>
      </c>
      <c r="G844">
        <v>41</v>
      </c>
      <c r="H844" s="2">
        <v>44250.967013888891</v>
      </c>
    </row>
    <row r="845" spans="1:8" ht="14.25" customHeight="1" x14ac:dyDescent="0.3">
      <c r="A845">
        <v>1303319</v>
      </c>
      <c r="B845" t="s">
        <v>5537</v>
      </c>
      <c r="C845" s="1" t="s">
        <v>5538</v>
      </c>
      <c r="D845" t="s">
        <v>11</v>
      </c>
      <c r="E845">
        <v>1</v>
      </c>
      <c r="F845">
        <v>1</v>
      </c>
      <c r="G845">
        <v>36</v>
      </c>
      <c r="H845" s="2">
        <v>44250.967604166668</v>
      </c>
    </row>
    <row r="846" spans="1:8" ht="14.25" customHeight="1" x14ac:dyDescent="0.3">
      <c r="A846">
        <v>1299858</v>
      </c>
      <c r="B846" t="s">
        <v>5539</v>
      </c>
      <c r="C846" s="1" t="s">
        <v>5540</v>
      </c>
      <c r="D846" t="s">
        <v>24</v>
      </c>
      <c r="E846">
        <v>1</v>
      </c>
      <c r="F846">
        <v>2</v>
      </c>
      <c r="G846">
        <v>41</v>
      </c>
      <c r="H846" s="2">
        <v>44250.967951388891</v>
      </c>
    </row>
    <row r="847" spans="1:8" ht="14.25" customHeight="1" x14ac:dyDescent="0.3">
      <c r="A847">
        <v>1309714</v>
      </c>
      <c r="B847" t="s">
        <v>5541</v>
      </c>
      <c r="C847" s="1" t="s">
        <v>5542</v>
      </c>
      <c r="D847" t="s">
        <v>11</v>
      </c>
      <c r="E847">
        <v>3</v>
      </c>
      <c r="F847">
        <v>2</v>
      </c>
      <c r="G847">
        <v>41</v>
      </c>
      <c r="H847" s="2">
        <v>44250.968530092592</v>
      </c>
    </row>
    <row r="848" spans="1:8" ht="14.25" customHeight="1" x14ac:dyDescent="0.3">
      <c r="A848">
        <v>1299861</v>
      </c>
      <c r="B848" t="s">
        <v>5543</v>
      </c>
      <c r="C848" s="1" t="s">
        <v>5544</v>
      </c>
      <c r="D848" t="s">
        <v>24</v>
      </c>
      <c r="E848">
        <v>1</v>
      </c>
      <c r="F848">
        <v>2</v>
      </c>
      <c r="G848">
        <v>43</v>
      </c>
      <c r="H848" s="2">
        <v>44250.968715277777</v>
      </c>
    </row>
    <row r="849" spans="1:8" ht="14.25" customHeight="1" x14ac:dyDescent="0.3">
      <c r="A849">
        <v>1304513</v>
      </c>
      <c r="B849" t="s">
        <v>5545</v>
      </c>
      <c r="C849" s="1" t="s">
        <v>5546</v>
      </c>
      <c r="D849" t="s">
        <v>24</v>
      </c>
      <c r="E849">
        <v>2</v>
      </c>
      <c r="F849">
        <v>3</v>
      </c>
      <c r="G849">
        <v>41</v>
      </c>
      <c r="H849" s="2">
        <v>44250.969849537039</v>
      </c>
    </row>
    <row r="850" spans="1:8" ht="14.25" customHeight="1" x14ac:dyDescent="0.3">
      <c r="A850">
        <v>1302244</v>
      </c>
      <c r="B850" t="e">
        <f>- missing email</f>
        <v>#NAME?</v>
      </c>
      <c r="C850" s="1" t="s">
        <v>5547</v>
      </c>
      <c r="D850" t="s">
        <v>11</v>
      </c>
      <c r="E850">
        <v>2</v>
      </c>
      <c r="F850">
        <v>2</v>
      </c>
      <c r="G850">
        <v>41</v>
      </c>
      <c r="H850" s="2">
        <v>44250.970266203702</v>
      </c>
    </row>
    <row r="851" spans="1:8" ht="14.25" customHeight="1" x14ac:dyDescent="0.3">
      <c r="A851">
        <v>1300661</v>
      </c>
      <c r="B851" t="s">
        <v>5548</v>
      </c>
      <c r="C851" s="1" t="s">
        <v>5549</v>
      </c>
      <c r="D851" t="s">
        <v>11</v>
      </c>
      <c r="E851">
        <v>2</v>
      </c>
      <c r="F851">
        <v>2</v>
      </c>
      <c r="G851">
        <v>41</v>
      </c>
      <c r="H851" s="2">
        <v>44250.970636574071</v>
      </c>
    </row>
    <row r="852" spans="1:8" ht="14.25" customHeight="1" x14ac:dyDescent="0.3">
      <c r="A852">
        <v>1298849</v>
      </c>
      <c r="B852" t="e">
        <f>- internet connections issues</f>
        <v>#NAME?</v>
      </c>
      <c r="C852" t="e">
        <f>- internet connections issues
                                                                                                                                                                                                                                                                need to investigate internet connections issues since moving to the cloud. determine if faster speeds are required. bring the results to vito.
 no
 everyone
 work impacting</f>
        <v>#NAME?</v>
      </c>
      <c r="D852" t="s">
        <v>24</v>
      </c>
      <c r="E852">
        <v>3</v>
      </c>
      <c r="F852">
        <v>2</v>
      </c>
      <c r="G852">
        <v>41</v>
      </c>
      <c r="H852" s="2">
        <v>44250.97084490741</v>
      </c>
    </row>
    <row r="853" spans="1:8" ht="14.25" customHeight="1" x14ac:dyDescent="0.3">
      <c r="A853">
        <v>1299359</v>
      </c>
      <c r="B853" t="s">
        <v>5550</v>
      </c>
      <c r="C853" s="1" t="s">
        <v>5551</v>
      </c>
      <c r="D853" t="s">
        <v>11</v>
      </c>
      <c r="E853">
        <v>2</v>
      </c>
      <c r="F853">
        <v>2</v>
      </c>
      <c r="G853">
        <v>41</v>
      </c>
      <c r="H853" s="2">
        <v>44250.973865740743</v>
      </c>
    </row>
    <row r="854" spans="1:8" ht="14.25" customHeight="1" x14ac:dyDescent="0.3">
      <c r="A854">
        <v>1300657</v>
      </c>
      <c r="B854" t="s">
        <v>5552</v>
      </c>
      <c r="C854" s="1" t="s">
        <v>5553</v>
      </c>
      <c r="D854" t="s">
        <v>11</v>
      </c>
      <c r="E854">
        <v>2</v>
      </c>
      <c r="F854">
        <v>1</v>
      </c>
      <c r="G854">
        <v>43</v>
      </c>
      <c r="H854" s="2">
        <v>44250.974456018521</v>
      </c>
    </row>
    <row r="855" spans="1:8" ht="14.25" customHeight="1" x14ac:dyDescent="0.3">
      <c r="A855">
        <v>1303351</v>
      </c>
      <c r="B855" t="e">
        <f>- new printer in cor</f>
        <v>#NAME?</v>
      </c>
      <c r="C855" s="1" t="s">
        <v>5554</v>
      </c>
      <c r="D855" t="s">
        <v>11</v>
      </c>
      <c r="E855">
        <v>2</v>
      </c>
      <c r="F855">
        <v>2</v>
      </c>
      <c r="G855">
        <v>43</v>
      </c>
      <c r="H855" s="2">
        <v>44250.974895833337</v>
      </c>
    </row>
    <row r="856" spans="1:8" ht="14.25" customHeight="1" x14ac:dyDescent="0.3">
      <c r="A856">
        <v>1302753</v>
      </c>
      <c r="B856" t="e">
        <f>- questionable email and attachment</f>
        <v>#NAME?</v>
      </c>
      <c r="C856" s="1" t="s">
        <v>5555</v>
      </c>
      <c r="D856" t="s">
        <v>11</v>
      </c>
      <c r="E856">
        <v>2</v>
      </c>
      <c r="F856">
        <v>2</v>
      </c>
      <c r="G856">
        <v>41</v>
      </c>
      <c r="H856" s="2">
        <v>44250.975324074076</v>
      </c>
    </row>
    <row r="857" spans="1:8" ht="14.25" customHeight="1" x14ac:dyDescent="0.3">
      <c r="A857">
        <v>1309911</v>
      </c>
      <c r="B857" t="e">
        <f>- review printers at hewes ohi</f>
        <v>#NAME?</v>
      </c>
      <c r="C857" s="1" t="s">
        <v>5556</v>
      </c>
      <c r="D857" t="s">
        <v>24</v>
      </c>
      <c r="E857">
        <v>1</v>
      </c>
      <c r="F857">
        <v>2</v>
      </c>
      <c r="G857">
        <v>41</v>
      </c>
      <c r="H857" s="2">
        <v>44250.975682870368</v>
      </c>
    </row>
    <row r="858" spans="1:8" ht="14.25" customHeight="1" x14ac:dyDescent="0.3">
      <c r="A858">
        <v>1299336</v>
      </c>
      <c r="B858" t="e">
        <f>- rds - viewpoint - plq capture</f>
        <v>#NAME?</v>
      </c>
      <c r="C858" s="1" t="s">
        <v>5557</v>
      </c>
      <c r="D858" t="s">
        <v>24</v>
      </c>
      <c r="E858">
        <v>2</v>
      </c>
      <c r="F858">
        <v>2</v>
      </c>
      <c r="G858">
        <v>41</v>
      </c>
      <c r="H858" s="2">
        <v>44250.976238425923</v>
      </c>
    </row>
    <row r="859" spans="1:8" ht="14.25" customHeight="1" x14ac:dyDescent="0.3">
      <c r="A859">
        <v>1299472</v>
      </c>
      <c r="B859" t="s">
        <v>5558</v>
      </c>
      <c r="C859" s="1" t="s">
        <v>5559</v>
      </c>
      <c r="D859" t="s">
        <v>11</v>
      </c>
      <c r="E859">
        <v>3</v>
      </c>
      <c r="F859">
        <v>1</v>
      </c>
      <c r="G859">
        <v>43</v>
      </c>
      <c r="H859" s="2">
        <v>44250.977048611108</v>
      </c>
    </row>
    <row r="860" spans="1:8" ht="14.25" customHeight="1" x14ac:dyDescent="0.3">
      <c r="A860">
        <v>1309196</v>
      </c>
      <c r="B860" t="s">
        <v>5560</v>
      </c>
      <c r="C860" s="1" t="s">
        <v>5561</v>
      </c>
      <c r="D860" t="s">
        <v>11</v>
      </c>
      <c r="E860">
        <v>1</v>
      </c>
      <c r="F860">
        <v>2</v>
      </c>
      <c r="G860">
        <v>41</v>
      </c>
      <c r="H860" s="2">
        <v>44250.977685185186</v>
      </c>
    </row>
    <row r="861" spans="1:8" ht="14.25" customHeight="1" x14ac:dyDescent="0.3">
      <c r="A861">
        <v>1296319</v>
      </c>
      <c r="B861" t="s">
        <v>5562</v>
      </c>
      <c r="C861" s="1" t="s">
        <v>5563</v>
      </c>
      <c r="D861" t="s">
        <v>11</v>
      </c>
      <c r="E861">
        <v>1</v>
      </c>
      <c r="F861">
        <v>2</v>
      </c>
      <c r="G861">
        <v>41</v>
      </c>
      <c r="H861" s="2">
        <v>44250.978101851855</v>
      </c>
    </row>
    <row r="862" spans="1:8" ht="14.25" customHeight="1" x14ac:dyDescent="0.3">
      <c r="A862">
        <v>1300614</v>
      </c>
      <c r="B862" t="s">
        <v>5564</v>
      </c>
      <c r="C862" s="1" t="s">
        <v>5565</v>
      </c>
      <c r="D862" t="s">
        <v>11</v>
      </c>
      <c r="E862">
        <v>3</v>
      </c>
      <c r="F862">
        <v>1</v>
      </c>
      <c r="G862">
        <v>43</v>
      </c>
      <c r="H862" s="2">
        <v>44250.978321759256</v>
      </c>
    </row>
    <row r="863" spans="1:8" ht="14.25" customHeight="1" x14ac:dyDescent="0.3">
      <c r="A863">
        <v>1296408</v>
      </c>
      <c r="B863" t="s">
        <v>5566</v>
      </c>
      <c r="C863" s="1" t="s">
        <v>5567</v>
      </c>
      <c r="D863" t="s">
        <v>11</v>
      </c>
      <c r="E863">
        <v>1</v>
      </c>
      <c r="F863">
        <v>2</v>
      </c>
      <c r="G863">
        <v>41</v>
      </c>
      <c r="H863" s="2">
        <v>44250.978819444441</v>
      </c>
    </row>
    <row r="864" spans="1:8" ht="14.25" customHeight="1" x14ac:dyDescent="0.3">
      <c r="A864">
        <v>1299850</v>
      </c>
      <c r="B864" t="e">
        <f>- xcharge hewes way not loading</f>
        <v>#NAME?</v>
      </c>
      <c r="C864" s="1" t="s">
        <v>5568</v>
      </c>
      <c r="D864" t="s">
        <v>24</v>
      </c>
      <c r="E864">
        <v>2</v>
      </c>
      <c r="F864">
        <v>3</v>
      </c>
      <c r="G864">
        <v>41</v>
      </c>
      <c r="H864" s="2">
        <v>44250.979062500002</v>
      </c>
    </row>
    <row r="865" spans="1:8" ht="14.25" customHeight="1" x14ac:dyDescent="0.3">
      <c r="A865">
        <v>1300040</v>
      </c>
      <c r="B865" t="e">
        <f>- fortigate ssl inspection issue?</f>
        <v>#NAME?</v>
      </c>
      <c r="C865" s="1" t="s">
        <v>5569</v>
      </c>
      <c r="D865" t="s">
        <v>24</v>
      </c>
      <c r="E865">
        <v>2</v>
      </c>
      <c r="F865">
        <v>2</v>
      </c>
      <c r="G865">
        <v>41</v>
      </c>
      <c r="H865" s="2">
        <v>44250.979479166665</v>
      </c>
    </row>
    <row r="866" spans="1:8" ht="14.25" customHeight="1" x14ac:dyDescent="0.3">
      <c r="A866">
        <v>1295883</v>
      </c>
      <c r="B866" t="e">
        <f>- caseware update - urgent</f>
        <v>#NAME?</v>
      </c>
      <c r="C866" s="1" t="s">
        <v>5570</v>
      </c>
      <c r="D866" t="s">
        <v>24</v>
      </c>
      <c r="E866">
        <v>2</v>
      </c>
      <c r="F866">
        <v>3</v>
      </c>
      <c r="G866">
        <v>43</v>
      </c>
      <c r="H866" s="2">
        <v>44250.980520833335</v>
      </c>
    </row>
    <row r="867" spans="1:8" ht="14.25" customHeight="1" x14ac:dyDescent="0.3">
      <c r="A867">
        <v>1298196</v>
      </c>
      <c r="B867" t="s">
        <v>5571</v>
      </c>
      <c r="C867" s="1" t="s">
        <v>5572</v>
      </c>
      <c r="D867" t="s">
        <v>11</v>
      </c>
      <c r="E867">
        <v>2</v>
      </c>
      <c r="F867">
        <v>2</v>
      </c>
      <c r="G867">
        <v>41</v>
      </c>
      <c r="H867" s="2">
        <v>44250.981030092589</v>
      </c>
    </row>
    <row r="868" spans="1:8" ht="14.25" customHeight="1" x14ac:dyDescent="0.3">
      <c r="A868">
        <v>1299199</v>
      </c>
      <c r="B868" t="e">
        <f>- can not use dolphin imaging in hewes</f>
        <v>#NAME?</v>
      </c>
      <c r="C868" s="1" t="s">
        <v>5573</v>
      </c>
      <c r="D868" t="s">
        <v>24</v>
      </c>
      <c r="E868">
        <v>3</v>
      </c>
      <c r="F868">
        <v>3</v>
      </c>
      <c r="G868">
        <v>41</v>
      </c>
      <c r="H868" s="2">
        <v>44250.981157407405</v>
      </c>
    </row>
    <row r="869" spans="1:8" ht="14.25" customHeight="1" x14ac:dyDescent="0.3">
      <c r="A869">
        <v>1310802</v>
      </c>
      <c r="B869" t="s">
        <v>5574</v>
      </c>
      <c r="C869" s="1" t="s">
        <v>5575</v>
      </c>
      <c r="D869" t="s">
        <v>11</v>
      </c>
      <c r="E869">
        <v>1</v>
      </c>
      <c r="F869">
        <v>1</v>
      </c>
      <c r="G869">
        <v>41</v>
      </c>
      <c r="H869" s="2">
        <v>44250.981354166666</v>
      </c>
    </row>
    <row r="870" spans="1:8" ht="14.25" customHeight="1" x14ac:dyDescent="0.3">
      <c r="A870">
        <v>1295230</v>
      </c>
      <c r="B870" t="s">
        <v>5576</v>
      </c>
      <c r="C870" s="1" t="s">
        <v>5577</v>
      </c>
      <c r="D870" t="s">
        <v>11</v>
      </c>
      <c r="E870">
        <v>1</v>
      </c>
      <c r="F870">
        <v>1</v>
      </c>
      <c r="G870">
        <v>43</v>
      </c>
      <c r="H870" s="2">
        <v>44250.981504629628</v>
      </c>
    </row>
    <row r="871" spans="1:8" ht="14.25" customHeight="1" x14ac:dyDescent="0.3">
      <c r="A871">
        <v>1295704</v>
      </c>
      <c r="B871" t="s">
        <v>5578</v>
      </c>
      <c r="C871" s="1" t="s">
        <v>5579</v>
      </c>
      <c r="D871" t="s">
        <v>11</v>
      </c>
      <c r="E871">
        <v>2</v>
      </c>
      <c r="F871">
        <v>2</v>
      </c>
      <c r="G871">
        <v>41</v>
      </c>
      <c r="H871" s="2">
        <v>44250.981863425928</v>
      </c>
    </row>
    <row r="872" spans="1:8" ht="14.25" customHeight="1" x14ac:dyDescent="0.3">
      <c r="A872">
        <v>1296824</v>
      </c>
      <c r="B872" t="s">
        <v>5580</v>
      </c>
      <c r="C872" s="1" t="s">
        <v>5581</v>
      </c>
      <c r="D872" t="s">
        <v>11</v>
      </c>
      <c r="E872">
        <v>2</v>
      </c>
      <c r="F872">
        <v>2</v>
      </c>
      <c r="G872">
        <v>41</v>
      </c>
      <c r="H872" s="2">
        <v>44250.982118055559</v>
      </c>
    </row>
    <row r="873" spans="1:8" ht="14.25" customHeight="1" x14ac:dyDescent="0.3">
      <c r="A873">
        <v>1296939</v>
      </c>
      <c r="B873" t="s">
        <v>5582</v>
      </c>
      <c r="C873" s="1" t="s">
        <v>5583</v>
      </c>
      <c r="D873" t="s">
        <v>11</v>
      </c>
      <c r="E873">
        <v>3</v>
      </c>
      <c r="F873">
        <v>2</v>
      </c>
      <c r="G873">
        <v>41</v>
      </c>
      <c r="H873" s="2">
        <v>44250.983240740738</v>
      </c>
    </row>
    <row r="874" spans="1:8" ht="14.25" customHeight="1" x14ac:dyDescent="0.3">
      <c r="A874">
        <v>1294615</v>
      </c>
      <c r="B874" t="s">
        <v>5584</v>
      </c>
      <c r="C874" s="1" t="s">
        <v>5585</v>
      </c>
      <c r="D874" t="s">
        <v>24</v>
      </c>
      <c r="E874">
        <v>1</v>
      </c>
      <c r="F874">
        <v>1</v>
      </c>
      <c r="G874">
        <v>36</v>
      </c>
      <c r="H874" s="2">
        <v>44250.984166666669</v>
      </c>
    </row>
    <row r="875" spans="1:8" ht="14.25" customHeight="1" x14ac:dyDescent="0.3">
      <c r="A875">
        <v>1298880</v>
      </c>
      <c r="B875" t="e">
        <f>- increase size of e drive in esxi for nc-apg-BE1</f>
        <v>#NAME?</v>
      </c>
      <c r="C875" s="1" t="s">
        <v>5586</v>
      </c>
      <c r="D875" t="s">
        <v>24</v>
      </c>
      <c r="E875">
        <v>3</v>
      </c>
      <c r="F875">
        <v>2</v>
      </c>
      <c r="G875">
        <v>43</v>
      </c>
      <c r="H875" s="2">
        <v>44250.984444444446</v>
      </c>
    </row>
    <row r="876" spans="1:8" ht="14.25" customHeight="1" x14ac:dyDescent="0.3">
      <c r="A876">
        <v>1295147</v>
      </c>
      <c r="B876" t="e">
        <f>- site E3 connie stang</f>
        <v>#NAME?</v>
      </c>
      <c r="C876" s="1" t="s">
        <v>5587</v>
      </c>
      <c r="D876" t="s">
        <v>11</v>
      </c>
      <c r="E876">
        <v>1</v>
      </c>
      <c r="F876">
        <v>1</v>
      </c>
      <c r="G876">
        <v>43</v>
      </c>
      <c r="H876" s="2">
        <v>44250.9846412037</v>
      </c>
    </row>
    <row r="877" spans="1:8" ht="14.25" customHeight="1" x14ac:dyDescent="0.3">
      <c r="A877">
        <v>1296422</v>
      </c>
      <c r="B877" t="e">
        <f>- ntd down?</f>
        <v>#NAME?</v>
      </c>
      <c r="C877" s="1" t="s">
        <v>5588</v>
      </c>
      <c r="D877" t="s">
        <v>24</v>
      </c>
      <c r="E877">
        <v>2</v>
      </c>
      <c r="F877">
        <v>2</v>
      </c>
      <c r="G877">
        <v>41</v>
      </c>
      <c r="H877" s="2">
        <v>44250.984918981485</v>
      </c>
    </row>
    <row r="878" spans="1:8" ht="14.25" customHeight="1" x14ac:dyDescent="0.3">
      <c r="A878">
        <v>1302184</v>
      </c>
      <c r="B878" t="s">
        <v>5589</v>
      </c>
      <c r="C878" s="1" t="s">
        <v>5590</v>
      </c>
      <c r="D878" t="s">
        <v>11</v>
      </c>
      <c r="E878">
        <v>2</v>
      </c>
      <c r="F878">
        <v>2</v>
      </c>
      <c r="G878">
        <v>41</v>
      </c>
      <c r="H878" s="2">
        <v>44250.985173611109</v>
      </c>
    </row>
    <row r="879" spans="1:8" ht="14.25" customHeight="1" x14ac:dyDescent="0.3">
      <c r="A879">
        <v>1309898</v>
      </c>
      <c r="B879" t="s">
        <v>3686</v>
      </c>
      <c r="C879" s="1" t="s">
        <v>5591</v>
      </c>
      <c r="D879" t="s">
        <v>24</v>
      </c>
      <c r="E879">
        <v>1</v>
      </c>
      <c r="F879">
        <v>2</v>
      </c>
      <c r="G879">
        <v>41</v>
      </c>
      <c r="H879" s="2">
        <v>44250.985578703701</v>
      </c>
    </row>
    <row r="880" spans="1:8" ht="14.25" customHeight="1" x14ac:dyDescent="0.3">
      <c r="A880">
        <v>1295488</v>
      </c>
      <c r="B880" t="s">
        <v>4831</v>
      </c>
      <c r="C880" t="s">
        <v>4832</v>
      </c>
      <c r="D880" t="s">
        <v>1158</v>
      </c>
      <c r="E880">
        <v>1</v>
      </c>
      <c r="F880">
        <v>1</v>
      </c>
      <c r="G880">
        <v>36</v>
      </c>
      <c r="H880" s="2">
        <v>44250.985763888886</v>
      </c>
    </row>
    <row r="881" spans="1:8" ht="14.25" customHeight="1" x14ac:dyDescent="0.3">
      <c r="A881">
        <v>1297016</v>
      </c>
      <c r="B881" t="e">
        <f>- receiving excel documents via email</f>
        <v>#NAME?</v>
      </c>
      <c r="C881" s="1" t="s">
        <v>5592</v>
      </c>
      <c r="D881" t="s">
        <v>24</v>
      </c>
      <c r="E881">
        <v>1</v>
      </c>
      <c r="F881">
        <v>2</v>
      </c>
      <c r="G881">
        <v>41</v>
      </c>
      <c r="H881" s="2">
        <v>44250.985983796294</v>
      </c>
    </row>
    <row r="882" spans="1:8" ht="14.25" customHeight="1" x14ac:dyDescent="0.3">
      <c r="A882">
        <v>1295795</v>
      </c>
      <c r="B882" t="s">
        <v>5593</v>
      </c>
      <c r="C882" s="1" t="s">
        <v>5594</v>
      </c>
      <c r="D882" t="s">
        <v>24</v>
      </c>
      <c r="E882">
        <v>1</v>
      </c>
      <c r="F882">
        <v>2</v>
      </c>
      <c r="G882">
        <v>41</v>
      </c>
      <c r="H882" s="2">
        <v>44250.986238425925</v>
      </c>
    </row>
    <row r="883" spans="1:8" ht="14.25" customHeight="1" x14ac:dyDescent="0.3">
      <c r="A883">
        <v>1295674</v>
      </c>
      <c r="B883" t="e">
        <f>- alignstaff wifi is down</f>
        <v>#NAME?</v>
      </c>
      <c r="C883" s="1" t="s">
        <v>5595</v>
      </c>
      <c r="D883" t="s">
        <v>24</v>
      </c>
      <c r="E883">
        <v>2</v>
      </c>
      <c r="F883">
        <v>3</v>
      </c>
      <c r="G883">
        <v>41</v>
      </c>
      <c r="H883" s="2">
        <v>44250.98646990741</v>
      </c>
    </row>
    <row r="884" spans="1:8" ht="14.25" customHeight="1" x14ac:dyDescent="0.3">
      <c r="A884">
        <v>1309195</v>
      </c>
      <c r="B884" t="s">
        <v>5596</v>
      </c>
      <c r="C884" s="1" t="s">
        <v>5597</v>
      </c>
      <c r="D884" t="s">
        <v>11</v>
      </c>
      <c r="E884">
        <v>2</v>
      </c>
      <c r="F884">
        <v>2</v>
      </c>
      <c r="G884">
        <v>41</v>
      </c>
      <c r="H884" s="2">
        <v>44250.994872685187</v>
      </c>
    </row>
    <row r="885" spans="1:8" ht="14.25" customHeight="1" x14ac:dyDescent="0.3">
      <c r="A885">
        <v>1293163</v>
      </c>
      <c r="B885" t="e">
        <f>- carya - expand 'c': for nc-carya-RDS5</f>
        <v>#NAME?</v>
      </c>
      <c r="C885" s="1" t="s">
        <v>5598</v>
      </c>
      <c r="D885" t="s">
        <v>24</v>
      </c>
      <c r="E885">
        <v>3</v>
      </c>
      <c r="F885">
        <v>2</v>
      </c>
      <c r="G885">
        <v>43</v>
      </c>
      <c r="H885" s="2">
        <v>44250.994942129626</v>
      </c>
    </row>
    <row r="886" spans="1:8" ht="14.25" customHeight="1" x14ac:dyDescent="0.3">
      <c r="A886">
        <v>1299345</v>
      </c>
      <c r="B886" t="e">
        <f>- e4c- need drive space added</f>
        <v>#NAME?</v>
      </c>
      <c r="C886" s="1" t="s">
        <v>5599</v>
      </c>
      <c r="D886" t="s">
        <v>24</v>
      </c>
      <c r="E886">
        <v>3</v>
      </c>
      <c r="F886">
        <v>2</v>
      </c>
      <c r="G886">
        <v>43</v>
      </c>
      <c r="H886" s="2">
        <v>44250.996134259258</v>
      </c>
    </row>
    <row r="887" spans="1:8" ht="14.25" customHeight="1" x14ac:dyDescent="0.3">
      <c r="A887">
        <v>1295765</v>
      </c>
      <c r="B887" t="e">
        <f>- new itg company inaccessible</f>
        <v>#NAME?</v>
      </c>
      <c r="C887" s="1" t="s">
        <v>5600</v>
      </c>
      <c r="D887" t="s">
        <v>24</v>
      </c>
      <c r="E887">
        <v>1</v>
      </c>
      <c r="F887">
        <v>2</v>
      </c>
      <c r="G887">
        <v>41</v>
      </c>
      <c r="H887" s="2">
        <v>44250.997002314813</v>
      </c>
    </row>
    <row r="888" spans="1:8" ht="14.25" customHeight="1" x14ac:dyDescent="0.3">
      <c r="A888">
        <v>1294564</v>
      </c>
      <c r="B888" t="e">
        <f>- edmonton studio internet connection</f>
        <v>#NAME?</v>
      </c>
      <c r="C888" s="1" t="s">
        <v>5601</v>
      </c>
      <c r="D888" t="s">
        <v>24</v>
      </c>
      <c r="E888">
        <v>3</v>
      </c>
      <c r="F888">
        <v>1</v>
      </c>
      <c r="G888">
        <v>41</v>
      </c>
      <c r="H888" s="2">
        <v>44250.997939814813</v>
      </c>
    </row>
    <row r="889" spans="1:8" ht="14.25" customHeight="1" x14ac:dyDescent="0.3">
      <c r="A889">
        <v>1296863</v>
      </c>
      <c r="B889" t="s">
        <v>3809</v>
      </c>
      <c r="C889" s="1" t="s">
        <v>5602</v>
      </c>
      <c r="D889" t="s">
        <v>11</v>
      </c>
      <c r="E889">
        <v>2</v>
      </c>
      <c r="F889">
        <v>2</v>
      </c>
      <c r="G889">
        <v>41</v>
      </c>
      <c r="H889" s="2">
        <v>44251.000462962962</v>
      </c>
    </row>
    <row r="890" spans="1:8" ht="14.25" customHeight="1" x14ac:dyDescent="0.3">
      <c r="A890">
        <v>1291681</v>
      </c>
      <c r="B890" t="s">
        <v>5603</v>
      </c>
      <c r="C890" s="1" t="s">
        <v>5604</v>
      </c>
      <c r="D890" t="s">
        <v>11</v>
      </c>
      <c r="E890">
        <v>1</v>
      </c>
      <c r="F890">
        <v>2</v>
      </c>
      <c r="G890">
        <v>43</v>
      </c>
      <c r="H890" s="2">
        <v>44251.002060185187</v>
      </c>
    </row>
    <row r="891" spans="1:8" ht="14.25" customHeight="1" x14ac:dyDescent="0.3">
      <c r="A891">
        <v>1292233</v>
      </c>
      <c r="B891" t="e">
        <f>- tickets not changing status to in progress when a client replies</f>
        <v>#NAME?</v>
      </c>
      <c r="C891" s="1" t="s">
        <v>5605</v>
      </c>
      <c r="D891" t="s">
        <v>24</v>
      </c>
      <c r="E891">
        <v>3</v>
      </c>
      <c r="F891">
        <v>2</v>
      </c>
      <c r="G891">
        <v>41</v>
      </c>
      <c r="H891" s="2">
        <v>44251.002766203703</v>
      </c>
    </row>
    <row r="892" spans="1:8" ht="14.25" customHeight="1" x14ac:dyDescent="0.3">
      <c r="A892">
        <v>1294569</v>
      </c>
      <c r="B892" t="e">
        <f>- nc-dske-BE1 - d drive</f>
        <v>#NAME?</v>
      </c>
      <c r="C892" s="1" t="s">
        <v>5606</v>
      </c>
      <c r="D892" t="s">
        <v>24</v>
      </c>
      <c r="E892">
        <v>3</v>
      </c>
      <c r="F892">
        <v>2</v>
      </c>
      <c r="G892">
        <v>43</v>
      </c>
      <c r="H892" s="2">
        <v>44251.003078703703</v>
      </c>
    </row>
    <row r="893" spans="1:8" ht="14.25" customHeight="1" x14ac:dyDescent="0.3">
      <c r="A893">
        <v>1291659</v>
      </c>
      <c r="B893" t="e">
        <f>- act issues</f>
        <v>#NAME?</v>
      </c>
      <c r="C893" t="s">
        <v>5607</v>
      </c>
      <c r="D893" t="s">
        <v>11</v>
      </c>
      <c r="E893">
        <v>1</v>
      </c>
      <c r="F893">
        <v>2</v>
      </c>
      <c r="G893">
        <v>41</v>
      </c>
      <c r="H893" s="2">
        <v>44251.00341435185</v>
      </c>
    </row>
    <row r="894" spans="1:8" ht="14.25" customHeight="1" x14ac:dyDescent="0.3">
      <c r="A894">
        <v>1292633</v>
      </c>
      <c r="B894" t="s">
        <v>5608</v>
      </c>
      <c r="C894" s="1" t="s">
        <v>5609</v>
      </c>
      <c r="D894" t="s">
        <v>11</v>
      </c>
      <c r="E894">
        <v>1</v>
      </c>
      <c r="F894">
        <v>2</v>
      </c>
      <c r="G894">
        <v>41</v>
      </c>
      <c r="H894" s="2">
        <v>44251.004212962966</v>
      </c>
    </row>
    <row r="895" spans="1:8" ht="14.25" customHeight="1" x14ac:dyDescent="0.3">
      <c r="A895">
        <v>1291578</v>
      </c>
      <c r="B895" t="e">
        <f>- blue circle - drive expansion</f>
        <v>#NAME?</v>
      </c>
      <c r="C895" s="1" t="s">
        <v>5610</v>
      </c>
      <c r="D895" t="s">
        <v>24</v>
      </c>
      <c r="E895">
        <v>3</v>
      </c>
      <c r="F895">
        <v>2</v>
      </c>
      <c r="G895">
        <v>43</v>
      </c>
      <c r="H895" s="2">
        <v>44251.004444444443</v>
      </c>
    </row>
    <row r="896" spans="1:8" ht="14.25" customHeight="1" x14ac:dyDescent="0.3">
      <c r="A896">
        <v>1292096</v>
      </c>
      <c r="B896" t="s">
        <v>5611</v>
      </c>
      <c r="C896" s="1" t="s">
        <v>5612</v>
      </c>
      <c r="D896" t="s">
        <v>11</v>
      </c>
      <c r="E896">
        <v>3</v>
      </c>
      <c r="F896">
        <v>2</v>
      </c>
      <c r="G896">
        <v>41</v>
      </c>
      <c r="H896" s="2">
        <v>44251.005277777775</v>
      </c>
    </row>
    <row r="897" spans="1:8" ht="14.25" customHeight="1" x14ac:dyDescent="0.3">
      <c r="A897">
        <v>1293245</v>
      </c>
      <c r="B897" t="e">
        <f>-saving pdf files on server</f>
        <v>#NAME?</v>
      </c>
      <c r="C897" s="1" t="s">
        <v>5613</v>
      </c>
      <c r="D897" t="s">
        <v>11</v>
      </c>
      <c r="E897">
        <v>2</v>
      </c>
      <c r="F897">
        <v>2</v>
      </c>
      <c r="G897">
        <v>41</v>
      </c>
      <c r="H897" s="2">
        <v>44251.005381944444</v>
      </c>
    </row>
    <row r="898" spans="1:8" ht="14.25" customHeight="1" x14ac:dyDescent="0.3">
      <c r="A898">
        <v>1366248</v>
      </c>
      <c r="B898" t="s">
        <v>5614</v>
      </c>
      <c r="C898" s="1" t="s">
        <v>5615</v>
      </c>
      <c r="D898" t="s">
        <v>11</v>
      </c>
      <c r="E898">
        <v>1</v>
      </c>
      <c r="F898">
        <v>3</v>
      </c>
      <c r="G898">
        <v>41</v>
      </c>
      <c r="H898" s="2">
        <v>44251.00708333333</v>
      </c>
    </row>
    <row r="899" spans="1:8" ht="14.25" customHeight="1" x14ac:dyDescent="0.3">
      <c r="A899">
        <v>1365764</v>
      </c>
      <c r="B899" t="e">
        <f>- adobe not working</f>
        <v>#NAME?</v>
      </c>
      <c r="C899" s="1" t="s">
        <v>5616</v>
      </c>
      <c r="D899" t="s">
        <v>24</v>
      </c>
      <c r="E899">
        <v>1</v>
      </c>
      <c r="F899">
        <v>3</v>
      </c>
      <c r="G899">
        <v>41</v>
      </c>
      <c r="H899" s="2">
        <v>44251.007685185185</v>
      </c>
    </row>
    <row r="900" spans="1:8" ht="14.25" customHeight="1" x14ac:dyDescent="0.3">
      <c r="A900">
        <v>1365632</v>
      </c>
      <c r="B900" t="s">
        <v>5617</v>
      </c>
      <c r="C900" s="1" t="s">
        <v>5618</v>
      </c>
      <c r="D900" t="s">
        <v>11</v>
      </c>
      <c r="E900">
        <v>1</v>
      </c>
      <c r="F900">
        <v>3</v>
      </c>
      <c r="G900">
        <v>41</v>
      </c>
      <c r="H900" s="2">
        <v>44251.008483796293</v>
      </c>
    </row>
    <row r="901" spans="1:8" ht="14.25" customHeight="1" x14ac:dyDescent="0.3">
      <c r="A901">
        <v>1366166</v>
      </c>
      <c r="B901" t="e">
        <f>- ssa request to order new laptop and monitor</f>
        <v>#NAME?</v>
      </c>
      <c r="C901" s="1" t="s">
        <v>5619</v>
      </c>
      <c r="D901" t="s">
        <v>11</v>
      </c>
      <c r="E901">
        <v>1</v>
      </c>
      <c r="F901">
        <v>3</v>
      </c>
      <c r="G901">
        <v>36</v>
      </c>
      <c r="H901" s="2">
        <v>44251.008668981478</v>
      </c>
    </row>
    <row r="902" spans="1:8" ht="14.25" customHeight="1" x14ac:dyDescent="0.3">
      <c r="A902">
        <v>1365703</v>
      </c>
      <c r="B902" t="e">
        <f>- missing email</f>
        <v>#NAME?</v>
      </c>
      <c r="C902" s="1" t="s">
        <v>5620</v>
      </c>
      <c r="D902" t="s">
        <v>24</v>
      </c>
      <c r="E902">
        <v>1</v>
      </c>
      <c r="F902">
        <v>2</v>
      </c>
      <c r="G902">
        <v>41</v>
      </c>
      <c r="H902" s="2">
        <v>44251.00886574074</v>
      </c>
    </row>
    <row r="903" spans="1:8" ht="14.25" customHeight="1" x14ac:dyDescent="0.3">
      <c r="A903">
        <v>1365110</v>
      </c>
      <c r="B903" t="s">
        <v>5621</v>
      </c>
      <c r="C903" s="1" t="s">
        <v>5622</v>
      </c>
      <c r="D903" t="s">
        <v>24</v>
      </c>
      <c r="E903">
        <v>1</v>
      </c>
      <c r="F903">
        <v>3</v>
      </c>
      <c r="G903">
        <v>41</v>
      </c>
      <c r="H903" s="2">
        <v>44251.00984953704</v>
      </c>
    </row>
    <row r="904" spans="1:8" ht="14.25" customHeight="1" x14ac:dyDescent="0.3">
      <c r="A904">
        <v>1366274</v>
      </c>
      <c r="B904" t="e">
        <f>- adobe still not fully functioning</f>
        <v>#NAME?</v>
      </c>
      <c r="C904" s="1" t="s">
        <v>5623</v>
      </c>
      <c r="D904" t="s">
        <v>24</v>
      </c>
      <c r="E904">
        <v>1</v>
      </c>
      <c r="F904">
        <v>2</v>
      </c>
      <c r="G904">
        <v>41</v>
      </c>
      <c r="H904" s="2">
        <v>44251.013113425928</v>
      </c>
    </row>
    <row r="905" spans="1:8" ht="14.25" customHeight="1" x14ac:dyDescent="0.3">
      <c r="A905">
        <v>1365673</v>
      </c>
      <c r="B905" t="e">
        <f>- access to hr mailbox for elisha chung</f>
        <v>#NAME?</v>
      </c>
      <c r="C905" s="1" t="s">
        <v>5624</v>
      </c>
      <c r="D905" t="s">
        <v>24</v>
      </c>
      <c r="E905">
        <v>1</v>
      </c>
      <c r="F905">
        <v>2</v>
      </c>
      <c r="G905">
        <v>43</v>
      </c>
      <c r="H905" s="2">
        <v>44251.014432870368</v>
      </c>
    </row>
    <row r="906" spans="1:8" ht="14.25" customHeight="1" x14ac:dyDescent="0.3">
      <c r="A906">
        <v>1365678</v>
      </c>
      <c r="B906" t="e">
        <f>- set-up of laptop - ed2551for kari lisowski</f>
        <v>#NAME?</v>
      </c>
      <c r="C906" s="1" t="s">
        <v>5625</v>
      </c>
      <c r="D906" t="s">
        <v>24</v>
      </c>
      <c r="E906">
        <v>1</v>
      </c>
      <c r="F906">
        <v>3</v>
      </c>
      <c r="G906">
        <v>43</v>
      </c>
      <c r="H906" s="2">
        <v>44251.014826388891</v>
      </c>
    </row>
    <row r="907" spans="1:8" ht="14.25" customHeight="1" x14ac:dyDescent="0.3">
      <c r="A907">
        <v>1366390</v>
      </c>
      <c r="B907" t="e">
        <f>- email hacked</f>
        <v>#NAME?</v>
      </c>
      <c r="C907" s="1" t="s">
        <v>5626</v>
      </c>
      <c r="D907" t="s">
        <v>11</v>
      </c>
      <c r="E907">
        <v>1</v>
      </c>
      <c r="F907">
        <v>3</v>
      </c>
      <c r="G907">
        <v>41</v>
      </c>
      <c r="H907" s="2">
        <v>44251.015023148146</v>
      </c>
    </row>
    <row r="908" spans="1:8" ht="14.25" customHeight="1" x14ac:dyDescent="0.3">
      <c r="A908">
        <v>1366086</v>
      </c>
      <c r="B908" t="e">
        <f>- remove leasure from all team cl marketing in outlook</f>
        <v>#NAME?</v>
      </c>
      <c r="C908" s="1" t="s">
        <v>5627</v>
      </c>
      <c r="D908" t="s">
        <v>11</v>
      </c>
      <c r="E908">
        <v>1</v>
      </c>
      <c r="F908">
        <v>1</v>
      </c>
      <c r="G908">
        <v>43</v>
      </c>
      <c r="H908" s="2">
        <v>44251.015231481484</v>
      </c>
    </row>
    <row r="909" spans="1:8" ht="14.25" customHeight="1" x14ac:dyDescent="0.3">
      <c r="A909">
        <v>1365557</v>
      </c>
      <c r="B909" t="e">
        <f>- cannot connect to vpn</f>
        <v>#NAME?</v>
      </c>
      <c r="C909" s="1" t="s">
        <v>5628</v>
      </c>
      <c r="D909" t="s">
        <v>11</v>
      </c>
      <c r="E909">
        <v>1</v>
      </c>
      <c r="F909">
        <v>3</v>
      </c>
      <c r="G909">
        <v>41</v>
      </c>
      <c r="H909" s="2">
        <v>44251.015474537038</v>
      </c>
    </row>
    <row r="910" spans="1:8" ht="14.25" customHeight="1" x14ac:dyDescent="0.3">
      <c r="A910">
        <v>1366144</v>
      </c>
      <c r="B910" t="e">
        <f>- access to the carf accreditation standards</f>
        <v>#NAME?</v>
      </c>
      <c r="C910" s="1" t="s">
        <v>5629</v>
      </c>
      <c r="D910" t="s">
        <v>11</v>
      </c>
      <c r="E910">
        <v>1</v>
      </c>
      <c r="F910">
        <v>1</v>
      </c>
      <c r="G910">
        <v>43</v>
      </c>
      <c r="H910" s="2">
        <v>44251.015717592592</v>
      </c>
    </row>
    <row r="911" spans="1:8" ht="14.25" customHeight="1" x14ac:dyDescent="0.3">
      <c r="A911">
        <v>1365073</v>
      </c>
      <c r="B911" t="e">
        <f>- verification email</f>
        <v>#NAME?</v>
      </c>
      <c r="C911" s="1" t="s">
        <v>5630</v>
      </c>
      <c r="D911" t="s">
        <v>24</v>
      </c>
      <c r="E911">
        <v>1</v>
      </c>
      <c r="F911">
        <v>3</v>
      </c>
      <c r="G911">
        <v>41</v>
      </c>
      <c r="H911" s="2">
        <v>44251.016041666669</v>
      </c>
    </row>
    <row r="912" spans="1:8" ht="14.25" customHeight="1" x14ac:dyDescent="0.3">
      <c r="A912">
        <v>1365055</v>
      </c>
      <c r="B912" t="s">
        <v>5631</v>
      </c>
      <c r="C912" s="1" t="s">
        <v>5632</v>
      </c>
      <c r="D912" t="s">
        <v>24</v>
      </c>
      <c r="E912">
        <v>1</v>
      </c>
      <c r="F912">
        <v>2</v>
      </c>
      <c r="G912">
        <v>43</v>
      </c>
      <c r="H912" s="2">
        <v>44251.016226851854</v>
      </c>
    </row>
    <row r="913" spans="1:8" ht="14.25" customHeight="1" x14ac:dyDescent="0.3">
      <c r="A913">
        <v>1364931</v>
      </c>
      <c r="B913" t="e">
        <f>- outlook is not working</f>
        <v>#NAME?</v>
      </c>
      <c r="C913" s="1" t="s">
        <v>5417</v>
      </c>
      <c r="D913" t="s">
        <v>24</v>
      </c>
      <c r="E913">
        <v>1</v>
      </c>
      <c r="F913">
        <v>3</v>
      </c>
      <c r="G913">
        <v>41</v>
      </c>
      <c r="H913" s="2">
        <v>44251.01703703704</v>
      </c>
    </row>
    <row r="914" spans="1:8" ht="14.25" customHeight="1" x14ac:dyDescent="0.3">
      <c r="A914">
        <v>1364587</v>
      </c>
      <c r="B914" t="e">
        <f>- re:  access to sharepoint</f>
        <v>#NAME?</v>
      </c>
      <c r="C914" s="1" t="s">
        <v>5633</v>
      </c>
      <c r="D914" t="s">
        <v>11</v>
      </c>
      <c r="E914">
        <v>1</v>
      </c>
      <c r="F914">
        <v>3</v>
      </c>
      <c r="G914">
        <v>41</v>
      </c>
      <c r="H914" s="2">
        <v>44251.018020833333</v>
      </c>
    </row>
    <row r="915" spans="1:8" ht="14.25" customHeight="1" x14ac:dyDescent="0.3">
      <c r="A915">
        <v>1364530</v>
      </c>
      <c r="B915" t="e">
        <f>- fw: my computer domain name</f>
        <v>#NAME?</v>
      </c>
      <c r="C915" s="1" t="s">
        <v>5634</v>
      </c>
      <c r="D915" t="s">
        <v>11</v>
      </c>
      <c r="E915">
        <v>1</v>
      </c>
      <c r="F915">
        <v>1</v>
      </c>
      <c r="G915">
        <v>43</v>
      </c>
      <c r="H915" s="2">
        <v>44251.018310185187</v>
      </c>
    </row>
    <row r="916" spans="1:8" ht="14.25" customHeight="1" x14ac:dyDescent="0.3">
      <c r="A916">
        <v>1365682</v>
      </c>
      <c r="B916" t="e">
        <f>- emails not coming through</f>
        <v>#NAME?</v>
      </c>
      <c r="C916" s="1" t="s">
        <v>5635</v>
      </c>
      <c r="D916" t="s">
        <v>24</v>
      </c>
      <c r="E916">
        <v>1</v>
      </c>
      <c r="F916">
        <v>2</v>
      </c>
      <c r="G916">
        <v>41</v>
      </c>
      <c r="H916" s="2">
        <v>44251.018634259257</v>
      </c>
    </row>
    <row r="917" spans="1:8" ht="14.25" customHeight="1" x14ac:dyDescent="0.3">
      <c r="A917">
        <v>1366198</v>
      </c>
      <c r="B917" t="e">
        <f>-needs access to admin printer</f>
        <v>#NAME?</v>
      </c>
      <c r="C917" s="1" t="s">
        <v>5636</v>
      </c>
      <c r="D917" t="s">
        <v>11</v>
      </c>
      <c r="E917">
        <v>1</v>
      </c>
      <c r="F917">
        <v>2</v>
      </c>
      <c r="G917">
        <v>41</v>
      </c>
      <c r="H917" s="2">
        <v>44251.020231481481</v>
      </c>
    </row>
    <row r="918" spans="1:8" ht="14.25" customHeight="1" x14ac:dyDescent="0.3">
      <c r="A918">
        <v>1366114</v>
      </c>
      <c r="B918" t="e">
        <f>- audio issues</f>
        <v>#NAME?</v>
      </c>
      <c r="C918" s="1" t="s">
        <v>5637</v>
      </c>
      <c r="D918" t="s">
        <v>11</v>
      </c>
      <c r="E918">
        <v>1</v>
      </c>
      <c r="F918">
        <v>3</v>
      </c>
      <c r="G918">
        <v>41</v>
      </c>
      <c r="H918" s="2">
        <v>44251.020613425928</v>
      </c>
    </row>
    <row r="919" spans="1:8" ht="14.25" customHeight="1" x14ac:dyDescent="0.3">
      <c r="A919">
        <v>1367437</v>
      </c>
      <c r="B919" t="e">
        <f>- set up authenticator</f>
        <v>#NAME?</v>
      </c>
      <c r="C919" s="1" t="s">
        <v>5638</v>
      </c>
      <c r="D919" t="s">
        <v>11</v>
      </c>
      <c r="E919">
        <v>1</v>
      </c>
      <c r="F919">
        <v>3</v>
      </c>
      <c r="G919">
        <v>41</v>
      </c>
      <c r="H919" s="2">
        <v>44251.021006944444</v>
      </c>
    </row>
    <row r="920" spans="1:8" ht="14.25" customHeight="1" x14ac:dyDescent="0.3">
      <c r="A920">
        <v>1365636</v>
      </c>
      <c r="B920" t="e">
        <f>- printer issue</f>
        <v>#NAME?</v>
      </c>
      <c r="C920" s="1" t="s">
        <v>5639</v>
      </c>
      <c r="D920" t="s">
        <v>11</v>
      </c>
      <c r="E920">
        <v>1</v>
      </c>
      <c r="F920">
        <v>2</v>
      </c>
      <c r="G920">
        <v>41</v>
      </c>
      <c r="H920" s="2">
        <v>44251.028854166667</v>
      </c>
    </row>
    <row r="921" spans="1:8" ht="14.25" customHeight="1" x14ac:dyDescent="0.3">
      <c r="A921">
        <v>1365694</v>
      </c>
      <c r="B921" t="e">
        <f>- adobe pro missing off rds</f>
        <v>#NAME?</v>
      </c>
      <c r="C921" s="1" t="s">
        <v>5640</v>
      </c>
      <c r="D921" t="s">
        <v>11</v>
      </c>
      <c r="E921">
        <v>1</v>
      </c>
      <c r="F921">
        <v>2</v>
      </c>
      <c r="G921">
        <v>41</v>
      </c>
      <c r="H921" s="2">
        <v>44251.029490740744</v>
      </c>
    </row>
    <row r="922" spans="1:8" ht="14.25" customHeight="1" x14ac:dyDescent="0.3">
      <c r="A922">
        <v>1365047</v>
      </c>
      <c r="B922" t="e">
        <f>- maclab vpn access</f>
        <v>#NAME?</v>
      </c>
      <c r="C922" s="1" t="s">
        <v>5641</v>
      </c>
      <c r="D922" t="s">
        <v>11</v>
      </c>
      <c r="E922">
        <v>1</v>
      </c>
      <c r="F922">
        <v>3</v>
      </c>
      <c r="G922">
        <v>41</v>
      </c>
      <c r="H922" s="2">
        <v>44251.031493055554</v>
      </c>
    </row>
    <row r="923" spans="1:8" ht="14.25" customHeight="1" x14ac:dyDescent="0.3">
      <c r="A923">
        <v>1364975</v>
      </c>
      <c r="B923" t="s">
        <v>5642</v>
      </c>
      <c r="C923" s="1" t="s">
        <v>5643</v>
      </c>
      <c r="D923" t="s">
        <v>24</v>
      </c>
      <c r="E923">
        <v>3</v>
      </c>
      <c r="F923">
        <v>2</v>
      </c>
      <c r="G923">
        <v>43</v>
      </c>
      <c r="H923" s="2">
        <v>44251.031805555554</v>
      </c>
    </row>
    <row r="924" spans="1:8" ht="14.25" customHeight="1" x14ac:dyDescent="0.3">
      <c r="A924">
        <v>1365550</v>
      </c>
      <c r="B924" t="e">
        <f>- disabled connie olson</f>
        <v>#NAME?</v>
      </c>
      <c r="C924" s="1" t="s">
        <v>5644</v>
      </c>
      <c r="D924" t="s">
        <v>24</v>
      </c>
      <c r="E924">
        <v>1</v>
      </c>
      <c r="F924">
        <v>2</v>
      </c>
      <c r="G924">
        <v>43</v>
      </c>
      <c r="H924" s="2">
        <v>44251.031817129631</v>
      </c>
    </row>
    <row r="925" spans="1:8" ht="14.25" customHeight="1" x14ac:dyDescent="0.3">
      <c r="A925">
        <v>1364580</v>
      </c>
      <c r="B925" t="s">
        <v>5645</v>
      </c>
      <c r="C925" s="1" t="s">
        <v>5646</v>
      </c>
      <c r="D925" t="s">
        <v>24</v>
      </c>
      <c r="E925">
        <v>1</v>
      </c>
      <c r="F925">
        <v>2</v>
      </c>
      <c r="G925">
        <v>36</v>
      </c>
      <c r="H925" s="2">
        <v>44251.032048611109</v>
      </c>
    </row>
    <row r="926" spans="1:8" ht="14.25" customHeight="1" x14ac:dyDescent="0.3">
      <c r="A926">
        <v>1364406</v>
      </c>
      <c r="B926" t="e">
        <f>- acrobat access</f>
        <v>#NAME?</v>
      </c>
      <c r="C926" s="1" t="s">
        <v>5647</v>
      </c>
      <c r="D926" t="s">
        <v>11</v>
      </c>
      <c r="E926">
        <v>1</v>
      </c>
      <c r="F926">
        <v>2</v>
      </c>
      <c r="G926">
        <v>41</v>
      </c>
      <c r="H926" s="2">
        <v>44251.03230324074</v>
      </c>
    </row>
    <row r="927" spans="1:8" ht="14.25" customHeight="1" x14ac:dyDescent="0.3">
      <c r="A927">
        <v>1364223</v>
      </c>
      <c r="B927" t="s">
        <v>5648</v>
      </c>
      <c r="C927" s="1" t="s">
        <v>5649</v>
      </c>
      <c r="D927" t="s">
        <v>11</v>
      </c>
      <c r="E927">
        <v>1</v>
      </c>
      <c r="F927">
        <v>3</v>
      </c>
      <c r="G927">
        <v>41</v>
      </c>
      <c r="H927" s="2">
        <v>44251.032569444447</v>
      </c>
    </row>
    <row r="928" spans="1:8" ht="14.25" customHeight="1" x14ac:dyDescent="0.3">
      <c r="A928">
        <v>1366178</v>
      </c>
      <c r="B928" t="e">
        <f>- excel license for jennifer bare</f>
        <v>#NAME?</v>
      </c>
      <c r="C928" s="1" t="s">
        <v>5650</v>
      </c>
      <c r="D928" t="s">
        <v>24</v>
      </c>
      <c r="E928">
        <v>1</v>
      </c>
      <c r="F928">
        <v>2</v>
      </c>
      <c r="G928">
        <v>43</v>
      </c>
      <c r="H928" s="2">
        <v>44251.623460648145</v>
      </c>
    </row>
    <row r="929" spans="1:8" ht="14.25" customHeight="1" x14ac:dyDescent="0.3">
      <c r="A929">
        <v>1365690</v>
      </c>
      <c r="B929" t="e">
        <f>- meeting panel</f>
        <v>#NAME?</v>
      </c>
      <c r="C929" s="1" t="s">
        <v>5651</v>
      </c>
      <c r="D929" t="s">
        <v>11</v>
      </c>
      <c r="E929">
        <v>2</v>
      </c>
      <c r="F929">
        <v>2</v>
      </c>
      <c r="G929">
        <v>43</v>
      </c>
      <c r="H929" s="2">
        <v>44251.623622685183</v>
      </c>
    </row>
    <row r="930" spans="1:8" ht="14.25" customHeight="1" x14ac:dyDescent="0.3">
      <c r="A930">
        <v>1364960</v>
      </c>
      <c r="B930" t="e">
        <f>- email issues no apnorth access or listed as an email address</f>
        <v>#NAME?</v>
      </c>
      <c r="C930" s="1" t="s">
        <v>5652</v>
      </c>
      <c r="D930" t="s">
        <v>11</v>
      </c>
      <c r="E930">
        <v>2</v>
      </c>
      <c r="F930">
        <v>3</v>
      </c>
      <c r="G930">
        <v>41</v>
      </c>
      <c r="H930" s="2">
        <v>44251.623726851853</v>
      </c>
    </row>
    <row r="931" spans="1:8" ht="14.25" customHeight="1" x14ac:dyDescent="0.3">
      <c r="A931">
        <v>1365540</v>
      </c>
      <c r="B931" t="e">
        <f>- rush urgent: permission change - SR1 screen sharing folder on s drive</f>
        <v>#NAME?</v>
      </c>
      <c r="C931" s="1" t="s">
        <v>5653</v>
      </c>
      <c r="D931" t="s">
        <v>11</v>
      </c>
      <c r="E931">
        <v>1</v>
      </c>
      <c r="F931">
        <v>3</v>
      </c>
      <c r="G931">
        <v>43</v>
      </c>
      <c r="H931" s="2">
        <v>44251.624155092592</v>
      </c>
    </row>
    <row r="932" spans="1:8" ht="14.25" customHeight="1" x14ac:dyDescent="0.3">
      <c r="A932">
        <v>1362557</v>
      </c>
      <c r="B932" t="e">
        <f>- unable to save or combine pdf</f>
        <v>#NAME?</v>
      </c>
      <c r="C932" s="1" t="s">
        <v>5654</v>
      </c>
      <c r="D932" t="s">
        <v>24</v>
      </c>
      <c r="E932">
        <v>1</v>
      </c>
      <c r="F932">
        <v>2</v>
      </c>
      <c r="G932">
        <v>41</v>
      </c>
      <c r="H932" s="2">
        <v>44251.624560185184</v>
      </c>
    </row>
    <row r="933" spans="1:8" ht="14.25" customHeight="1" x14ac:dyDescent="0.3">
      <c r="A933">
        <v>1364540</v>
      </c>
      <c r="B933" t="s">
        <v>5655</v>
      </c>
      <c r="C933" t="s">
        <v>5656</v>
      </c>
      <c r="D933" t="s">
        <v>188</v>
      </c>
      <c r="E933">
        <v>3</v>
      </c>
      <c r="F933">
        <v>2</v>
      </c>
      <c r="G933">
        <v>41</v>
      </c>
      <c r="H933" s="2">
        <v>44251.624664351853</v>
      </c>
    </row>
    <row r="934" spans="1:8" ht="14.25" customHeight="1" x14ac:dyDescent="0.3">
      <c r="A934">
        <v>1364961</v>
      </c>
      <c r="B934" t="e">
        <f>- nd/mnp rds is sloooooow today</f>
        <v>#NAME?</v>
      </c>
      <c r="C934" s="1" t="s">
        <v>5657</v>
      </c>
      <c r="D934" t="s">
        <v>24</v>
      </c>
      <c r="E934">
        <v>1</v>
      </c>
      <c r="F934">
        <v>2</v>
      </c>
      <c r="G934">
        <v>41</v>
      </c>
      <c r="H934" s="2">
        <v>44251.624780092592</v>
      </c>
    </row>
    <row r="935" spans="1:8" ht="14.25" customHeight="1" x14ac:dyDescent="0.3">
      <c r="A935">
        <v>1366148</v>
      </c>
      <c r="B935" t="s">
        <v>5658</v>
      </c>
      <c r="C935" s="1" t="s">
        <v>5659</v>
      </c>
      <c r="D935" t="s">
        <v>11</v>
      </c>
      <c r="E935">
        <v>1</v>
      </c>
      <c r="F935">
        <v>1</v>
      </c>
      <c r="G935">
        <v>43</v>
      </c>
      <c r="H935" s="2">
        <v>44251.624861111108</v>
      </c>
    </row>
    <row r="936" spans="1:8" ht="14.25" customHeight="1" x14ac:dyDescent="0.3">
      <c r="A936">
        <v>1365101</v>
      </c>
      <c r="B936" t="s">
        <v>5660</v>
      </c>
      <c r="C936" s="1" t="s">
        <v>5661</v>
      </c>
      <c r="D936" t="s">
        <v>11</v>
      </c>
      <c r="E936">
        <v>1</v>
      </c>
      <c r="F936">
        <v>1</v>
      </c>
      <c r="G936">
        <v>43</v>
      </c>
      <c r="H936" s="2">
        <v>44251.632777777777</v>
      </c>
    </row>
    <row r="937" spans="1:8" ht="14.25" customHeight="1" x14ac:dyDescent="0.3">
      <c r="A937">
        <v>1362531</v>
      </c>
      <c r="B937" t="e">
        <f>- adobe acrobat pro no longer works</f>
        <v>#NAME?</v>
      </c>
      <c r="C937" s="1" t="s">
        <v>5662</v>
      </c>
      <c r="D937" t="s">
        <v>24</v>
      </c>
      <c r="E937">
        <v>1</v>
      </c>
      <c r="F937">
        <v>2</v>
      </c>
      <c r="G937">
        <v>41</v>
      </c>
      <c r="H937" s="2">
        <v>44251.660740740743</v>
      </c>
    </row>
    <row r="938" spans="1:8" ht="14.25" customHeight="1" x14ac:dyDescent="0.3">
      <c r="A938">
        <v>1362600</v>
      </c>
      <c r="B938" t="e">
        <f>- no adobe all of a sudden</f>
        <v>#NAME?</v>
      </c>
      <c r="C938" s="1" t="s">
        <v>5663</v>
      </c>
      <c r="D938" t="s">
        <v>24</v>
      </c>
      <c r="E938">
        <v>1</v>
      </c>
      <c r="F938">
        <v>2</v>
      </c>
      <c r="G938">
        <v>41</v>
      </c>
      <c r="H938" s="2">
        <v>44251.661134259259</v>
      </c>
    </row>
    <row r="939" spans="1:8" ht="14.25" customHeight="1" x14ac:dyDescent="0.3">
      <c r="A939">
        <v>1364504</v>
      </c>
      <c r="B939" t="e">
        <f>- unable to log in with credentials on new laptop</f>
        <v>#NAME?</v>
      </c>
      <c r="C939" s="1" t="s">
        <v>5664</v>
      </c>
      <c r="D939" t="s">
        <v>24</v>
      </c>
      <c r="E939">
        <v>1</v>
      </c>
      <c r="F939">
        <v>3</v>
      </c>
      <c r="G939">
        <v>41</v>
      </c>
      <c r="H939" s="2">
        <v>44251.667638888888</v>
      </c>
    </row>
    <row r="940" spans="1:8" ht="14.25" customHeight="1" x14ac:dyDescent="0.3">
      <c r="A940">
        <v>1353271</v>
      </c>
      <c r="B940" t="e">
        <f>- new email address - neurology</f>
        <v>#NAME?</v>
      </c>
      <c r="C940" s="1" t="s">
        <v>5665</v>
      </c>
      <c r="D940" t="s">
        <v>11</v>
      </c>
      <c r="E940">
        <v>1</v>
      </c>
      <c r="F940">
        <v>1</v>
      </c>
      <c r="G940">
        <v>43</v>
      </c>
      <c r="H940" s="2">
        <v>44251.667731481481</v>
      </c>
    </row>
    <row r="941" spans="1:8" ht="14.25" customHeight="1" x14ac:dyDescent="0.3">
      <c r="A941">
        <v>1365065</v>
      </c>
      <c r="B941" t="e">
        <f>- cannot view edocs in sig</f>
        <v>#NAME?</v>
      </c>
      <c r="C941" s="1" t="s">
        <v>5666</v>
      </c>
      <c r="D941" t="s">
        <v>24</v>
      </c>
      <c r="E941">
        <v>1</v>
      </c>
      <c r="F941">
        <v>2</v>
      </c>
      <c r="G941">
        <v>41</v>
      </c>
      <c r="H941" s="2">
        <v>44251.667893518519</v>
      </c>
    </row>
    <row r="942" spans="1:8" ht="14.25" customHeight="1" x14ac:dyDescent="0.3">
      <c r="A942">
        <v>1364280</v>
      </c>
      <c r="B942" t="e">
        <f>- cannot connect to vpn</f>
        <v>#NAME?</v>
      </c>
      <c r="C942" s="1" t="s">
        <v>5667</v>
      </c>
      <c r="D942" t="s">
        <v>11</v>
      </c>
      <c r="E942">
        <v>1</v>
      </c>
      <c r="F942">
        <v>3</v>
      </c>
      <c r="G942">
        <v>41</v>
      </c>
      <c r="H942" s="2">
        <v>44251.668113425927</v>
      </c>
    </row>
    <row r="943" spans="1:8" ht="14.25" customHeight="1" x14ac:dyDescent="0.3">
      <c r="A943">
        <v>1353163</v>
      </c>
      <c r="B943" t="s">
        <v>5668</v>
      </c>
      <c r="C943" s="1" t="s">
        <v>5669</v>
      </c>
      <c r="D943" t="s">
        <v>11</v>
      </c>
      <c r="E943">
        <v>1</v>
      </c>
      <c r="F943">
        <v>1</v>
      </c>
      <c r="G943">
        <v>43</v>
      </c>
      <c r="H943" s="2">
        <v>44251.66847222222</v>
      </c>
    </row>
    <row r="944" spans="1:8" ht="14.25" customHeight="1" x14ac:dyDescent="0.3">
      <c r="A944">
        <v>1353142</v>
      </c>
      <c r="B944" t="s">
        <v>5670</v>
      </c>
      <c r="C944" s="1" t="s">
        <v>5671</v>
      </c>
      <c r="D944" t="s">
        <v>24</v>
      </c>
      <c r="E944">
        <v>1</v>
      </c>
      <c r="F944">
        <v>1</v>
      </c>
      <c r="G944">
        <v>36</v>
      </c>
      <c r="H944" s="2">
        <v>44251.668645833335</v>
      </c>
    </row>
    <row r="945" spans="1:8" ht="14.25" customHeight="1" x14ac:dyDescent="0.3">
      <c r="A945">
        <v>1364299</v>
      </c>
      <c r="B945" t="e">
        <f>- cannot connect to rds</f>
        <v>#NAME?</v>
      </c>
      <c r="C945" s="1" t="s">
        <v>5672</v>
      </c>
      <c r="D945" t="s">
        <v>24</v>
      </c>
      <c r="E945">
        <v>1</v>
      </c>
      <c r="F945">
        <v>3</v>
      </c>
      <c r="G945">
        <v>41</v>
      </c>
      <c r="H945" s="2">
        <v>44251.683854166666</v>
      </c>
    </row>
    <row r="946" spans="1:8" ht="14.25" customHeight="1" x14ac:dyDescent="0.3">
      <c r="A946">
        <v>1353171</v>
      </c>
      <c r="B946" t="s">
        <v>5673</v>
      </c>
      <c r="C946" s="1" t="s">
        <v>5674</v>
      </c>
      <c r="D946" t="s">
        <v>11</v>
      </c>
      <c r="E946">
        <v>1</v>
      </c>
      <c r="F946">
        <v>1</v>
      </c>
      <c r="G946">
        <v>41</v>
      </c>
      <c r="H946" s="2">
        <v>44251.684224537035</v>
      </c>
    </row>
    <row r="947" spans="1:8" ht="14.25" customHeight="1" x14ac:dyDescent="0.3">
      <c r="A947">
        <v>1364245</v>
      </c>
      <c r="B947" t="s">
        <v>5675</v>
      </c>
      <c r="C947" s="1" t="s">
        <v>5676</v>
      </c>
      <c r="D947" t="s">
        <v>11</v>
      </c>
      <c r="E947">
        <v>1</v>
      </c>
      <c r="F947">
        <v>3</v>
      </c>
      <c r="G947">
        <v>41</v>
      </c>
      <c r="H947" s="2">
        <v>44251.684351851851</v>
      </c>
    </row>
    <row r="948" spans="1:8" ht="14.25" customHeight="1" x14ac:dyDescent="0.3">
      <c r="A948">
        <v>1362595</v>
      </c>
      <c r="B948" t="e">
        <f>- corals email access change</f>
        <v>#NAME?</v>
      </c>
      <c r="C948" s="1" t="s">
        <v>5677</v>
      </c>
      <c r="D948" t="s">
        <v>11</v>
      </c>
      <c r="E948">
        <v>1</v>
      </c>
      <c r="F948">
        <v>1</v>
      </c>
      <c r="G948">
        <v>43</v>
      </c>
      <c r="H948" s="2">
        <v>44251.685868055552</v>
      </c>
    </row>
    <row r="949" spans="1:8" ht="14.25" customHeight="1" x14ac:dyDescent="0.3">
      <c r="A949">
        <v>1352657</v>
      </c>
      <c r="B949" t="s">
        <v>5678</v>
      </c>
      <c r="C949" s="1" t="s">
        <v>5679</v>
      </c>
      <c r="D949" t="s">
        <v>11</v>
      </c>
      <c r="E949">
        <v>1</v>
      </c>
      <c r="F949">
        <v>1</v>
      </c>
      <c r="G949">
        <v>43</v>
      </c>
      <c r="H949" s="2">
        <v>44251.686053240737</v>
      </c>
    </row>
    <row r="950" spans="1:8" ht="14.25" customHeight="1" x14ac:dyDescent="0.3">
      <c r="A950">
        <v>1352690</v>
      </c>
      <c r="B950" t="s">
        <v>5680</v>
      </c>
      <c r="C950" s="1" t="s">
        <v>5681</v>
      </c>
      <c r="D950" t="s">
        <v>11</v>
      </c>
      <c r="E950">
        <v>1</v>
      </c>
      <c r="F950">
        <v>2</v>
      </c>
      <c r="G950">
        <v>43</v>
      </c>
      <c r="H950" s="2">
        <v>44251.686192129629</v>
      </c>
    </row>
    <row r="951" spans="1:8" ht="14.25" customHeight="1" x14ac:dyDescent="0.3">
      <c r="A951">
        <v>1366172</v>
      </c>
      <c r="B951" t="s">
        <v>5682</v>
      </c>
      <c r="C951" s="1" t="s">
        <v>5683</v>
      </c>
      <c r="D951" t="s">
        <v>11</v>
      </c>
      <c r="E951">
        <v>1</v>
      </c>
      <c r="F951">
        <v>1</v>
      </c>
      <c r="G951">
        <v>43</v>
      </c>
      <c r="H951" s="2">
        <v>44251.686377314814</v>
      </c>
    </row>
    <row r="952" spans="1:8" ht="14.25" customHeight="1" x14ac:dyDescent="0.3">
      <c r="A952">
        <v>1352669</v>
      </c>
      <c r="B952" t="s">
        <v>5684</v>
      </c>
      <c r="C952" s="1" t="s">
        <v>5685</v>
      </c>
      <c r="D952" t="s">
        <v>11</v>
      </c>
      <c r="E952">
        <v>1</v>
      </c>
      <c r="F952">
        <v>1</v>
      </c>
      <c r="G952">
        <v>43</v>
      </c>
      <c r="H952" s="2">
        <v>44251.686493055553</v>
      </c>
    </row>
    <row r="953" spans="1:8" ht="14.25" customHeight="1" x14ac:dyDescent="0.3">
      <c r="A953">
        <v>1353157</v>
      </c>
      <c r="B953" t="s">
        <v>1712</v>
      </c>
      <c r="C953" s="1" t="s">
        <v>5686</v>
      </c>
      <c r="D953" t="s">
        <v>11</v>
      </c>
      <c r="E953">
        <v>1</v>
      </c>
      <c r="F953">
        <v>1</v>
      </c>
      <c r="G953">
        <v>43</v>
      </c>
      <c r="H953" s="2">
        <v>44251.68712962963</v>
      </c>
    </row>
    <row r="954" spans="1:8" ht="14.25" customHeight="1" x14ac:dyDescent="0.3">
      <c r="A954">
        <v>1353114</v>
      </c>
      <c r="B954" t="s">
        <v>5687</v>
      </c>
      <c r="C954" s="1" t="s">
        <v>5688</v>
      </c>
      <c r="D954" t="s">
        <v>11</v>
      </c>
      <c r="E954">
        <v>1</v>
      </c>
      <c r="F954">
        <v>3</v>
      </c>
      <c r="G954">
        <v>41</v>
      </c>
      <c r="H954" s="2">
        <v>44251.687314814815</v>
      </c>
    </row>
    <row r="955" spans="1:8" ht="14.25" customHeight="1" x14ac:dyDescent="0.3">
      <c r="A955">
        <v>1353107</v>
      </c>
      <c r="B955" t="s">
        <v>1723</v>
      </c>
      <c r="C955" t="s">
        <v>5689</v>
      </c>
      <c r="D955" t="s">
        <v>11</v>
      </c>
      <c r="E955">
        <v>1</v>
      </c>
      <c r="F955">
        <v>1</v>
      </c>
      <c r="G955">
        <v>43</v>
      </c>
      <c r="H955" s="2">
        <v>44251.687407407408</v>
      </c>
    </row>
    <row r="956" spans="1:8" ht="14.25" customHeight="1" x14ac:dyDescent="0.3">
      <c r="A956">
        <v>1352596</v>
      </c>
      <c r="B956" t="e">
        <f>- print function does not work</f>
        <v>#NAME?</v>
      </c>
      <c r="C956" s="1" t="s">
        <v>5690</v>
      </c>
      <c r="D956" t="s">
        <v>11</v>
      </c>
      <c r="E956">
        <v>1</v>
      </c>
      <c r="F956">
        <v>2</v>
      </c>
      <c r="G956">
        <v>41</v>
      </c>
      <c r="H956" s="2">
        <v>44251.695914351854</v>
      </c>
    </row>
    <row r="957" spans="1:8" ht="14.25" customHeight="1" x14ac:dyDescent="0.3">
      <c r="A957">
        <v>1361450</v>
      </c>
      <c r="B957" t="e">
        <f>- remote acces problems</f>
        <v>#NAME?</v>
      </c>
      <c r="C957" s="1" t="s">
        <v>5691</v>
      </c>
      <c r="D957" t="s">
        <v>24</v>
      </c>
      <c r="E957">
        <v>1</v>
      </c>
      <c r="F957">
        <v>3</v>
      </c>
      <c r="G957">
        <v>41</v>
      </c>
      <c r="H957" s="2">
        <v>44251.700555555559</v>
      </c>
    </row>
    <row r="958" spans="1:8" ht="14.25" customHeight="1" x14ac:dyDescent="0.3">
      <c r="A958">
        <v>1361463</v>
      </c>
      <c r="B958" t="e">
        <f>- sage has a product update</f>
        <v>#NAME?</v>
      </c>
      <c r="C958" s="1" t="s">
        <v>5692</v>
      </c>
      <c r="D958" t="s">
        <v>24</v>
      </c>
      <c r="E958">
        <v>2</v>
      </c>
      <c r="F958">
        <v>2</v>
      </c>
      <c r="G958">
        <v>43</v>
      </c>
      <c r="H958" s="2">
        <v>44251.701053240744</v>
      </c>
    </row>
    <row r="959" spans="1:8" ht="14.25" customHeight="1" x14ac:dyDescent="0.3">
      <c r="A959">
        <v>1362475</v>
      </c>
      <c r="B959" t="e">
        <f>- unable to edit or merge files with adobe acrobat on the rds</f>
        <v>#NAME?</v>
      </c>
      <c r="C959" s="1" t="s">
        <v>5693</v>
      </c>
      <c r="D959" t="s">
        <v>24</v>
      </c>
      <c r="E959">
        <v>1</v>
      </c>
      <c r="F959">
        <v>2</v>
      </c>
      <c r="G959">
        <v>41</v>
      </c>
      <c r="H959" s="2">
        <v>44251.702361111114</v>
      </c>
    </row>
    <row r="960" spans="1:8" ht="14.25" customHeight="1" x14ac:dyDescent="0.3">
      <c r="A960">
        <v>1364291</v>
      </c>
      <c r="B960" t="s">
        <v>5694</v>
      </c>
      <c r="C960" s="1" t="s">
        <v>5695</v>
      </c>
      <c r="D960" t="s">
        <v>11</v>
      </c>
      <c r="E960">
        <v>1</v>
      </c>
      <c r="F960">
        <v>2</v>
      </c>
      <c r="G960">
        <v>41</v>
      </c>
      <c r="H960" s="2">
        <v>44251.702546296299</v>
      </c>
    </row>
    <row r="961" spans="1:8" ht="14.25" customHeight="1" x14ac:dyDescent="0.3">
      <c r="A961">
        <v>1352630</v>
      </c>
      <c r="B961" t="s">
        <v>5696</v>
      </c>
      <c r="C961" s="1" t="s">
        <v>5697</v>
      </c>
      <c r="D961" t="s">
        <v>11</v>
      </c>
      <c r="E961">
        <v>1</v>
      </c>
      <c r="F961">
        <v>2</v>
      </c>
      <c r="G961">
        <v>41</v>
      </c>
      <c r="H961" s="2">
        <v>44251.702824074076</v>
      </c>
    </row>
    <row r="962" spans="1:8" ht="14.25" customHeight="1" x14ac:dyDescent="0.3">
      <c r="A962">
        <v>1364283</v>
      </c>
      <c r="B962" t="e">
        <f>- coral collins termination</f>
        <v>#NAME?</v>
      </c>
      <c r="C962" s="1" t="s">
        <v>5698</v>
      </c>
      <c r="D962" t="s">
        <v>11</v>
      </c>
      <c r="E962">
        <v>1</v>
      </c>
      <c r="F962">
        <v>1</v>
      </c>
      <c r="G962">
        <v>43</v>
      </c>
      <c r="H962" s="2">
        <v>44251.703275462962</v>
      </c>
    </row>
    <row r="963" spans="1:8" ht="14.25" customHeight="1" x14ac:dyDescent="0.3">
      <c r="A963">
        <v>1353165</v>
      </c>
      <c r="B963" t="s">
        <v>5699</v>
      </c>
      <c r="C963" t="s">
        <v>5700</v>
      </c>
      <c r="D963" t="s">
        <v>11</v>
      </c>
      <c r="E963">
        <v>1</v>
      </c>
      <c r="F963">
        <v>3</v>
      </c>
      <c r="G963">
        <v>41</v>
      </c>
      <c r="H963" s="2">
        <v>44251.703564814816</v>
      </c>
    </row>
    <row r="964" spans="1:8" ht="14.25" customHeight="1" x14ac:dyDescent="0.3">
      <c r="A964">
        <v>1352611</v>
      </c>
      <c r="B964" t="s">
        <v>5701</v>
      </c>
      <c r="C964" s="1" t="s">
        <v>5702</v>
      </c>
      <c r="D964" t="s">
        <v>11</v>
      </c>
      <c r="E964">
        <v>1</v>
      </c>
      <c r="F964">
        <v>1</v>
      </c>
      <c r="G964">
        <v>36</v>
      </c>
      <c r="H964" s="2">
        <v>44251.703773148147</v>
      </c>
    </row>
    <row r="965" spans="1:8" ht="14.25" customHeight="1" x14ac:dyDescent="0.3">
      <c r="A965">
        <v>1364433</v>
      </c>
      <c r="B965" t="s">
        <v>5703</v>
      </c>
      <c r="C965" s="1" t="s">
        <v>5704</v>
      </c>
      <c r="D965" t="s">
        <v>11</v>
      </c>
      <c r="E965">
        <v>1</v>
      </c>
      <c r="F965">
        <v>2</v>
      </c>
      <c r="G965">
        <v>43</v>
      </c>
      <c r="H965" s="2">
        <v>44251.704351851855</v>
      </c>
    </row>
    <row r="966" spans="1:8" ht="14.25" customHeight="1" x14ac:dyDescent="0.3">
      <c r="A966">
        <v>1353183</v>
      </c>
      <c r="B966" t="s">
        <v>4903</v>
      </c>
      <c r="C966" s="1" t="s">
        <v>5705</v>
      </c>
      <c r="D966" t="s">
        <v>11</v>
      </c>
      <c r="E966">
        <v>1</v>
      </c>
      <c r="F966">
        <v>2</v>
      </c>
      <c r="G966">
        <v>41</v>
      </c>
      <c r="H966" s="2">
        <v>44251.704710648148</v>
      </c>
    </row>
    <row r="967" spans="1:8" ht="14.25" customHeight="1" x14ac:dyDescent="0.3">
      <c r="A967">
        <v>1362031</v>
      </c>
      <c r="B967" t="s">
        <v>5706</v>
      </c>
      <c r="C967" s="1" t="s">
        <v>5707</v>
      </c>
      <c r="D967" t="s">
        <v>11</v>
      </c>
      <c r="E967">
        <v>1</v>
      </c>
      <c r="F967">
        <v>3</v>
      </c>
      <c r="G967">
        <v>41</v>
      </c>
      <c r="H967" s="2">
        <v>44251.705138888887</v>
      </c>
    </row>
    <row r="968" spans="1:8" ht="14.25" customHeight="1" x14ac:dyDescent="0.3">
      <c r="A968">
        <v>1353178</v>
      </c>
      <c r="B968" t="s">
        <v>5708</v>
      </c>
      <c r="C968" s="1" t="s">
        <v>5709</v>
      </c>
      <c r="D968" t="s">
        <v>11</v>
      </c>
      <c r="E968">
        <v>1</v>
      </c>
      <c r="F968">
        <v>2</v>
      </c>
      <c r="G968">
        <v>41</v>
      </c>
      <c r="H968" s="2">
        <v>44251.705381944441</v>
      </c>
    </row>
    <row r="969" spans="1:8" ht="14.25" customHeight="1" x14ac:dyDescent="0.3">
      <c r="A969">
        <v>1352576</v>
      </c>
      <c r="B969" t="s">
        <v>5710</v>
      </c>
      <c r="C969" s="1" t="s">
        <v>5711</v>
      </c>
      <c r="D969" t="s">
        <v>11</v>
      </c>
      <c r="E969">
        <v>1</v>
      </c>
      <c r="F969">
        <v>2</v>
      </c>
      <c r="G969">
        <v>41</v>
      </c>
      <c r="H969" s="2">
        <v>44251.705763888887</v>
      </c>
    </row>
    <row r="970" spans="1:8" ht="14.25" customHeight="1" x14ac:dyDescent="0.3">
      <c r="A970">
        <v>1361742</v>
      </c>
      <c r="B970" t="s">
        <v>5712</v>
      </c>
      <c r="C970" s="1" t="s">
        <v>5713</v>
      </c>
      <c r="D970" t="s">
        <v>11</v>
      </c>
      <c r="E970">
        <v>1</v>
      </c>
      <c r="F970">
        <v>3</v>
      </c>
      <c r="G970">
        <v>41</v>
      </c>
      <c r="H970" s="2">
        <v>44251.708344907405</v>
      </c>
    </row>
    <row r="971" spans="1:8" ht="14.25" customHeight="1" x14ac:dyDescent="0.3">
      <c r="A971">
        <v>1353070</v>
      </c>
      <c r="B971" t="s">
        <v>5714</v>
      </c>
      <c r="C971" s="1" t="s">
        <v>5715</v>
      </c>
      <c r="D971" t="s">
        <v>11</v>
      </c>
      <c r="E971">
        <v>1</v>
      </c>
      <c r="F971">
        <v>2</v>
      </c>
      <c r="G971">
        <v>41</v>
      </c>
      <c r="H971" s="2">
        <v>44251.708715277775</v>
      </c>
    </row>
    <row r="972" spans="1:8" ht="14.25" customHeight="1" x14ac:dyDescent="0.3">
      <c r="A972">
        <v>1353089</v>
      </c>
      <c r="B972" t="e">
        <f>- password not working</f>
        <v>#NAME?</v>
      </c>
      <c r="C972" s="1" t="s">
        <v>5716</v>
      </c>
      <c r="D972" t="s">
        <v>11</v>
      </c>
      <c r="E972">
        <v>1</v>
      </c>
      <c r="F972">
        <v>3</v>
      </c>
      <c r="G972">
        <v>41</v>
      </c>
      <c r="H972" s="2">
        <v>44251.709583333337</v>
      </c>
    </row>
    <row r="973" spans="1:8" ht="14.25" customHeight="1" x14ac:dyDescent="0.3">
      <c r="A973">
        <v>1352608</v>
      </c>
      <c r="B973" t="s">
        <v>4451</v>
      </c>
      <c r="C973" s="1" t="s">
        <v>5717</v>
      </c>
      <c r="D973" t="s">
        <v>11</v>
      </c>
      <c r="E973">
        <v>1</v>
      </c>
      <c r="F973">
        <v>1</v>
      </c>
      <c r="G973">
        <v>36</v>
      </c>
      <c r="H973" s="2">
        <v>44251.709826388891</v>
      </c>
    </row>
    <row r="974" spans="1:8" ht="14.25" customHeight="1" x14ac:dyDescent="0.3">
      <c r="A974">
        <v>1352612</v>
      </c>
      <c r="B974" t="s">
        <v>4451</v>
      </c>
      <c r="C974" s="1" t="s">
        <v>5717</v>
      </c>
      <c r="D974" t="s">
        <v>11</v>
      </c>
      <c r="E974">
        <v>1</v>
      </c>
      <c r="F974">
        <v>1</v>
      </c>
      <c r="G974">
        <v>36</v>
      </c>
      <c r="H974" s="2">
        <v>44251.709953703707</v>
      </c>
    </row>
    <row r="975" spans="1:8" ht="14.25" customHeight="1" x14ac:dyDescent="0.3">
      <c r="A975">
        <v>1352514</v>
      </c>
      <c r="B975" t="s">
        <v>5718</v>
      </c>
      <c r="C975" t="s">
        <v>5719</v>
      </c>
      <c r="D975" t="s">
        <v>11</v>
      </c>
      <c r="E975">
        <v>1</v>
      </c>
      <c r="F975">
        <v>1</v>
      </c>
      <c r="G975">
        <v>43</v>
      </c>
      <c r="H975" s="2">
        <v>44251.711064814815</v>
      </c>
    </row>
    <row r="976" spans="1:8" ht="14.25" customHeight="1" x14ac:dyDescent="0.3">
      <c r="A976">
        <v>1352592</v>
      </c>
      <c r="B976" t="s">
        <v>5720</v>
      </c>
      <c r="C976" s="1" t="s">
        <v>5721</v>
      </c>
      <c r="D976" t="s">
        <v>11</v>
      </c>
      <c r="E976">
        <v>1</v>
      </c>
      <c r="F976">
        <v>2</v>
      </c>
      <c r="G976">
        <v>43</v>
      </c>
      <c r="H976" s="2">
        <v>44251.71234953704</v>
      </c>
    </row>
    <row r="977" spans="1:8" ht="14.25" customHeight="1" x14ac:dyDescent="0.3">
      <c r="A977">
        <v>1365653</v>
      </c>
      <c r="B977" t="e">
        <f>- sel equipment inbox access</f>
        <v>#NAME?</v>
      </c>
      <c r="C977" t="s">
        <v>5722</v>
      </c>
      <c r="D977" t="s">
        <v>24</v>
      </c>
      <c r="E977">
        <v>1</v>
      </c>
      <c r="F977">
        <v>1</v>
      </c>
      <c r="G977">
        <v>43</v>
      </c>
      <c r="H977" s="2">
        <v>44251.714780092596</v>
      </c>
    </row>
    <row r="978" spans="1:8" ht="14.25" customHeight="1" x14ac:dyDescent="0.3">
      <c r="A978">
        <v>1352487</v>
      </c>
      <c r="B978" t="s">
        <v>5723</v>
      </c>
      <c r="C978" t="s">
        <v>5724</v>
      </c>
      <c r="D978" t="s">
        <v>11</v>
      </c>
      <c r="E978">
        <v>1</v>
      </c>
      <c r="F978">
        <v>1</v>
      </c>
      <c r="G978">
        <v>43</v>
      </c>
      <c r="H978" s="2">
        <v>44251.714999999997</v>
      </c>
    </row>
    <row r="979" spans="1:8" ht="14.25" customHeight="1" x14ac:dyDescent="0.3">
      <c r="A979">
        <v>1363052</v>
      </c>
      <c r="B979" t="s">
        <v>237</v>
      </c>
      <c r="C979" t="s">
        <v>5725</v>
      </c>
      <c r="D979" t="s">
        <v>11</v>
      </c>
      <c r="E979">
        <v>1</v>
      </c>
      <c r="F979">
        <v>2</v>
      </c>
      <c r="G979">
        <v>41</v>
      </c>
      <c r="H979" s="2">
        <v>44251.715289351851</v>
      </c>
    </row>
    <row r="980" spans="1:8" ht="14.25" customHeight="1" x14ac:dyDescent="0.3">
      <c r="A980">
        <v>1352533</v>
      </c>
      <c r="B980" t="s">
        <v>4555</v>
      </c>
      <c r="C980" s="1" t="s">
        <v>5726</v>
      </c>
      <c r="D980" t="s">
        <v>11</v>
      </c>
      <c r="E980">
        <v>1</v>
      </c>
      <c r="F980">
        <v>1</v>
      </c>
      <c r="G980">
        <v>41</v>
      </c>
      <c r="H980" s="2">
        <v>44251.716678240744</v>
      </c>
    </row>
    <row r="981" spans="1:8" ht="14.25" customHeight="1" x14ac:dyDescent="0.3">
      <c r="A981">
        <v>1352575</v>
      </c>
      <c r="B981" t="s">
        <v>5727</v>
      </c>
      <c r="C981" s="1" t="s">
        <v>5728</v>
      </c>
      <c r="D981" t="s">
        <v>11</v>
      </c>
      <c r="E981">
        <v>3</v>
      </c>
      <c r="F981">
        <v>1</v>
      </c>
      <c r="G981">
        <v>41</v>
      </c>
      <c r="H981" s="2">
        <v>44251.716921296298</v>
      </c>
    </row>
    <row r="982" spans="1:8" ht="14.25" customHeight="1" x14ac:dyDescent="0.3">
      <c r="A982">
        <v>1352534</v>
      </c>
      <c r="B982" t="s">
        <v>5729</v>
      </c>
      <c r="C982" s="1" t="s">
        <v>5730</v>
      </c>
      <c r="D982" t="s">
        <v>11</v>
      </c>
      <c r="E982">
        <v>1</v>
      </c>
      <c r="F982">
        <v>1</v>
      </c>
      <c r="G982">
        <v>41</v>
      </c>
      <c r="H982" s="2">
        <v>44251.717141203706</v>
      </c>
    </row>
    <row r="983" spans="1:8" ht="14.25" customHeight="1" x14ac:dyDescent="0.3">
      <c r="A983">
        <v>1352523</v>
      </c>
      <c r="B983" t="s">
        <v>5731</v>
      </c>
      <c r="C983" s="1" t="s">
        <v>5732</v>
      </c>
      <c r="D983" t="s">
        <v>11</v>
      </c>
      <c r="E983">
        <v>1</v>
      </c>
      <c r="F983">
        <v>2</v>
      </c>
      <c r="G983">
        <v>41</v>
      </c>
      <c r="H983" s="2">
        <v>44251.717210648145</v>
      </c>
    </row>
    <row r="984" spans="1:8" ht="14.25" customHeight="1" x14ac:dyDescent="0.3">
      <c r="A984">
        <v>1353817</v>
      </c>
      <c r="B984" t="s">
        <v>5733</v>
      </c>
      <c r="C984" s="1" t="s">
        <v>5734</v>
      </c>
      <c r="D984" t="s">
        <v>11</v>
      </c>
      <c r="E984">
        <v>1</v>
      </c>
      <c r="F984">
        <v>2</v>
      </c>
      <c r="G984">
        <v>43</v>
      </c>
      <c r="H984" s="2">
        <v>44251.717314814814</v>
      </c>
    </row>
    <row r="985" spans="1:8" ht="14.25" customHeight="1" x14ac:dyDescent="0.3">
      <c r="A985">
        <v>1352164</v>
      </c>
      <c r="B985" t="e">
        <f>- issues with new pc</f>
        <v>#NAME?</v>
      </c>
      <c r="C985" s="1" t="s">
        <v>5735</v>
      </c>
      <c r="D985" t="s">
        <v>11</v>
      </c>
      <c r="E985">
        <v>1</v>
      </c>
      <c r="F985">
        <v>1</v>
      </c>
      <c r="G985">
        <v>41</v>
      </c>
      <c r="H985" s="2">
        <v>44251.717986111114</v>
      </c>
    </row>
    <row r="986" spans="1:8" ht="14.25" customHeight="1" x14ac:dyDescent="0.3">
      <c r="A986">
        <v>1352546</v>
      </c>
      <c r="B986" t="s">
        <v>5736</v>
      </c>
      <c r="C986" s="1" t="s">
        <v>5737</v>
      </c>
      <c r="D986" t="s">
        <v>11</v>
      </c>
      <c r="E986">
        <v>1</v>
      </c>
      <c r="F986">
        <v>1</v>
      </c>
      <c r="G986">
        <v>41</v>
      </c>
      <c r="H986" s="2">
        <v>44251.718634259261</v>
      </c>
    </row>
    <row r="987" spans="1:8" ht="14.25" customHeight="1" x14ac:dyDescent="0.3">
      <c r="A987">
        <v>1352494</v>
      </c>
      <c r="B987" t="e">
        <f>- vpn user account</f>
        <v>#NAME?</v>
      </c>
      <c r="C987" s="1" t="s">
        <v>5738</v>
      </c>
      <c r="D987" t="s">
        <v>11</v>
      </c>
      <c r="E987">
        <v>1</v>
      </c>
      <c r="F987">
        <v>3</v>
      </c>
      <c r="G987">
        <v>43</v>
      </c>
      <c r="H987" s="2">
        <v>44251.718831018516</v>
      </c>
    </row>
    <row r="988" spans="1:8" ht="14.25" customHeight="1" x14ac:dyDescent="0.3">
      <c r="A988">
        <v>1352645</v>
      </c>
      <c r="B988" t="s">
        <v>5739</v>
      </c>
      <c r="C988" s="1" t="s">
        <v>5740</v>
      </c>
      <c r="D988" t="s">
        <v>11</v>
      </c>
      <c r="E988">
        <v>1</v>
      </c>
      <c r="F988">
        <v>3</v>
      </c>
      <c r="G988">
        <v>41</v>
      </c>
      <c r="H988" s="2">
        <v>44251.719282407408</v>
      </c>
    </row>
    <row r="989" spans="1:8" ht="14.25" customHeight="1" x14ac:dyDescent="0.3">
      <c r="A989">
        <v>1351768</v>
      </c>
      <c r="B989" t="s">
        <v>5741</v>
      </c>
      <c r="C989" s="1" t="s">
        <v>5742</v>
      </c>
      <c r="D989" t="s">
        <v>11</v>
      </c>
      <c r="E989">
        <v>1</v>
      </c>
      <c r="F989">
        <v>1</v>
      </c>
      <c r="G989">
        <v>43</v>
      </c>
      <c r="H989" s="2">
        <v>44251.721180555556</v>
      </c>
    </row>
    <row r="990" spans="1:8" ht="14.25" customHeight="1" x14ac:dyDescent="0.3">
      <c r="A990">
        <v>1362425</v>
      </c>
      <c r="B990" t="s">
        <v>5743</v>
      </c>
      <c r="C990" s="1" t="s">
        <v>5744</v>
      </c>
      <c r="D990" t="s">
        <v>11</v>
      </c>
      <c r="E990">
        <v>1</v>
      </c>
      <c r="F990">
        <v>1</v>
      </c>
      <c r="G990">
        <v>41</v>
      </c>
      <c r="H990" s="2">
        <v>44251.724872685183</v>
      </c>
    </row>
    <row r="991" spans="1:8" ht="14.25" customHeight="1" x14ac:dyDescent="0.3">
      <c r="A991">
        <v>1351723</v>
      </c>
      <c r="B991" t="s">
        <v>5745</v>
      </c>
      <c r="C991" s="1" t="s">
        <v>5746</v>
      </c>
      <c r="D991" t="s">
        <v>11</v>
      </c>
      <c r="E991">
        <v>1</v>
      </c>
      <c r="F991">
        <v>1</v>
      </c>
      <c r="G991">
        <v>43</v>
      </c>
      <c r="H991" s="2">
        <v>44251.725613425922</v>
      </c>
    </row>
    <row r="992" spans="1:8" ht="14.25" customHeight="1" x14ac:dyDescent="0.3">
      <c r="A992">
        <v>1352512</v>
      </c>
      <c r="B992" t="s">
        <v>5747</v>
      </c>
      <c r="C992" s="1" t="s">
        <v>5748</v>
      </c>
      <c r="D992" t="s">
        <v>11</v>
      </c>
      <c r="E992">
        <v>1</v>
      </c>
      <c r="F992">
        <v>1</v>
      </c>
      <c r="G992">
        <v>41</v>
      </c>
      <c r="H992" s="2">
        <v>44251.728900462964</v>
      </c>
    </row>
    <row r="993" spans="1:8" ht="14.25" customHeight="1" x14ac:dyDescent="0.3">
      <c r="A993">
        <v>1351594</v>
      </c>
      <c r="B993" t="s">
        <v>4690</v>
      </c>
      <c r="C993" t="s">
        <v>4691</v>
      </c>
      <c r="D993" t="s">
        <v>1158</v>
      </c>
      <c r="E993">
        <v>1</v>
      </c>
      <c r="F993">
        <v>1</v>
      </c>
      <c r="G993">
        <v>36</v>
      </c>
      <c r="H993" s="2">
        <v>44251.73028935185</v>
      </c>
    </row>
    <row r="994" spans="1:8" ht="14.25" customHeight="1" x14ac:dyDescent="0.3">
      <c r="A994">
        <v>1351966</v>
      </c>
      <c r="B994" t="s">
        <v>4856</v>
      </c>
      <c r="C994" t="s">
        <v>4857</v>
      </c>
      <c r="D994" t="s">
        <v>1158</v>
      </c>
      <c r="E994">
        <v>1</v>
      </c>
      <c r="F994">
        <v>1</v>
      </c>
      <c r="G994">
        <v>36</v>
      </c>
      <c r="H994" s="2">
        <v>44251.732627314814</v>
      </c>
    </row>
    <row r="995" spans="1:8" ht="14.25" customHeight="1" x14ac:dyDescent="0.3">
      <c r="A995">
        <v>1352625</v>
      </c>
      <c r="B995" t="e">
        <f>- edmonton studio - small boardroom computer</f>
        <v>#NAME?</v>
      </c>
      <c r="C995" s="1" t="s">
        <v>5749</v>
      </c>
      <c r="D995" t="s">
        <v>24</v>
      </c>
      <c r="E995">
        <v>1</v>
      </c>
      <c r="F995">
        <v>1</v>
      </c>
      <c r="G995">
        <v>41</v>
      </c>
      <c r="H995" s="2">
        <v>44251.73333333333</v>
      </c>
    </row>
    <row r="996" spans="1:8" ht="14.25" customHeight="1" x14ac:dyDescent="0.3">
      <c r="A996">
        <v>1351418</v>
      </c>
      <c r="B996" t="s">
        <v>5750</v>
      </c>
      <c r="C996" s="1" t="s">
        <v>5751</v>
      </c>
      <c r="D996" t="s">
        <v>11</v>
      </c>
      <c r="E996">
        <v>1</v>
      </c>
      <c r="F996">
        <v>1</v>
      </c>
      <c r="G996">
        <v>43</v>
      </c>
      <c r="H996" s="2">
        <v>44251.73474537037</v>
      </c>
    </row>
    <row r="997" spans="1:8" ht="14.25" customHeight="1" x14ac:dyDescent="0.3">
      <c r="A997">
        <v>1356526</v>
      </c>
      <c r="B997" t="e">
        <f>- issues accessing vpn</f>
        <v>#NAME?</v>
      </c>
      <c r="C997" s="1" t="s">
        <v>5752</v>
      </c>
      <c r="D997" t="s">
        <v>24</v>
      </c>
      <c r="E997">
        <v>1</v>
      </c>
      <c r="F997">
        <v>2</v>
      </c>
      <c r="G997">
        <v>41</v>
      </c>
      <c r="H997" s="2">
        <v>44251.735960648148</v>
      </c>
    </row>
    <row r="998" spans="1:8" ht="14.25" customHeight="1" x14ac:dyDescent="0.3">
      <c r="A998">
        <v>1352374</v>
      </c>
      <c r="B998" t="s">
        <v>4831</v>
      </c>
      <c r="C998" t="s">
        <v>4832</v>
      </c>
      <c r="D998" t="s">
        <v>1158</v>
      </c>
      <c r="E998">
        <v>1</v>
      </c>
      <c r="F998">
        <v>1</v>
      </c>
      <c r="G998">
        <v>36</v>
      </c>
      <c r="H998" s="2">
        <v>44251.73605324074</v>
      </c>
    </row>
    <row r="999" spans="1:8" ht="14.25" customHeight="1" x14ac:dyDescent="0.3">
      <c r="A999">
        <v>1352524</v>
      </c>
      <c r="B999" t="s">
        <v>5753</v>
      </c>
      <c r="C999" s="1" t="s">
        <v>5754</v>
      </c>
      <c r="D999" t="s">
        <v>11</v>
      </c>
      <c r="E999">
        <v>1</v>
      </c>
      <c r="F999">
        <v>2</v>
      </c>
      <c r="G999">
        <v>43</v>
      </c>
      <c r="H999" s="2">
        <v>44251.736574074072</v>
      </c>
    </row>
    <row r="1000" spans="1:8" ht="14.25" customHeight="1" x14ac:dyDescent="0.3">
      <c r="A1000">
        <v>1362523</v>
      </c>
      <c r="B1000" t="s">
        <v>5755</v>
      </c>
      <c r="C1000" s="1" t="s">
        <v>5756</v>
      </c>
      <c r="D1000" t="s">
        <v>11</v>
      </c>
      <c r="E1000">
        <v>1</v>
      </c>
      <c r="F1000">
        <v>3</v>
      </c>
      <c r="G1000">
        <v>41</v>
      </c>
      <c r="H1000" s="2">
        <v>44251.737210648149</v>
      </c>
    </row>
    <row r="1001" spans="1:8" ht="14.25" customHeight="1" x14ac:dyDescent="0.3">
      <c r="A1001">
        <v>1352530</v>
      </c>
      <c r="B1001" t="s">
        <v>5757</v>
      </c>
      <c r="C1001" s="1" t="s">
        <v>5758</v>
      </c>
      <c r="D1001" t="s">
        <v>11</v>
      </c>
      <c r="E1001">
        <v>2</v>
      </c>
      <c r="F1001">
        <v>3</v>
      </c>
      <c r="G1001">
        <v>43</v>
      </c>
      <c r="H1001" s="2">
        <v>44251.737546296295</v>
      </c>
    </row>
    <row r="1002" spans="1:8" ht="14.25" customHeight="1" x14ac:dyDescent="0.3">
      <c r="A1002">
        <v>1351964</v>
      </c>
      <c r="B1002" t="s">
        <v>4856</v>
      </c>
      <c r="C1002" t="s">
        <v>4857</v>
      </c>
      <c r="D1002" t="s">
        <v>1158</v>
      </c>
      <c r="E1002">
        <v>1</v>
      </c>
      <c r="F1002">
        <v>1</v>
      </c>
      <c r="G1002">
        <v>36</v>
      </c>
      <c r="H1002" s="2">
        <v>44251.737685185188</v>
      </c>
    </row>
    <row r="1003" spans="1:8" ht="14.25" customHeight="1" x14ac:dyDescent="0.3">
      <c r="A1003">
        <v>1352460</v>
      </c>
      <c r="B1003" t="s">
        <v>5759</v>
      </c>
      <c r="C1003" s="1" t="s">
        <v>5760</v>
      </c>
      <c r="D1003" t="s">
        <v>11</v>
      </c>
      <c r="E1003">
        <v>1</v>
      </c>
      <c r="F1003">
        <v>1</v>
      </c>
      <c r="G1003">
        <v>43</v>
      </c>
      <c r="H1003" s="2">
        <v>44251.737824074073</v>
      </c>
    </row>
    <row r="1004" spans="1:8" ht="14.25" customHeight="1" x14ac:dyDescent="0.3">
      <c r="A1004">
        <v>1351962</v>
      </c>
      <c r="B1004" t="s">
        <v>4683</v>
      </c>
      <c r="C1004" t="s">
        <v>4684</v>
      </c>
      <c r="D1004" t="s">
        <v>1158</v>
      </c>
      <c r="E1004">
        <v>1</v>
      </c>
      <c r="F1004">
        <v>1</v>
      </c>
      <c r="G1004">
        <v>36</v>
      </c>
      <c r="H1004" s="2">
        <v>44251.738113425927</v>
      </c>
    </row>
    <row r="1005" spans="1:8" ht="14.25" customHeight="1" x14ac:dyDescent="0.3">
      <c r="A1005">
        <v>1351742</v>
      </c>
      <c r="B1005" t="s">
        <v>5761</v>
      </c>
      <c r="C1005" s="1" t="s">
        <v>5762</v>
      </c>
      <c r="D1005" t="s">
        <v>11</v>
      </c>
      <c r="E1005">
        <v>1</v>
      </c>
      <c r="F1005">
        <v>1</v>
      </c>
      <c r="G1005">
        <v>43</v>
      </c>
      <c r="H1005" s="2">
        <v>44251.738541666666</v>
      </c>
    </row>
    <row r="1006" spans="1:8" ht="14.25" customHeight="1" x14ac:dyDescent="0.3">
      <c r="A1006">
        <v>1362545</v>
      </c>
      <c r="B1006" t="e">
        <f>- adobe acrobat not working on rds servers</f>
        <v>#NAME?</v>
      </c>
      <c r="C1006" t="s">
        <v>5763</v>
      </c>
      <c r="D1006" t="s">
        <v>24</v>
      </c>
      <c r="E1006">
        <v>1</v>
      </c>
      <c r="F1006">
        <v>3</v>
      </c>
      <c r="G1006">
        <v>41</v>
      </c>
      <c r="H1006" s="2">
        <v>44251.738726851851</v>
      </c>
    </row>
    <row r="1007" spans="1:8" ht="14.25" customHeight="1" x14ac:dyDescent="0.3">
      <c r="A1007">
        <v>1351315</v>
      </c>
      <c r="B1007" t="s">
        <v>5745</v>
      </c>
      <c r="C1007" s="1" t="s">
        <v>5764</v>
      </c>
      <c r="D1007" t="s">
        <v>11</v>
      </c>
      <c r="E1007">
        <v>1</v>
      </c>
      <c r="F1007">
        <v>1</v>
      </c>
      <c r="G1007">
        <v>43</v>
      </c>
      <c r="H1007" s="2">
        <v>44251.739120370374</v>
      </c>
    </row>
    <row r="1008" spans="1:8" ht="14.25" customHeight="1" x14ac:dyDescent="0.3">
      <c r="A1008">
        <v>1351284</v>
      </c>
      <c r="B1008" t="s">
        <v>5765</v>
      </c>
      <c r="C1008" s="1" t="s">
        <v>5766</v>
      </c>
      <c r="D1008" t="s">
        <v>11</v>
      </c>
      <c r="E1008">
        <v>1</v>
      </c>
      <c r="F1008">
        <v>1</v>
      </c>
      <c r="G1008">
        <v>41</v>
      </c>
      <c r="H1008" s="2">
        <v>44251.739270833335</v>
      </c>
    </row>
    <row r="1009" spans="1:8" ht="14.25" customHeight="1" x14ac:dyDescent="0.3">
      <c r="A1009">
        <v>1351289</v>
      </c>
      <c r="B1009" t="s">
        <v>5767</v>
      </c>
      <c r="C1009" s="1" t="s">
        <v>5768</v>
      </c>
      <c r="D1009" t="s">
        <v>11</v>
      </c>
      <c r="E1009">
        <v>1</v>
      </c>
      <c r="F1009">
        <v>1</v>
      </c>
      <c r="G1009">
        <v>43</v>
      </c>
      <c r="H1009" s="2">
        <v>44251.739837962959</v>
      </c>
    </row>
    <row r="1010" spans="1:8" ht="14.25" customHeight="1" x14ac:dyDescent="0.3">
      <c r="A1010">
        <v>1351225</v>
      </c>
      <c r="B1010" t="e">
        <f>- new employee email - alyssia baller</f>
        <v>#NAME?</v>
      </c>
      <c r="C1010" s="1" t="s">
        <v>5769</v>
      </c>
      <c r="D1010" t="s">
        <v>11</v>
      </c>
      <c r="E1010">
        <v>1</v>
      </c>
      <c r="F1010">
        <v>1</v>
      </c>
      <c r="G1010">
        <v>43</v>
      </c>
      <c r="H1010" s="2">
        <v>44251.739976851852</v>
      </c>
    </row>
    <row r="1011" spans="1:8" ht="14.25" customHeight="1" x14ac:dyDescent="0.3">
      <c r="A1011">
        <v>1352521</v>
      </c>
      <c r="B1011" t="s">
        <v>5770</v>
      </c>
      <c r="C1011" s="1" t="s">
        <v>5771</v>
      </c>
      <c r="D1011" t="s">
        <v>11</v>
      </c>
      <c r="E1011">
        <v>3</v>
      </c>
      <c r="F1011">
        <v>2</v>
      </c>
      <c r="G1011">
        <v>43</v>
      </c>
      <c r="H1011" s="2">
        <v>44251.740752314814</v>
      </c>
    </row>
    <row r="1012" spans="1:8" ht="14.25" customHeight="1" x14ac:dyDescent="0.3">
      <c r="A1012">
        <v>1351234</v>
      </c>
      <c r="B1012" t="e">
        <f>- remove email forwarding from kevin clulow</f>
        <v>#NAME?</v>
      </c>
      <c r="C1012" s="1" t="s">
        <v>5772</v>
      </c>
      <c r="D1012" t="s">
        <v>24</v>
      </c>
      <c r="E1012">
        <v>1</v>
      </c>
      <c r="F1012">
        <v>1</v>
      </c>
      <c r="G1012">
        <v>43</v>
      </c>
      <c r="H1012" s="2">
        <v>44251.740844907406</v>
      </c>
    </row>
    <row r="1013" spans="1:8" ht="14.25" customHeight="1" x14ac:dyDescent="0.3">
      <c r="A1013">
        <v>1351715</v>
      </c>
      <c r="B1013" t="s">
        <v>5773</v>
      </c>
      <c r="C1013" s="1" t="s">
        <v>5774</v>
      </c>
      <c r="D1013" t="s">
        <v>11</v>
      </c>
      <c r="E1013">
        <v>1</v>
      </c>
      <c r="F1013">
        <v>1</v>
      </c>
      <c r="G1013">
        <v>41</v>
      </c>
      <c r="H1013" s="2">
        <v>44251.741099537037</v>
      </c>
    </row>
    <row r="1014" spans="1:8" ht="14.25" customHeight="1" x14ac:dyDescent="0.3">
      <c r="A1014">
        <v>1351294</v>
      </c>
      <c r="B1014" t="e">
        <f>- delete email</f>
        <v>#NAME?</v>
      </c>
      <c r="C1014" s="1" t="s">
        <v>5775</v>
      </c>
      <c r="D1014" t="s">
        <v>24</v>
      </c>
      <c r="E1014">
        <v>1</v>
      </c>
      <c r="F1014">
        <v>1</v>
      </c>
      <c r="G1014">
        <v>43</v>
      </c>
      <c r="H1014" s="2">
        <v>44251.741412037038</v>
      </c>
    </row>
    <row r="1015" spans="1:8" ht="14.25" customHeight="1" x14ac:dyDescent="0.3">
      <c r="A1015">
        <v>1351347</v>
      </c>
      <c r="B1015" t="s">
        <v>5776</v>
      </c>
      <c r="C1015" s="1" t="s">
        <v>5777</v>
      </c>
      <c r="D1015" t="s">
        <v>11</v>
      </c>
      <c r="E1015">
        <v>1</v>
      </c>
      <c r="F1015">
        <v>3</v>
      </c>
      <c r="G1015">
        <v>43</v>
      </c>
      <c r="H1015" s="2">
        <v>44251.74287037037</v>
      </c>
    </row>
    <row r="1016" spans="1:8" ht="14.25" customHeight="1" x14ac:dyDescent="0.3">
      <c r="A1016">
        <v>1364267</v>
      </c>
      <c r="B1016" t="e">
        <f>- back up file required</f>
        <v>#NAME?</v>
      </c>
      <c r="C1016" s="1" t="s">
        <v>5778</v>
      </c>
      <c r="D1016" t="s">
        <v>24</v>
      </c>
      <c r="E1016">
        <v>1</v>
      </c>
      <c r="F1016">
        <v>3</v>
      </c>
      <c r="G1016">
        <v>41</v>
      </c>
      <c r="H1016" s="2">
        <v>44251.743206018517</v>
      </c>
    </row>
    <row r="1017" spans="1:8" ht="14.25" customHeight="1" x14ac:dyDescent="0.3">
      <c r="A1017">
        <v>1351355</v>
      </c>
      <c r="B1017" t="s">
        <v>1877</v>
      </c>
      <c r="C1017" s="1" t="s">
        <v>5779</v>
      </c>
      <c r="D1017" t="s">
        <v>11</v>
      </c>
      <c r="E1017">
        <v>1</v>
      </c>
      <c r="F1017">
        <v>1</v>
      </c>
      <c r="G1017">
        <v>43</v>
      </c>
      <c r="H1017" s="2">
        <v>44251.743310185186</v>
      </c>
    </row>
    <row r="1018" spans="1:8" ht="14.25" customHeight="1" x14ac:dyDescent="0.3">
      <c r="A1018">
        <v>1351965</v>
      </c>
      <c r="B1018" t="s">
        <v>4856</v>
      </c>
      <c r="C1018" t="s">
        <v>4857</v>
      </c>
      <c r="D1018" t="s">
        <v>1158</v>
      </c>
      <c r="E1018">
        <v>1</v>
      </c>
      <c r="F1018">
        <v>1</v>
      </c>
      <c r="G1018">
        <v>36</v>
      </c>
      <c r="H1018" s="2">
        <v>44251.743379629632</v>
      </c>
    </row>
    <row r="1019" spans="1:8" ht="14.25" customHeight="1" x14ac:dyDescent="0.3">
      <c r="A1019">
        <v>1351306</v>
      </c>
      <c r="B1019" t="e">
        <f>- cloud issues</f>
        <v>#NAME?</v>
      </c>
      <c r="C1019" s="1" t="s">
        <v>5780</v>
      </c>
      <c r="D1019" t="s">
        <v>11</v>
      </c>
      <c r="E1019">
        <v>1</v>
      </c>
      <c r="F1019">
        <v>3</v>
      </c>
      <c r="G1019">
        <v>41</v>
      </c>
      <c r="H1019" s="2">
        <v>44251.743703703702</v>
      </c>
    </row>
    <row r="1020" spans="1:8" ht="14.25" customHeight="1" x14ac:dyDescent="0.3">
      <c r="A1020">
        <v>1352543</v>
      </c>
      <c r="B1020" t="e">
        <f>- password reset</f>
        <v>#NAME?</v>
      </c>
      <c r="C1020" t="s">
        <v>5781</v>
      </c>
      <c r="D1020" t="s">
        <v>11</v>
      </c>
      <c r="E1020">
        <v>1</v>
      </c>
      <c r="F1020">
        <v>3</v>
      </c>
      <c r="G1020">
        <v>43</v>
      </c>
      <c r="H1020" s="2">
        <v>44251.743842592594</v>
      </c>
    </row>
    <row r="1021" spans="1:8" ht="14.25" customHeight="1" x14ac:dyDescent="0.3">
      <c r="A1021">
        <v>1351303</v>
      </c>
      <c r="B1021" t="s">
        <v>5782</v>
      </c>
      <c r="C1021" s="1" t="s">
        <v>5783</v>
      </c>
      <c r="D1021" t="s">
        <v>11</v>
      </c>
      <c r="E1021">
        <v>1</v>
      </c>
      <c r="F1021">
        <v>3</v>
      </c>
      <c r="G1021">
        <v>41</v>
      </c>
      <c r="H1021" s="2">
        <v>44251.745266203703</v>
      </c>
    </row>
    <row r="1022" spans="1:8" ht="14.25" customHeight="1" x14ac:dyDescent="0.3">
      <c r="A1022">
        <v>1351205</v>
      </c>
      <c r="B1022" t="s">
        <v>5784</v>
      </c>
      <c r="C1022" t="s">
        <v>5785</v>
      </c>
      <c r="D1022" t="s">
        <v>11</v>
      </c>
      <c r="E1022">
        <v>1</v>
      </c>
      <c r="F1022">
        <v>1</v>
      </c>
      <c r="G1022">
        <v>43</v>
      </c>
      <c r="H1022" s="2">
        <v>44251.746712962966</v>
      </c>
    </row>
    <row r="1023" spans="1:8" ht="14.25" customHeight="1" x14ac:dyDescent="0.3">
      <c r="A1023">
        <v>1352526</v>
      </c>
      <c r="B1023" t="s">
        <v>5786</v>
      </c>
      <c r="C1023" s="1" t="s">
        <v>5787</v>
      </c>
      <c r="D1023" t="s">
        <v>11</v>
      </c>
      <c r="E1023">
        <v>1</v>
      </c>
      <c r="F1023">
        <v>1</v>
      </c>
      <c r="G1023">
        <v>43</v>
      </c>
      <c r="H1023" s="2">
        <v>44251.746990740743</v>
      </c>
    </row>
    <row r="1024" spans="1:8" ht="14.25" customHeight="1" x14ac:dyDescent="0.3">
      <c r="A1024">
        <v>1351112</v>
      </c>
      <c r="B1024" t="e">
        <f>- new email addresses- casey smith and neurology</f>
        <v>#NAME?</v>
      </c>
      <c r="C1024" s="1" t="s">
        <v>5788</v>
      </c>
      <c r="D1024" t="s">
        <v>11</v>
      </c>
      <c r="E1024">
        <v>1</v>
      </c>
      <c r="F1024">
        <v>1</v>
      </c>
      <c r="G1024">
        <v>43</v>
      </c>
      <c r="H1024" s="2">
        <v>44251.74726851852</v>
      </c>
    </row>
    <row r="1025" spans="1:8" ht="14.25" customHeight="1" x14ac:dyDescent="0.3">
      <c r="A1025">
        <v>1351215</v>
      </c>
      <c r="B1025" t="s">
        <v>5789</v>
      </c>
      <c r="C1025" s="1" t="s">
        <v>5790</v>
      </c>
      <c r="D1025" t="s">
        <v>11</v>
      </c>
      <c r="E1025">
        <v>2</v>
      </c>
      <c r="F1025">
        <v>2</v>
      </c>
      <c r="G1025">
        <v>43</v>
      </c>
      <c r="H1025" s="2">
        <v>44251.74790509259</v>
      </c>
    </row>
    <row r="1026" spans="1:8" ht="14.25" customHeight="1" x14ac:dyDescent="0.3">
      <c r="A1026">
        <v>1351331</v>
      </c>
      <c r="B1026" t="s">
        <v>5791</v>
      </c>
      <c r="C1026" s="1" t="s">
        <v>5792</v>
      </c>
      <c r="D1026" t="s">
        <v>11</v>
      </c>
      <c r="E1026">
        <v>1</v>
      </c>
      <c r="F1026">
        <v>1</v>
      </c>
      <c r="G1026">
        <v>43</v>
      </c>
      <c r="H1026" s="2">
        <v>44251.748148148145</v>
      </c>
    </row>
    <row r="1027" spans="1:8" ht="14.25" customHeight="1" x14ac:dyDescent="0.3">
      <c r="A1027">
        <v>1351166</v>
      </c>
      <c r="B1027" t="s">
        <v>5793</v>
      </c>
      <c r="C1027" s="1" t="s">
        <v>5794</v>
      </c>
      <c r="D1027" t="s">
        <v>11</v>
      </c>
      <c r="E1027">
        <v>1</v>
      </c>
      <c r="F1027">
        <v>1</v>
      </c>
      <c r="G1027">
        <v>43</v>
      </c>
      <c r="H1027" s="2">
        <v>44251.749166666668</v>
      </c>
    </row>
    <row r="1028" spans="1:8" ht="14.25" customHeight="1" x14ac:dyDescent="0.3">
      <c r="A1028">
        <v>1351173</v>
      </c>
      <c r="B1028" t="s">
        <v>5795</v>
      </c>
      <c r="C1028" s="1" t="s">
        <v>5796</v>
      </c>
      <c r="D1028" t="s">
        <v>11</v>
      </c>
      <c r="E1028">
        <v>1</v>
      </c>
      <c r="F1028">
        <v>3</v>
      </c>
      <c r="G1028">
        <v>41</v>
      </c>
      <c r="H1028" s="2">
        <v>44251.749328703707</v>
      </c>
    </row>
    <row r="1029" spans="1:8" ht="14.25" customHeight="1" x14ac:dyDescent="0.3">
      <c r="A1029">
        <v>1351290</v>
      </c>
      <c r="B1029" t="s">
        <v>5797</v>
      </c>
      <c r="C1029" s="1" t="s">
        <v>5798</v>
      </c>
      <c r="D1029" t="s">
        <v>11</v>
      </c>
      <c r="E1029">
        <v>1</v>
      </c>
      <c r="F1029">
        <v>1</v>
      </c>
      <c r="G1029">
        <v>43</v>
      </c>
      <c r="H1029" s="2">
        <v>44251.749583333331</v>
      </c>
    </row>
    <row r="1030" spans="1:8" ht="14.25" customHeight="1" x14ac:dyDescent="0.3">
      <c r="A1030">
        <v>1351312</v>
      </c>
      <c r="B1030" t="s">
        <v>5759</v>
      </c>
      <c r="C1030" s="1" t="s">
        <v>5799</v>
      </c>
      <c r="D1030" t="s">
        <v>11</v>
      </c>
      <c r="E1030">
        <v>1</v>
      </c>
      <c r="F1030">
        <v>3</v>
      </c>
      <c r="G1030">
        <v>41</v>
      </c>
      <c r="H1030" s="2">
        <v>44251.750034722223</v>
      </c>
    </row>
    <row r="1031" spans="1:8" ht="14.25" customHeight="1" x14ac:dyDescent="0.3">
      <c r="A1031">
        <v>1351219</v>
      </c>
      <c r="B1031" t="s">
        <v>5800</v>
      </c>
      <c r="C1031" s="1" t="s">
        <v>5801</v>
      </c>
      <c r="D1031" t="s">
        <v>11</v>
      </c>
      <c r="E1031">
        <v>1</v>
      </c>
      <c r="F1031">
        <v>2</v>
      </c>
      <c r="G1031">
        <v>41</v>
      </c>
      <c r="H1031" s="2">
        <v>44251.750127314815</v>
      </c>
    </row>
    <row r="1032" spans="1:8" ht="14.25" customHeight="1" x14ac:dyDescent="0.3">
      <c r="A1032">
        <v>1350801</v>
      </c>
      <c r="B1032" t="s">
        <v>5802</v>
      </c>
      <c r="C1032" s="1" t="s">
        <v>5803</v>
      </c>
      <c r="D1032" t="s">
        <v>11</v>
      </c>
      <c r="E1032">
        <v>1</v>
      </c>
      <c r="F1032">
        <v>1</v>
      </c>
      <c r="G1032">
        <v>43</v>
      </c>
      <c r="H1032" s="2">
        <v>44251.750173611108</v>
      </c>
    </row>
    <row r="1033" spans="1:8" ht="14.25" customHeight="1" x14ac:dyDescent="0.3">
      <c r="A1033">
        <v>1351334</v>
      </c>
      <c r="B1033" t="e">
        <f>- bad call quality</f>
        <v>#NAME?</v>
      </c>
      <c r="C1033" s="1" t="s">
        <v>5804</v>
      </c>
      <c r="D1033" t="s">
        <v>24</v>
      </c>
      <c r="E1033">
        <v>1</v>
      </c>
      <c r="F1033">
        <v>2</v>
      </c>
      <c r="G1033">
        <v>41</v>
      </c>
      <c r="H1033" s="2">
        <v>44251.750555555554</v>
      </c>
    </row>
    <row r="1034" spans="1:8" ht="14.25" customHeight="1" x14ac:dyDescent="0.3">
      <c r="A1034">
        <v>1351963</v>
      </c>
      <c r="B1034" t="s">
        <v>4683</v>
      </c>
      <c r="C1034" t="s">
        <v>4684</v>
      </c>
      <c r="D1034" t="s">
        <v>1158</v>
      </c>
      <c r="E1034">
        <v>1</v>
      </c>
      <c r="F1034">
        <v>1</v>
      </c>
      <c r="G1034">
        <v>36</v>
      </c>
      <c r="H1034" s="2">
        <v>44251.750752314816</v>
      </c>
    </row>
    <row r="1035" spans="1:8" ht="14.25" customHeight="1" x14ac:dyDescent="0.3">
      <c r="A1035">
        <v>1352139</v>
      </c>
      <c r="B1035" t="s">
        <v>5805</v>
      </c>
      <c r="C1035" s="1" t="s">
        <v>5806</v>
      </c>
      <c r="D1035" t="s">
        <v>11</v>
      </c>
      <c r="E1035">
        <v>1</v>
      </c>
      <c r="F1035">
        <v>1</v>
      </c>
      <c r="G1035">
        <v>43</v>
      </c>
      <c r="H1035" s="2">
        <v>44251.752870370372</v>
      </c>
    </row>
    <row r="1036" spans="1:8" ht="14.25" customHeight="1" x14ac:dyDescent="0.3">
      <c r="A1036">
        <v>1352507</v>
      </c>
      <c r="B1036" t="s">
        <v>5759</v>
      </c>
      <c r="C1036" s="1" t="s">
        <v>5807</v>
      </c>
      <c r="D1036" t="s">
        <v>11</v>
      </c>
      <c r="E1036">
        <v>1</v>
      </c>
      <c r="F1036">
        <v>3</v>
      </c>
      <c r="G1036">
        <v>41</v>
      </c>
      <c r="H1036" s="2">
        <v>44251.752997685187</v>
      </c>
    </row>
    <row r="1037" spans="1:8" ht="14.25" customHeight="1" x14ac:dyDescent="0.3">
      <c r="A1037">
        <v>1351207</v>
      </c>
      <c r="B1037" t="s">
        <v>5808</v>
      </c>
      <c r="C1037" t="s">
        <v>5809</v>
      </c>
      <c r="D1037" t="s">
        <v>11</v>
      </c>
      <c r="E1037">
        <v>1</v>
      </c>
      <c r="F1037">
        <v>3</v>
      </c>
      <c r="G1037">
        <v>41</v>
      </c>
      <c r="H1037" s="2">
        <v>44251.754120370373</v>
      </c>
    </row>
    <row r="1038" spans="1:8" ht="14.25" customHeight="1" x14ac:dyDescent="0.3">
      <c r="A1038">
        <v>1351593</v>
      </c>
      <c r="B1038" t="s">
        <v>4690</v>
      </c>
      <c r="C1038" t="s">
        <v>4691</v>
      </c>
      <c r="D1038" t="s">
        <v>1158</v>
      </c>
      <c r="E1038">
        <v>1</v>
      </c>
      <c r="F1038">
        <v>1</v>
      </c>
      <c r="G1038">
        <v>36</v>
      </c>
      <c r="H1038" s="2">
        <v>44251.756342592591</v>
      </c>
    </row>
    <row r="1039" spans="1:8" ht="14.25" customHeight="1" x14ac:dyDescent="0.3">
      <c r="A1039">
        <v>1351068</v>
      </c>
      <c r="B1039" t="s">
        <v>4690</v>
      </c>
      <c r="C1039" t="s">
        <v>4691</v>
      </c>
      <c r="D1039" t="s">
        <v>1158</v>
      </c>
      <c r="E1039">
        <v>1</v>
      </c>
      <c r="F1039">
        <v>1</v>
      </c>
      <c r="G1039">
        <v>36</v>
      </c>
      <c r="H1039" s="2">
        <v>44251.758206018516</v>
      </c>
    </row>
    <row r="1040" spans="1:8" ht="14.25" customHeight="1" x14ac:dyDescent="0.3">
      <c r="A1040">
        <v>1351179</v>
      </c>
      <c r="B1040" t="s">
        <v>5759</v>
      </c>
      <c r="C1040" s="1" t="s">
        <v>5810</v>
      </c>
      <c r="D1040" t="s">
        <v>11</v>
      </c>
      <c r="E1040">
        <v>1</v>
      </c>
      <c r="F1040">
        <v>3</v>
      </c>
      <c r="G1040">
        <v>41</v>
      </c>
      <c r="H1040" s="2">
        <v>44251.758344907408</v>
      </c>
    </row>
    <row r="1041" spans="1:8" ht="14.25" customHeight="1" x14ac:dyDescent="0.3">
      <c r="A1041">
        <v>1351212</v>
      </c>
      <c r="B1041" t="s">
        <v>5811</v>
      </c>
      <c r="C1041" s="1" t="s">
        <v>5812</v>
      </c>
      <c r="D1041" t="s">
        <v>11</v>
      </c>
      <c r="E1041">
        <v>1</v>
      </c>
      <c r="F1041">
        <v>1</v>
      </c>
      <c r="G1041">
        <v>43</v>
      </c>
      <c r="H1041" s="2">
        <v>44251.758437500001</v>
      </c>
    </row>
    <row r="1042" spans="1:8" ht="14.25" customHeight="1" x14ac:dyDescent="0.3">
      <c r="A1042">
        <v>1350781</v>
      </c>
      <c r="B1042" t="s">
        <v>5813</v>
      </c>
      <c r="C1042" s="1" t="s">
        <v>5814</v>
      </c>
      <c r="D1042" t="s">
        <v>24</v>
      </c>
      <c r="E1042">
        <v>1</v>
      </c>
      <c r="F1042">
        <v>1</v>
      </c>
      <c r="G1042">
        <v>41</v>
      </c>
      <c r="H1042" s="2">
        <v>44251.758460648147</v>
      </c>
    </row>
    <row r="1043" spans="1:8" ht="14.25" customHeight="1" x14ac:dyDescent="0.3">
      <c r="A1043">
        <v>1351069</v>
      </c>
      <c r="B1043" t="s">
        <v>4831</v>
      </c>
      <c r="C1043" t="s">
        <v>4832</v>
      </c>
      <c r="D1043" t="s">
        <v>1158</v>
      </c>
      <c r="E1043">
        <v>1</v>
      </c>
      <c r="F1043">
        <v>1</v>
      </c>
      <c r="G1043">
        <v>36</v>
      </c>
      <c r="H1043" s="2">
        <v>44251.758518518516</v>
      </c>
    </row>
    <row r="1044" spans="1:8" ht="14.25" customHeight="1" x14ac:dyDescent="0.3">
      <c r="A1044">
        <v>1350820</v>
      </c>
      <c r="B1044" t="s">
        <v>5815</v>
      </c>
      <c r="C1044" s="1" t="s">
        <v>5816</v>
      </c>
      <c r="D1044" t="s">
        <v>11</v>
      </c>
      <c r="E1044">
        <v>1</v>
      </c>
      <c r="F1044">
        <v>1</v>
      </c>
      <c r="G1044">
        <v>41</v>
      </c>
      <c r="H1044" s="2">
        <v>44251.758773148147</v>
      </c>
    </row>
    <row r="1045" spans="1:8" ht="14.25" customHeight="1" x14ac:dyDescent="0.3">
      <c r="A1045">
        <v>1350774</v>
      </c>
      <c r="B1045" t="e">
        <f>- new employee email</f>
        <v>#NAME?</v>
      </c>
      <c r="C1045" s="1" t="s">
        <v>5817</v>
      </c>
      <c r="D1045" t="s">
        <v>11</v>
      </c>
      <c r="E1045">
        <v>1</v>
      </c>
      <c r="F1045">
        <v>2</v>
      </c>
      <c r="G1045">
        <v>43</v>
      </c>
      <c r="H1045" s="2">
        <v>44251.758819444447</v>
      </c>
    </row>
    <row r="1046" spans="1:8" ht="14.25" customHeight="1" x14ac:dyDescent="0.3">
      <c r="A1046">
        <v>1350813</v>
      </c>
      <c r="B1046" t="s">
        <v>5818</v>
      </c>
      <c r="C1046" s="1" t="s">
        <v>5819</v>
      </c>
      <c r="D1046" t="s">
        <v>11</v>
      </c>
      <c r="E1046">
        <v>1</v>
      </c>
      <c r="F1046">
        <v>1</v>
      </c>
      <c r="G1046">
        <v>36</v>
      </c>
      <c r="H1046" s="2">
        <v>44251.758888888886</v>
      </c>
    </row>
    <row r="1047" spans="1:8" ht="14.25" customHeight="1" x14ac:dyDescent="0.3">
      <c r="A1047">
        <v>1350770</v>
      </c>
      <c r="B1047" t="s">
        <v>5820</v>
      </c>
      <c r="C1047" s="1" t="s">
        <v>5821</v>
      </c>
      <c r="D1047" t="s">
        <v>24</v>
      </c>
      <c r="E1047">
        <v>1</v>
      </c>
      <c r="F1047">
        <v>1</v>
      </c>
      <c r="G1047">
        <v>36</v>
      </c>
      <c r="H1047" s="2">
        <v>44251.759050925924</v>
      </c>
    </row>
    <row r="1048" spans="1:8" ht="14.25" customHeight="1" x14ac:dyDescent="0.3">
      <c r="A1048">
        <v>1350747</v>
      </c>
      <c r="B1048" t="s">
        <v>5822</v>
      </c>
      <c r="C1048" s="1" t="s">
        <v>5823</v>
      </c>
      <c r="D1048" t="s">
        <v>11</v>
      </c>
      <c r="E1048">
        <v>1</v>
      </c>
      <c r="F1048">
        <v>1</v>
      </c>
      <c r="G1048">
        <v>43</v>
      </c>
      <c r="H1048" s="2">
        <v>44251.759768518517</v>
      </c>
    </row>
    <row r="1049" spans="1:8" ht="14.25" customHeight="1" x14ac:dyDescent="0.3">
      <c r="A1049">
        <v>1350622</v>
      </c>
      <c r="B1049" t="s">
        <v>5824</v>
      </c>
      <c r="C1049" s="1" t="s">
        <v>5825</v>
      </c>
      <c r="D1049" t="s">
        <v>24</v>
      </c>
      <c r="E1049">
        <v>1</v>
      </c>
      <c r="F1049">
        <v>1</v>
      </c>
      <c r="G1049">
        <v>36</v>
      </c>
      <c r="H1049" s="2">
        <v>44251.760138888887</v>
      </c>
    </row>
    <row r="1050" spans="1:8" ht="14.25" customHeight="1" x14ac:dyDescent="0.3">
      <c r="A1050">
        <v>1351344</v>
      </c>
      <c r="B1050" t="e">
        <f>- new employee, cassie bernard</f>
        <v>#NAME?</v>
      </c>
      <c r="C1050" s="1" t="s">
        <v>5826</v>
      </c>
      <c r="D1050" t="s">
        <v>24</v>
      </c>
      <c r="E1050">
        <v>1</v>
      </c>
      <c r="F1050">
        <v>2</v>
      </c>
      <c r="G1050">
        <v>43</v>
      </c>
      <c r="H1050" s="2">
        <v>44251.761284722219</v>
      </c>
    </row>
    <row r="1051" spans="1:8" ht="14.25" customHeight="1" x14ac:dyDescent="0.3">
      <c r="A1051">
        <v>1350640</v>
      </c>
      <c r="B1051" t="s">
        <v>5827</v>
      </c>
      <c r="C1051" s="1" t="s">
        <v>5828</v>
      </c>
      <c r="D1051" t="s">
        <v>11</v>
      </c>
      <c r="E1051">
        <v>1</v>
      </c>
      <c r="F1051">
        <v>2</v>
      </c>
      <c r="G1051">
        <v>41</v>
      </c>
      <c r="H1051" s="2">
        <v>44251.761388888888</v>
      </c>
    </row>
    <row r="1052" spans="1:8" ht="14.25" customHeight="1" x14ac:dyDescent="0.3">
      <c r="A1052">
        <v>1350273</v>
      </c>
      <c r="B1052" t="e">
        <f>- provide vanessa pierce access to m: folders (except financial reports)</f>
        <v>#NAME?</v>
      </c>
      <c r="C1052" s="1" t="s">
        <v>5829</v>
      </c>
      <c r="D1052" t="s">
        <v>11</v>
      </c>
      <c r="E1052">
        <v>1</v>
      </c>
      <c r="F1052">
        <v>2</v>
      </c>
      <c r="G1052">
        <v>43</v>
      </c>
      <c r="H1052" s="2">
        <v>44251.76189814815</v>
      </c>
    </row>
    <row r="1053" spans="1:8" ht="14.25" customHeight="1" x14ac:dyDescent="0.3">
      <c r="A1053">
        <v>1350709</v>
      </c>
      <c r="B1053" t="s">
        <v>5830</v>
      </c>
      <c r="C1053" s="1" t="s">
        <v>5831</v>
      </c>
      <c r="D1053" t="s">
        <v>11</v>
      </c>
      <c r="E1053">
        <v>3</v>
      </c>
      <c r="F1053">
        <v>3</v>
      </c>
      <c r="G1053">
        <v>43</v>
      </c>
      <c r="H1053" s="2">
        <v>44251.762372685182</v>
      </c>
    </row>
    <row r="1054" spans="1:8" ht="14.25" customHeight="1" x14ac:dyDescent="0.3">
      <c r="A1054">
        <v>1350658</v>
      </c>
      <c r="B1054" t="e">
        <f>- user at risk detected</f>
        <v>#NAME?</v>
      </c>
      <c r="C1054" s="1" t="s">
        <v>5832</v>
      </c>
      <c r="D1054" t="s">
        <v>11</v>
      </c>
      <c r="E1054">
        <v>1</v>
      </c>
      <c r="F1054">
        <v>2</v>
      </c>
      <c r="G1054">
        <v>41</v>
      </c>
      <c r="H1054" s="2">
        <v>44251.762627314813</v>
      </c>
    </row>
    <row r="1055" spans="1:8" ht="14.25" customHeight="1" x14ac:dyDescent="0.3">
      <c r="A1055">
        <v>1352595</v>
      </c>
      <c r="B1055" t="e">
        <f>- please reset my land line pin - 780-665-3370</f>
        <v>#NAME?</v>
      </c>
      <c r="C1055" s="1" t="s">
        <v>4989</v>
      </c>
      <c r="D1055" t="s">
        <v>11</v>
      </c>
      <c r="E1055">
        <v>1</v>
      </c>
      <c r="F1055">
        <v>1</v>
      </c>
      <c r="G1055">
        <v>43</v>
      </c>
      <c r="H1055" s="2">
        <v>44251.762789351851</v>
      </c>
    </row>
    <row r="1056" spans="1:8" ht="14.25" customHeight="1" x14ac:dyDescent="0.3">
      <c r="A1056">
        <v>1350817</v>
      </c>
      <c r="B1056" t="s">
        <v>5833</v>
      </c>
      <c r="C1056" s="1" t="s">
        <v>5834</v>
      </c>
      <c r="D1056" t="s">
        <v>11</v>
      </c>
      <c r="E1056">
        <v>1</v>
      </c>
      <c r="F1056">
        <v>1</v>
      </c>
      <c r="G1056">
        <v>36</v>
      </c>
      <c r="H1056" s="2">
        <v>44251.762974537036</v>
      </c>
    </row>
    <row r="1057" spans="1:8" ht="14.25" customHeight="1" x14ac:dyDescent="0.3">
      <c r="A1057">
        <v>1352626</v>
      </c>
      <c r="B1057" t="s">
        <v>5835</v>
      </c>
      <c r="C1057" s="1" t="s">
        <v>5836</v>
      </c>
      <c r="D1057" t="s">
        <v>11</v>
      </c>
      <c r="E1057">
        <v>3</v>
      </c>
      <c r="F1057">
        <v>1</v>
      </c>
      <c r="G1057">
        <v>41</v>
      </c>
      <c r="H1057" s="2">
        <v>44251.763333333336</v>
      </c>
    </row>
    <row r="1058" spans="1:8" ht="14.25" customHeight="1" x14ac:dyDescent="0.3">
      <c r="A1058">
        <v>1350800</v>
      </c>
      <c r="B1058" t="e">
        <f>- unifi controller - e4c - new location</f>
        <v>#NAME?</v>
      </c>
      <c r="C1058" s="1" t="s">
        <v>5837</v>
      </c>
      <c r="D1058" t="s">
        <v>24</v>
      </c>
      <c r="E1058">
        <v>2</v>
      </c>
      <c r="F1058">
        <v>2</v>
      </c>
      <c r="G1058">
        <v>43</v>
      </c>
      <c r="H1058" s="2">
        <v>44251.763668981483</v>
      </c>
    </row>
    <row r="1059" spans="1:8" ht="14.25" customHeight="1" x14ac:dyDescent="0.3">
      <c r="A1059">
        <v>1350256</v>
      </c>
      <c r="B1059" t="e">
        <f>- microsoft office product key</f>
        <v>#NAME?</v>
      </c>
      <c r="C1059" s="1" t="s">
        <v>5838</v>
      </c>
      <c r="D1059" t="s">
        <v>24</v>
      </c>
      <c r="E1059">
        <v>1</v>
      </c>
      <c r="F1059">
        <v>2</v>
      </c>
      <c r="G1059">
        <v>41</v>
      </c>
      <c r="H1059" s="2">
        <v>44251.764004629629</v>
      </c>
    </row>
    <row r="1060" spans="1:8" ht="14.25" customHeight="1" x14ac:dyDescent="0.3">
      <c r="A1060">
        <v>1350757</v>
      </c>
      <c r="B1060" t="s">
        <v>5839</v>
      </c>
      <c r="C1060" s="1" t="s">
        <v>5840</v>
      </c>
      <c r="D1060" t="s">
        <v>11</v>
      </c>
      <c r="E1060">
        <v>1</v>
      </c>
      <c r="F1060">
        <v>1</v>
      </c>
      <c r="G1060">
        <v>43</v>
      </c>
      <c r="H1060" s="2">
        <v>44251.764606481483</v>
      </c>
    </row>
    <row r="1061" spans="1:8" ht="14.25" customHeight="1" x14ac:dyDescent="0.3">
      <c r="A1061">
        <v>1350650</v>
      </c>
      <c r="B1061" t="s">
        <v>5841</v>
      </c>
      <c r="C1061" s="1" t="s">
        <v>5842</v>
      </c>
      <c r="D1061" t="s">
        <v>11</v>
      </c>
      <c r="E1061">
        <v>1</v>
      </c>
      <c r="F1061">
        <v>1</v>
      </c>
      <c r="G1061">
        <v>43</v>
      </c>
      <c r="H1061" s="2">
        <v>44251.764664351853</v>
      </c>
    </row>
    <row r="1062" spans="1:8" ht="14.25" customHeight="1" x14ac:dyDescent="0.3">
      <c r="A1062">
        <v>1350631</v>
      </c>
      <c r="B1062" t="e">
        <f>- new hard drive and ram for x-2393</f>
        <v>#NAME?</v>
      </c>
      <c r="C1062" s="1" t="s">
        <v>5843</v>
      </c>
      <c r="D1062" t="s">
        <v>24</v>
      </c>
      <c r="E1062">
        <v>1</v>
      </c>
      <c r="F1062">
        <v>2</v>
      </c>
      <c r="G1062">
        <v>43</v>
      </c>
      <c r="H1062" s="2">
        <v>44251.765914351854</v>
      </c>
    </row>
    <row r="1063" spans="1:8" ht="14.25" customHeight="1" x14ac:dyDescent="0.3">
      <c r="A1063">
        <v>1350756</v>
      </c>
      <c r="B1063" t="s">
        <v>5844</v>
      </c>
      <c r="C1063" s="1" t="s">
        <v>5845</v>
      </c>
      <c r="D1063" t="s">
        <v>11</v>
      </c>
      <c r="E1063">
        <v>1</v>
      </c>
      <c r="F1063">
        <v>2</v>
      </c>
      <c r="G1063">
        <v>41</v>
      </c>
      <c r="H1063" s="2">
        <v>44251.766145833331</v>
      </c>
    </row>
    <row r="1064" spans="1:8" ht="14.25" customHeight="1" x14ac:dyDescent="0.3">
      <c r="A1064">
        <v>1352495</v>
      </c>
      <c r="B1064" t="s">
        <v>5846</v>
      </c>
      <c r="C1064" s="1" t="s">
        <v>5847</v>
      </c>
      <c r="D1064" t="s">
        <v>11</v>
      </c>
      <c r="E1064">
        <v>1</v>
      </c>
      <c r="F1064">
        <v>3</v>
      </c>
      <c r="G1064">
        <v>41</v>
      </c>
      <c r="H1064" s="2">
        <v>44251.766157407408</v>
      </c>
    </row>
    <row r="1065" spans="1:8" ht="14.25" customHeight="1" x14ac:dyDescent="0.3">
      <c r="A1065">
        <v>1350590</v>
      </c>
      <c r="B1065" t="e">
        <f>- acsa vpn not logging in</f>
        <v>#NAME?</v>
      </c>
      <c r="C1065" s="1" t="s">
        <v>5848</v>
      </c>
      <c r="D1065" t="s">
        <v>11</v>
      </c>
      <c r="E1065">
        <v>1</v>
      </c>
      <c r="F1065">
        <v>3</v>
      </c>
      <c r="G1065">
        <v>41</v>
      </c>
      <c r="H1065" s="2">
        <v>44251.766365740739</v>
      </c>
    </row>
    <row r="1066" spans="1:8" ht="14.25" customHeight="1" x14ac:dyDescent="0.3">
      <c r="A1066">
        <v>1350240</v>
      </c>
      <c r="B1066" t="s">
        <v>2047</v>
      </c>
      <c r="C1066" t="s">
        <v>5849</v>
      </c>
      <c r="D1066" t="s">
        <v>11</v>
      </c>
      <c r="E1066">
        <v>1</v>
      </c>
      <c r="F1066">
        <v>1</v>
      </c>
      <c r="G1066">
        <v>41</v>
      </c>
      <c r="H1066" s="2">
        <v>44251.767789351848</v>
      </c>
    </row>
    <row r="1067" spans="1:8" ht="14.25" customHeight="1" x14ac:dyDescent="0.3">
      <c r="A1067">
        <v>1350796</v>
      </c>
      <c r="B1067" t="e">
        <f>- forms</f>
        <v>#NAME?</v>
      </c>
      <c r="C1067" s="1" t="s">
        <v>5850</v>
      </c>
      <c r="D1067" t="s">
        <v>24</v>
      </c>
      <c r="E1067">
        <v>1</v>
      </c>
      <c r="F1067">
        <v>2</v>
      </c>
      <c r="G1067">
        <v>41</v>
      </c>
      <c r="H1067" s="2">
        <v>44251.768807870372</v>
      </c>
    </row>
    <row r="1068" spans="1:8" ht="14.25" customHeight="1" x14ac:dyDescent="0.3">
      <c r="A1068">
        <v>1350225</v>
      </c>
      <c r="B1068" t="e">
        <f>- no access to adobe</f>
        <v>#NAME?</v>
      </c>
      <c r="C1068" s="1" t="s">
        <v>5851</v>
      </c>
      <c r="D1068" t="s">
        <v>24</v>
      </c>
      <c r="E1068">
        <v>1</v>
      </c>
      <c r="F1068">
        <v>2</v>
      </c>
      <c r="G1068">
        <v>41</v>
      </c>
      <c r="H1068" s="2">
        <v>44251.768969907411</v>
      </c>
    </row>
    <row r="1069" spans="1:8" ht="14.25" customHeight="1" x14ac:dyDescent="0.3">
      <c r="A1069">
        <v>1350595</v>
      </c>
      <c r="B1069" t="e">
        <f>- it glue opening folder rather than specific file</f>
        <v>#NAME?</v>
      </c>
      <c r="C1069" s="1" t="s">
        <v>5852</v>
      </c>
      <c r="D1069" t="s">
        <v>24</v>
      </c>
      <c r="E1069">
        <v>1</v>
      </c>
      <c r="F1069">
        <v>1</v>
      </c>
      <c r="G1069">
        <v>41</v>
      </c>
      <c r="H1069" s="2">
        <v>44251.769733796296</v>
      </c>
    </row>
    <row r="1070" spans="1:8" ht="14.25" customHeight="1" x14ac:dyDescent="0.3">
      <c r="A1070">
        <v>1350228</v>
      </c>
      <c r="B1070" t="s">
        <v>5853</v>
      </c>
      <c r="C1070" s="1" t="s">
        <v>5854</v>
      </c>
      <c r="D1070" t="s">
        <v>24</v>
      </c>
      <c r="E1070">
        <v>1</v>
      </c>
      <c r="F1070">
        <v>3</v>
      </c>
      <c r="G1070">
        <v>43</v>
      </c>
      <c r="H1070" s="2">
        <v>44251.769756944443</v>
      </c>
    </row>
    <row r="1071" spans="1:8" ht="14.25" customHeight="1" x14ac:dyDescent="0.3">
      <c r="A1071">
        <v>1350783</v>
      </c>
      <c r="B1071" t="e">
        <f>- re: adobe licence</f>
        <v>#NAME?</v>
      </c>
      <c r="C1071" s="1" t="s">
        <v>5855</v>
      </c>
      <c r="D1071" t="s">
        <v>11</v>
      </c>
      <c r="E1071">
        <v>1</v>
      </c>
      <c r="F1071">
        <v>1</v>
      </c>
      <c r="G1071">
        <v>36</v>
      </c>
      <c r="H1071" s="2">
        <v>44251.769965277781</v>
      </c>
    </row>
    <row r="1072" spans="1:8" ht="14.25" customHeight="1" x14ac:dyDescent="0.3">
      <c r="A1072">
        <v>1350752</v>
      </c>
      <c r="B1072" t="s">
        <v>5856</v>
      </c>
      <c r="C1072" s="1" t="s">
        <v>5857</v>
      </c>
      <c r="D1072" t="s">
        <v>24</v>
      </c>
      <c r="E1072">
        <v>1</v>
      </c>
      <c r="F1072">
        <v>1</v>
      </c>
      <c r="G1072">
        <v>36</v>
      </c>
      <c r="H1072" s="2">
        <v>44251.770127314812</v>
      </c>
    </row>
    <row r="1073" spans="1:8" ht="14.25" customHeight="1" x14ac:dyDescent="0.3">
      <c r="A1073">
        <v>1350644</v>
      </c>
      <c r="B1073" t="s">
        <v>5858</v>
      </c>
      <c r="C1073" s="1" t="s">
        <v>5859</v>
      </c>
      <c r="D1073" t="s">
        <v>11</v>
      </c>
      <c r="E1073">
        <v>1</v>
      </c>
      <c r="F1073">
        <v>1</v>
      </c>
      <c r="G1073">
        <v>43</v>
      </c>
      <c r="H1073" s="2">
        <v>44251.770231481481</v>
      </c>
    </row>
    <row r="1074" spans="1:8" ht="14.25" customHeight="1" x14ac:dyDescent="0.3">
      <c r="A1074">
        <v>1350261</v>
      </c>
      <c r="B1074" t="s">
        <v>2039</v>
      </c>
      <c r="C1074" s="1" t="s">
        <v>5860</v>
      </c>
      <c r="D1074" t="s">
        <v>11</v>
      </c>
      <c r="E1074">
        <v>1</v>
      </c>
      <c r="F1074">
        <v>2</v>
      </c>
      <c r="G1074">
        <v>41</v>
      </c>
      <c r="H1074" s="2">
        <v>44251.773009259261</v>
      </c>
    </row>
    <row r="1075" spans="1:8" ht="14.25" customHeight="1" x14ac:dyDescent="0.3">
      <c r="A1075">
        <v>1350602</v>
      </c>
      <c r="B1075" t="s">
        <v>5861</v>
      </c>
      <c r="C1075" s="1" t="s">
        <v>5862</v>
      </c>
      <c r="D1075" t="s">
        <v>11</v>
      </c>
      <c r="E1075">
        <v>1</v>
      </c>
      <c r="F1075">
        <v>2</v>
      </c>
      <c r="G1075">
        <v>41</v>
      </c>
      <c r="H1075" s="2">
        <v>44251.773263888892</v>
      </c>
    </row>
    <row r="1076" spans="1:8" ht="14.25" customHeight="1" x14ac:dyDescent="0.3">
      <c r="A1076">
        <v>1351198</v>
      </c>
      <c r="B1076" t="s">
        <v>5863</v>
      </c>
      <c r="C1076" s="1" t="s">
        <v>5864</v>
      </c>
      <c r="D1076" t="s">
        <v>24</v>
      </c>
      <c r="E1076">
        <v>3</v>
      </c>
      <c r="F1076">
        <v>1</v>
      </c>
      <c r="G1076">
        <v>43</v>
      </c>
      <c r="H1076" s="2">
        <v>44251.773333333331</v>
      </c>
    </row>
    <row r="1077" spans="1:8" ht="14.25" customHeight="1" x14ac:dyDescent="0.3">
      <c r="A1077">
        <v>1350202</v>
      </c>
      <c r="B1077" t="s">
        <v>5865</v>
      </c>
      <c r="C1077" s="1" t="s">
        <v>5866</v>
      </c>
      <c r="D1077" t="s">
        <v>11</v>
      </c>
      <c r="E1077">
        <v>1</v>
      </c>
      <c r="F1077">
        <v>1</v>
      </c>
      <c r="G1077">
        <v>43</v>
      </c>
      <c r="H1077" s="2">
        <v>44251.773472222223</v>
      </c>
    </row>
    <row r="1078" spans="1:8" ht="14.25" customHeight="1" x14ac:dyDescent="0.3">
      <c r="A1078">
        <v>1350168</v>
      </c>
      <c r="B1078" t="s">
        <v>5867</v>
      </c>
      <c r="C1078" s="1" t="s">
        <v>5868</v>
      </c>
      <c r="D1078" t="s">
        <v>11</v>
      </c>
      <c r="E1078">
        <v>1</v>
      </c>
      <c r="F1078">
        <v>1</v>
      </c>
      <c r="G1078">
        <v>43</v>
      </c>
      <c r="H1078" s="2">
        <v>44251.77375</v>
      </c>
    </row>
    <row r="1079" spans="1:8" ht="14.25" customHeight="1" x14ac:dyDescent="0.3">
      <c r="A1079">
        <v>1350216</v>
      </c>
      <c r="B1079" t="s">
        <v>5869</v>
      </c>
      <c r="C1079" s="1" t="s">
        <v>5870</v>
      </c>
      <c r="D1079" t="s">
        <v>11</v>
      </c>
      <c r="E1079">
        <v>1</v>
      </c>
      <c r="F1079">
        <v>2</v>
      </c>
      <c r="G1079">
        <v>41</v>
      </c>
      <c r="H1079" s="2">
        <v>44251.774247685185</v>
      </c>
    </row>
    <row r="1080" spans="1:8" ht="14.25" customHeight="1" x14ac:dyDescent="0.3">
      <c r="A1080">
        <v>1350203</v>
      </c>
      <c r="B1080" t="s">
        <v>5871</v>
      </c>
      <c r="C1080" s="1" t="s">
        <v>5872</v>
      </c>
      <c r="D1080" t="s">
        <v>11</v>
      </c>
      <c r="E1080">
        <v>1</v>
      </c>
      <c r="F1080">
        <v>2</v>
      </c>
      <c r="G1080">
        <v>41</v>
      </c>
      <c r="H1080" s="2">
        <v>44251.775312500002</v>
      </c>
    </row>
    <row r="1081" spans="1:8" ht="14.25" customHeight="1" x14ac:dyDescent="0.3">
      <c r="A1081">
        <v>1350125</v>
      </c>
      <c r="B1081" t="s">
        <v>5873</v>
      </c>
      <c r="C1081" s="1" t="s">
        <v>5874</v>
      </c>
      <c r="D1081" t="s">
        <v>11</v>
      </c>
      <c r="E1081">
        <v>1</v>
      </c>
      <c r="F1081">
        <v>2</v>
      </c>
      <c r="G1081">
        <v>41</v>
      </c>
      <c r="H1081" s="2">
        <v>44251.775625000002</v>
      </c>
    </row>
    <row r="1082" spans="1:8" ht="14.25" customHeight="1" x14ac:dyDescent="0.3">
      <c r="A1082">
        <v>1350111</v>
      </c>
      <c r="B1082" t="s">
        <v>5875</v>
      </c>
      <c r="C1082" s="1" t="s">
        <v>5876</v>
      </c>
      <c r="D1082" t="s">
        <v>11</v>
      </c>
      <c r="E1082">
        <v>1</v>
      </c>
      <c r="F1082">
        <v>2</v>
      </c>
      <c r="G1082">
        <v>43</v>
      </c>
      <c r="H1082" s="2">
        <v>44251.775787037041</v>
      </c>
    </row>
    <row r="1083" spans="1:8" ht="14.25" customHeight="1" x14ac:dyDescent="0.3">
      <c r="A1083">
        <v>1350642</v>
      </c>
      <c r="B1083" t="e">
        <f>- adobe license</f>
        <v>#NAME?</v>
      </c>
      <c r="C1083" s="1" t="s">
        <v>5877</v>
      </c>
      <c r="D1083" t="s">
        <v>11</v>
      </c>
      <c r="E1083">
        <v>1</v>
      </c>
      <c r="F1083">
        <v>1</v>
      </c>
      <c r="G1083">
        <v>36</v>
      </c>
      <c r="H1083" s="2">
        <v>44251.777233796296</v>
      </c>
    </row>
    <row r="1084" spans="1:8" ht="14.25" customHeight="1" x14ac:dyDescent="0.3">
      <c r="A1084">
        <v>1350268</v>
      </c>
      <c r="B1084" t="e">
        <f>- new email</f>
        <v>#NAME?</v>
      </c>
      <c r="C1084" s="1" t="s">
        <v>5878</v>
      </c>
      <c r="D1084" t="s">
        <v>11</v>
      </c>
      <c r="E1084">
        <v>1</v>
      </c>
      <c r="F1084">
        <v>2</v>
      </c>
      <c r="G1084">
        <v>43</v>
      </c>
      <c r="H1084" s="2">
        <v>44251.777418981481</v>
      </c>
    </row>
    <row r="1085" spans="1:8" ht="14.25" customHeight="1" x14ac:dyDescent="0.3">
      <c r="A1085">
        <v>1350055</v>
      </c>
      <c r="B1085" t="s">
        <v>5879</v>
      </c>
      <c r="C1085" s="1" t="s">
        <v>5880</v>
      </c>
      <c r="D1085" t="s">
        <v>11</v>
      </c>
      <c r="E1085">
        <v>1</v>
      </c>
      <c r="F1085">
        <v>3</v>
      </c>
      <c r="G1085">
        <v>41</v>
      </c>
      <c r="H1085" s="2">
        <v>44251.777916666666</v>
      </c>
    </row>
    <row r="1086" spans="1:8" ht="14.25" customHeight="1" x14ac:dyDescent="0.3">
      <c r="A1086">
        <v>1350147</v>
      </c>
      <c r="B1086" t="e">
        <f>- needs to access the special projects\caft  folder</f>
        <v>#NAME?</v>
      </c>
      <c r="C1086" s="1" t="s">
        <v>5881</v>
      </c>
      <c r="D1086" t="s">
        <v>11</v>
      </c>
      <c r="E1086">
        <v>1</v>
      </c>
      <c r="F1086">
        <v>1</v>
      </c>
      <c r="G1086">
        <v>43</v>
      </c>
      <c r="H1086" s="2">
        <v>44251.778738425928</v>
      </c>
    </row>
    <row r="1087" spans="1:8" ht="14.25" customHeight="1" x14ac:dyDescent="0.3">
      <c r="A1087">
        <v>1350170</v>
      </c>
      <c r="B1087" t="s">
        <v>5882</v>
      </c>
      <c r="C1087" s="1" t="s">
        <v>5883</v>
      </c>
      <c r="D1087" t="s">
        <v>11</v>
      </c>
      <c r="E1087">
        <v>1</v>
      </c>
      <c r="F1087">
        <v>1</v>
      </c>
      <c r="G1087">
        <v>43</v>
      </c>
      <c r="H1087" s="2">
        <v>44251.778877314813</v>
      </c>
    </row>
    <row r="1088" spans="1:8" ht="14.25" customHeight="1" x14ac:dyDescent="0.3">
      <c r="A1088">
        <v>1351317</v>
      </c>
      <c r="B1088" t="e">
        <f>- categories in contacts disappeared</f>
        <v>#NAME?</v>
      </c>
      <c r="C1088" s="1" t="s">
        <v>5884</v>
      </c>
      <c r="D1088" t="s">
        <v>11</v>
      </c>
      <c r="E1088">
        <v>1</v>
      </c>
      <c r="F1088">
        <v>1</v>
      </c>
      <c r="G1088">
        <v>41</v>
      </c>
      <c r="H1088" s="2">
        <v>44251.779108796298</v>
      </c>
    </row>
    <row r="1089" spans="1:8" ht="14.25" customHeight="1" x14ac:dyDescent="0.3">
      <c r="A1089">
        <v>1350184</v>
      </c>
      <c r="B1089" t="e">
        <f>- zoom audio</f>
        <v>#NAME?</v>
      </c>
      <c r="C1089" s="1" t="s">
        <v>5885</v>
      </c>
      <c r="D1089" t="s">
        <v>11</v>
      </c>
      <c r="E1089">
        <v>1</v>
      </c>
      <c r="F1089">
        <v>1</v>
      </c>
      <c r="G1089">
        <v>41</v>
      </c>
      <c r="H1089" s="2">
        <v>44251.779340277775</v>
      </c>
    </row>
    <row r="1090" spans="1:8" ht="14.25" customHeight="1" x14ac:dyDescent="0.3">
      <c r="A1090">
        <v>1350478</v>
      </c>
      <c r="B1090" t="s">
        <v>4683</v>
      </c>
      <c r="C1090" t="s">
        <v>4684</v>
      </c>
      <c r="D1090" t="s">
        <v>1158</v>
      </c>
      <c r="E1090">
        <v>1</v>
      </c>
      <c r="F1090">
        <v>1</v>
      </c>
      <c r="G1090">
        <v>36</v>
      </c>
      <c r="H1090" s="2">
        <v>44251.779409722221</v>
      </c>
    </row>
    <row r="1091" spans="1:8" ht="14.25" customHeight="1" x14ac:dyDescent="0.3">
      <c r="A1091">
        <v>1350226</v>
      </c>
      <c r="B1091" t="e">
        <f>- enable user accounts in february</f>
        <v>#NAME?</v>
      </c>
      <c r="C1091" s="1" t="s">
        <v>5886</v>
      </c>
      <c r="D1091" t="s">
        <v>24</v>
      </c>
      <c r="E1091">
        <v>1</v>
      </c>
      <c r="F1091">
        <v>2</v>
      </c>
      <c r="G1091">
        <v>43</v>
      </c>
      <c r="H1091" s="2">
        <v>44251.77957175926</v>
      </c>
    </row>
    <row r="1092" spans="1:8" ht="14.25" customHeight="1" x14ac:dyDescent="0.3">
      <c r="A1092">
        <v>1349758</v>
      </c>
      <c r="B1092" t="s">
        <v>5887</v>
      </c>
      <c r="C1092" s="1" t="s">
        <v>5888</v>
      </c>
      <c r="D1092" t="s">
        <v>11</v>
      </c>
      <c r="E1092">
        <v>1</v>
      </c>
      <c r="F1092">
        <v>2</v>
      </c>
      <c r="G1092">
        <v>41</v>
      </c>
      <c r="H1092" s="2">
        <v>44251.779641203706</v>
      </c>
    </row>
    <row r="1093" spans="1:8" ht="14.25" customHeight="1" x14ac:dyDescent="0.3">
      <c r="A1093">
        <v>1350118</v>
      </c>
      <c r="B1093" t="e">
        <f>- spam issue</f>
        <v>#NAME?</v>
      </c>
      <c r="C1093" s="1" t="s">
        <v>5889</v>
      </c>
      <c r="D1093" t="s">
        <v>24</v>
      </c>
      <c r="E1093">
        <v>1</v>
      </c>
      <c r="F1093">
        <v>1</v>
      </c>
      <c r="G1093">
        <v>41</v>
      </c>
      <c r="H1093" s="2">
        <v>44251.779664351852</v>
      </c>
    </row>
    <row r="1094" spans="1:8" ht="14.25" customHeight="1" x14ac:dyDescent="0.3">
      <c r="A1094">
        <v>1352134</v>
      </c>
      <c r="B1094" t="s">
        <v>5741</v>
      </c>
      <c r="C1094" s="1" t="s">
        <v>5890</v>
      </c>
      <c r="D1094" t="s">
        <v>11</v>
      </c>
      <c r="E1094">
        <v>1</v>
      </c>
      <c r="F1094">
        <v>2</v>
      </c>
      <c r="G1094">
        <v>43</v>
      </c>
      <c r="H1094" s="2">
        <v>44251.779976851853</v>
      </c>
    </row>
    <row r="1095" spans="1:8" ht="14.25" customHeight="1" x14ac:dyDescent="0.3">
      <c r="A1095">
        <v>1350169</v>
      </c>
      <c r="B1095" t="s">
        <v>5891</v>
      </c>
      <c r="C1095" s="1" t="s">
        <v>5892</v>
      </c>
      <c r="D1095" t="s">
        <v>11</v>
      </c>
      <c r="E1095">
        <v>1</v>
      </c>
      <c r="F1095">
        <v>1</v>
      </c>
      <c r="G1095">
        <v>43</v>
      </c>
      <c r="H1095" s="2">
        <v>44251.780057870368</v>
      </c>
    </row>
    <row r="1096" spans="1:8" ht="14.25" customHeight="1" x14ac:dyDescent="0.3">
      <c r="A1096">
        <v>1350201</v>
      </c>
      <c r="B1096" t="s">
        <v>5893</v>
      </c>
      <c r="C1096" s="1" t="s">
        <v>5894</v>
      </c>
      <c r="D1096" t="s">
        <v>11</v>
      </c>
      <c r="E1096">
        <v>1</v>
      </c>
      <c r="F1096">
        <v>1</v>
      </c>
      <c r="G1096">
        <v>43</v>
      </c>
      <c r="H1096" s="2">
        <v>44251.780393518522</v>
      </c>
    </row>
    <row r="1097" spans="1:8" ht="14.25" customHeight="1" x14ac:dyDescent="0.3">
      <c r="A1097">
        <v>1350183</v>
      </c>
      <c r="B1097" t="s">
        <v>5895</v>
      </c>
      <c r="C1097" s="1" t="s">
        <v>5896</v>
      </c>
      <c r="D1097" t="s">
        <v>11</v>
      </c>
      <c r="E1097">
        <v>1</v>
      </c>
      <c r="F1097">
        <v>1</v>
      </c>
      <c r="G1097">
        <v>43</v>
      </c>
      <c r="H1097" s="2">
        <v>44251.780462962961</v>
      </c>
    </row>
    <row r="1098" spans="1:8" ht="14.25" customHeight="1" x14ac:dyDescent="0.3">
      <c r="A1098">
        <v>1350853</v>
      </c>
      <c r="B1098" t="s">
        <v>5897</v>
      </c>
      <c r="C1098" s="1" t="s">
        <v>5898</v>
      </c>
      <c r="D1098" t="s">
        <v>24</v>
      </c>
      <c r="E1098">
        <v>1</v>
      </c>
      <c r="F1098">
        <v>1</v>
      </c>
      <c r="G1098">
        <v>36</v>
      </c>
      <c r="H1098" s="2">
        <v>44251.780532407407</v>
      </c>
    </row>
    <row r="1099" spans="1:8" ht="14.25" customHeight="1" x14ac:dyDescent="0.3">
      <c r="A1099">
        <v>1350224</v>
      </c>
      <c r="B1099" t="s">
        <v>5899</v>
      </c>
      <c r="C1099" s="1" t="s">
        <v>5900</v>
      </c>
      <c r="D1099" t="s">
        <v>24</v>
      </c>
      <c r="E1099">
        <v>1</v>
      </c>
      <c r="F1099">
        <v>1</v>
      </c>
      <c r="G1099">
        <v>36</v>
      </c>
      <c r="H1099" s="2">
        <v>44251.780671296299</v>
      </c>
    </row>
    <row r="1100" spans="1:8" ht="14.25" customHeight="1" x14ac:dyDescent="0.3">
      <c r="A1100">
        <v>1350753</v>
      </c>
      <c r="B1100" t="e">
        <f>- E3 nonprofit increase (mailbox size increase)</f>
        <v>#NAME?</v>
      </c>
      <c r="C1100" s="1" t="s">
        <v>5901</v>
      </c>
      <c r="D1100" t="s">
        <v>24</v>
      </c>
      <c r="E1100">
        <v>1</v>
      </c>
      <c r="F1100">
        <v>2</v>
      </c>
      <c r="G1100">
        <v>36</v>
      </c>
      <c r="H1100" s="2">
        <v>44251.781284722223</v>
      </c>
    </row>
    <row r="1101" spans="1:8" ht="14.25" customHeight="1" x14ac:dyDescent="0.3">
      <c r="A1101">
        <v>1350115</v>
      </c>
      <c r="B1101" t="s">
        <v>5902</v>
      </c>
      <c r="C1101" s="1" t="s">
        <v>5903</v>
      </c>
      <c r="D1101" t="s">
        <v>11</v>
      </c>
      <c r="E1101">
        <v>1</v>
      </c>
      <c r="F1101">
        <v>1</v>
      </c>
      <c r="G1101">
        <v>36</v>
      </c>
      <c r="H1101" s="2">
        <v>44251.784039351849</v>
      </c>
    </row>
    <row r="1102" spans="1:8" ht="14.25" customHeight="1" x14ac:dyDescent="0.3">
      <c r="A1102">
        <v>1349753</v>
      </c>
      <c r="B1102" t="s">
        <v>5904</v>
      </c>
      <c r="C1102" s="1" t="s">
        <v>5905</v>
      </c>
      <c r="D1102" t="s">
        <v>11</v>
      </c>
      <c r="E1102">
        <v>1</v>
      </c>
      <c r="F1102">
        <v>1</v>
      </c>
      <c r="G1102">
        <v>43</v>
      </c>
      <c r="H1102" s="2">
        <v>44251.787418981483</v>
      </c>
    </row>
    <row r="1103" spans="1:8" ht="14.25" customHeight="1" x14ac:dyDescent="0.3">
      <c r="A1103">
        <v>1350213</v>
      </c>
      <c r="B1103" t="s">
        <v>5906</v>
      </c>
      <c r="C1103" s="1" t="s">
        <v>5907</v>
      </c>
      <c r="D1103" t="s">
        <v>188</v>
      </c>
      <c r="E1103">
        <v>2</v>
      </c>
      <c r="F1103">
        <v>2</v>
      </c>
      <c r="G1103">
        <v>43</v>
      </c>
      <c r="H1103" s="2">
        <v>44251.78806712963</v>
      </c>
    </row>
    <row r="1104" spans="1:8" ht="14.25" customHeight="1" x14ac:dyDescent="0.3">
      <c r="A1104">
        <v>1349710</v>
      </c>
      <c r="B1104" t="s">
        <v>5908</v>
      </c>
      <c r="C1104" s="1" t="s">
        <v>5909</v>
      </c>
      <c r="D1104" t="s">
        <v>11</v>
      </c>
      <c r="E1104">
        <v>1</v>
      </c>
      <c r="F1104">
        <v>3</v>
      </c>
      <c r="G1104">
        <v>43</v>
      </c>
      <c r="H1104" s="2">
        <v>44251.789340277777</v>
      </c>
    </row>
    <row r="1105" spans="1:8" ht="14.25" customHeight="1" x14ac:dyDescent="0.3">
      <c r="A1105">
        <v>1349745</v>
      </c>
      <c r="B1105" t="e">
        <f>- fw: your mailbox is almost full.</f>
        <v>#NAME?</v>
      </c>
      <c r="C1105" s="1" t="s">
        <v>5910</v>
      </c>
      <c r="D1105" t="s">
        <v>11</v>
      </c>
      <c r="E1105">
        <v>1</v>
      </c>
      <c r="F1105">
        <v>2</v>
      </c>
      <c r="G1105">
        <v>41</v>
      </c>
      <c r="H1105" s="2">
        <v>44251.789583333331</v>
      </c>
    </row>
    <row r="1106" spans="1:8" ht="14.25" customHeight="1" x14ac:dyDescent="0.3">
      <c r="A1106">
        <v>1349676</v>
      </c>
      <c r="B1106">
        <v>1343299</v>
      </c>
      <c r="C1106" s="1" t="s">
        <v>5911</v>
      </c>
      <c r="D1106" t="s">
        <v>11</v>
      </c>
      <c r="E1106">
        <v>1</v>
      </c>
      <c r="F1106">
        <v>1</v>
      </c>
      <c r="G1106">
        <v>43</v>
      </c>
      <c r="H1106" s="2">
        <v>44251.79011574074</v>
      </c>
    </row>
    <row r="1107" spans="1:8" ht="14.25" customHeight="1" x14ac:dyDescent="0.3">
      <c r="A1107">
        <v>1349725</v>
      </c>
      <c r="B1107">
        <v>1347143</v>
      </c>
      <c r="C1107" s="1" t="s">
        <v>5912</v>
      </c>
      <c r="D1107" t="s">
        <v>11</v>
      </c>
      <c r="E1107">
        <v>1</v>
      </c>
      <c r="F1107">
        <v>1</v>
      </c>
      <c r="G1107">
        <v>43</v>
      </c>
      <c r="H1107" s="2">
        <v>44251.791597222225</v>
      </c>
    </row>
    <row r="1108" spans="1:8" ht="14.25" customHeight="1" x14ac:dyDescent="0.3">
      <c r="A1108">
        <v>1349667</v>
      </c>
      <c r="B1108" t="s">
        <v>5913</v>
      </c>
      <c r="C1108" s="1" t="s">
        <v>5914</v>
      </c>
      <c r="D1108" t="s">
        <v>11</v>
      </c>
      <c r="E1108">
        <v>1</v>
      </c>
      <c r="F1108">
        <v>1</v>
      </c>
      <c r="G1108">
        <v>43</v>
      </c>
      <c r="H1108" s="2">
        <v>44251.79310185185</v>
      </c>
    </row>
    <row r="1109" spans="1:8" ht="14.25" customHeight="1" x14ac:dyDescent="0.3">
      <c r="A1109">
        <v>1351211</v>
      </c>
      <c r="B1109" t="s">
        <v>5915</v>
      </c>
      <c r="C1109" s="1" t="s">
        <v>5916</v>
      </c>
      <c r="D1109" t="s">
        <v>11</v>
      </c>
      <c r="E1109">
        <v>3</v>
      </c>
      <c r="F1109">
        <v>2</v>
      </c>
      <c r="G1109">
        <v>43</v>
      </c>
      <c r="H1109" s="2">
        <v>44251.793680555558</v>
      </c>
    </row>
    <row r="1110" spans="1:8" ht="14.25" customHeight="1" x14ac:dyDescent="0.3">
      <c r="A1110">
        <v>1350166</v>
      </c>
      <c r="B1110" t="s">
        <v>5917</v>
      </c>
      <c r="C1110" s="1" t="s">
        <v>5918</v>
      </c>
      <c r="D1110" t="s">
        <v>11</v>
      </c>
      <c r="E1110">
        <v>1</v>
      </c>
      <c r="F1110">
        <v>1</v>
      </c>
      <c r="G1110">
        <v>43</v>
      </c>
      <c r="H1110" s="2">
        <v>44251.795347222222</v>
      </c>
    </row>
    <row r="1111" spans="1:8" ht="14.25" customHeight="1" x14ac:dyDescent="0.3">
      <c r="A1111">
        <v>1350116</v>
      </c>
      <c r="B1111" t="s">
        <v>5919</v>
      </c>
      <c r="C1111" s="1" t="s">
        <v>5920</v>
      </c>
      <c r="D1111" t="s">
        <v>24</v>
      </c>
      <c r="E1111">
        <v>1</v>
      </c>
      <c r="F1111">
        <v>1</v>
      </c>
      <c r="G1111">
        <v>36</v>
      </c>
      <c r="H1111" s="2">
        <v>44251.795624999999</v>
      </c>
    </row>
    <row r="1112" spans="1:8" ht="14.25" customHeight="1" x14ac:dyDescent="0.3">
      <c r="A1112">
        <v>1349973</v>
      </c>
      <c r="B1112" t="s">
        <v>4690</v>
      </c>
      <c r="C1112" t="s">
        <v>4691</v>
      </c>
      <c r="D1112" t="s">
        <v>1158</v>
      </c>
      <c r="E1112">
        <v>1</v>
      </c>
      <c r="F1112">
        <v>1</v>
      </c>
      <c r="G1112">
        <v>36</v>
      </c>
      <c r="H1112" s="2">
        <v>44251.795694444445</v>
      </c>
    </row>
    <row r="1113" spans="1:8" ht="14.25" customHeight="1" x14ac:dyDescent="0.3">
      <c r="A1113">
        <v>1349974</v>
      </c>
      <c r="B1113" t="s">
        <v>4690</v>
      </c>
      <c r="C1113" t="s">
        <v>4691</v>
      </c>
      <c r="D1113" t="s">
        <v>1158</v>
      </c>
      <c r="E1113">
        <v>1</v>
      </c>
      <c r="F1113">
        <v>1</v>
      </c>
      <c r="G1113">
        <v>36</v>
      </c>
      <c r="H1113" s="2">
        <v>44251.798576388886</v>
      </c>
    </row>
    <row r="1114" spans="1:8" ht="14.25" customHeight="1" x14ac:dyDescent="0.3">
      <c r="A1114">
        <v>1351203</v>
      </c>
      <c r="B1114" t="s">
        <v>5921</v>
      </c>
      <c r="C1114" s="1" t="s">
        <v>5922</v>
      </c>
      <c r="D1114" t="s">
        <v>24</v>
      </c>
      <c r="E1114">
        <v>1</v>
      </c>
      <c r="F1114">
        <v>1</v>
      </c>
      <c r="G1114">
        <v>41</v>
      </c>
      <c r="H1114" s="2">
        <v>44251.804803240739</v>
      </c>
    </row>
    <row r="1115" spans="1:8" ht="14.25" customHeight="1" x14ac:dyDescent="0.3">
      <c r="A1115">
        <v>1349803</v>
      </c>
      <c r="B1115">
        <v>1349090</v>
      </c>
      <c r="C1115" s="1" t="s">
        <v>5923</v>
      </c>
      <c r="D1115" t="s">
        <v>11</v>
      </c>
      <c r="E1115">
        <v>1</v>
      </c>
      <c r="F1115">
        <v>1</v>
      </c>
      <c r="G1115">
        <v>43</v>
      </c>
      <c r="H1115" s="2">
        <v>44251.804907407408</v>
      </c>
    </row>
    <row r="1116" spans="1:8" ht="14.25" customHeight="1" x14ac:dyDescent="0.3">
      <c r="A1116">
        <v>1350089</v>
      </c>
      <c r="B1116" t="s">
        <v>5924</v>
      </c>
      <c r="C1116" t="s">
        <v>5925</v>
      </c>
      <c r="D1116" t="s">
        <v>11</v>
      </c>
      <c r="E1116">
        <v>1</v>
      </c>
      <c r="F1116">
        <v>2</v>
      </c>
      <c r="G1116">
        <v>41</v>
      </c>
      <c r="H1116" s="2">
        <v>44251.809606481482</v>
      </c>
    </row>
    <row r="1117" spans="1:8" ht="14.25" customHeight="1" x14ac:dyDescent="0.3">
      <c r="A1117">
        <v>1350130</v>
      </c>
      <c r="B1117" t="s">
        <v>5926</v>
      </c>
      <c r="C1117" s="1" t="s">
        <v>5927</v>
      </c>
      <c r="D1117" t="s">
        <v>11</v>
      </c>
      <c r="E1117">
        <v>1</v>
      </c>
      <c r="F1117">
        <v>1</v>
      </c>
      <c r="G1117">
        <v>43</v>
      </c>
      <c r="H1117" s="2">
        <v>44251.815150462964</v>
      </c>
    </row>
    <row r="1118" spans="1:8" ht="14.25" customHeight="1" x14ac:dyDescent="0.3">
      <c r="A1118">
        <v>1350124</v>
      </c>
      <c r="B1118" t="s">
        <v>5928</v>
      </c>
      <c r="C1118" s="1" t="s">
        <v>5929</v>
      </c>
      <c r="D1118" t="s">
        <v>24</v>
      </c>
      <c r="E1118">
        <v>1</v>
      </c>
      <c r="F1118">
        <v>1</v>
      </c>
      <c r="G1118">
        <v>36</v>
      </c>
      <c r="H1118" s="2">
        <v>44251.81523148148</v>
      </c>
    </row>
    <row r="1119" spans="1:8" ht="14.25" customHeight="1" x14ac:dyDescent="0.3">
      <c r="A1119">
        <v>1349865</v>
      </c>
      <c r="B1119" t="e">
        <f>- power outage, request to shut down server</f>
        <v>#NAME?</v>
      </c>
      <c r="C1119" s="1" t="s">
        <v>5930</v>
      </c>
      <c r="D1119" t="s">
        <v>11</v>
      </c>
      <c r="E1119">
        <v>1</v>
      </c>
      <c r="F1119">
        <v>1</v>
      </c>
      <c r="G1119">
        <v>41</v>
      </c>
      <c r="H1119" s="2">
        <v>44251.815393518518</v>
      </c>
    </row>
    <row r="1120" spans="1:8" ht="14.25" customHeight="1" x14ac:dyDescent="0.3">
      <c r="A1120">
        <v>1349711</v>
      </c>
      <c r="B1120" t="s">
        <v>5931</v>
      </c>
      <c r="C1120" s="1" t="s">
        <v>5932</v>
      </c>
      <c r="D1120" t="s">
        <v>11</v>
      </c>
      <c r="E1120">
        <v>1</v>
      </c>
      <c r="F1120">
        <v>1</v>
      </c>
      <c r="G1120">
        <v>41</v>
      </c>
      <c r="H1120" s="2">
        <v>44251.815509259257</v>
      </c>
    </row>
    <row r="1121" spans="1:8" ht="14.25" customHeight="1" x14ac:dyDescent="0.3">
      <c r="A1121">
        <v>1349740</v>
      </c>
      <c r="B1121" t="e">
        <f>- turning off auto ocr in adobe?</f>
        <v>#NAME?</v>
      </c>
      <c r="C1121" s="1" t="s">
        <v>5933</v>
      </c>
      <c r="D1121" t="s">
        <v>11</v>
      </c>
      <c r="E1121">
        <v>1</v>
      </c>
      <c r="F1121">
        <v>2</v>
      </c>
      <c r="G1121">
        <v>41</v>
      </c>
      <c r="H1121" s="2">
        <v>44251.81591435185</v>
      </c>
    </row>
    <row r="1122" spans="1:8" ht="14.25" customHeight="1" x14ac:dyDescent="0.3">
      <c r="A1122">
        <v>1349716</v>
      </c>
      <c r="B1122" t="s">
        <v>5934</v>
      </c>
      <c r="C1122" s="1" t="s">
        <v>5935</v>
      </c>
      <c r="D1122" t="s">
        <v>188</v>
      </c>
      <c r="E1122">
        <v>1</v>
      </c>
      <c r="F1122">
        <v>2</v>
      </c>
      <c r="G1122">
        <v>41</v>
      </c>
      <c r="H1122" s="2">
        <v>44251.816064814811</v>
      </c>
    </row>
    <row r="1123" spans="1:8" ht="14.25" customHeight="1" x14ac:dyDescent="0.3">
      <c r="A1123">
        <v>1349702</v>
      </c>
      <c r="B1123" t="s">
        <v>5936</v>
      </c>
      <c r="C1123" s="1" t="s">
        <v>5937</v>
      </c>
      <c r="D1123" t="s">
        <v>11</v>
      </c>
      <c r="E1123">
        <v>1</v>
      </c>
      <c r="F1123">
        <v>1</v>
      </c>
      <c r="G1123">
        <v>43</v>
      </c>
      <c r="H1123" s="2">
        <v>44251.816388888888</v>
      </c>
    </row>
    <row r="1124" spans="1:8" ht="14.25" customHeight="1" x14ac:dyDescent="0.3">
      <c r="A1124">
        <v>1349721</v>
      </c>
      <c r="B1124" t="s">
        <v>5938</v>
      </c>
      <c r="C1124" s="1" t="s">
        <v>5939</v>
      </c>
      <c r="D1124" t="s">
        <v>11</v>
      </c>
      <c r="E1124">
        <v>1</v>
      </c>
      <c r="F1124">
        <v>1</v>
      </c>
      <c r="G1124">
        <v>41</v>
      </c>
      <c r="H1124" s="2">
        <v>44251.818738425929</v>
      </c>
    </row>
    <row r="1125" spans="1:8" ht="14.25" customHeight="1" x14ac:dyDescent="0.3">
      <c r="A1125">
        <v>1349757</v>
      </c>
      <c r="B1125" t="s">
        <v>5940</v>
      </c>
      <c r="C1125" s="1" t="s">
        <v>5941</v>
      </c>
      <c r="D1125" t="s">
        <v>24</v>
      </c>
      <c r="E1125">
        <v>1</v>
      </c>
      <c r="F1125">
        <v>1</v>
      </c>
      <c r="G1125">
        <v>36</v>
      </c>
      <c r="H1125" s="2">
        <v>44251.834861111114</v>
      </c>
    </row>
    <row r="1126" spans="1:8" ht="14.25" customHeight="1" x14ac:dyDescent="0.3">
      <c r="A1126">
        <v>1349714</v>
      </c>
      <c r="B1126" t="s">
        <v>5942</v>
      </c>
      <c r="C1126" s="1" t="s">
        <v>5943</v>
      </c>
      <c r="D1126" t="s">
        <v>24</v>
      </c>
      <c r="E1126">
        <v>1</v>
      </c>
      <c r="F1126">
        <v>1</v>
      </c>
      <c r="G1126">
        <v>36</v>
      </c>
      <c r="H1126" s="2">
        <v>44251.8356712963</v>
      </c>
    </row>
    <row r="1127" spans="1:8" ht="14.25" customHeight="1" x14ac:dyDescent="0.3">
      <c r="A1127">
        <v>1349726</v>
      </c>
      <c r="B1127" t="s">
        <v>5745</v>
      </c>
      <c r="C1127" s="1" t="s">
        <v>5944</v>
      </c>
      <c r="D1127" t="s">
        <v>11</v>
      </c>
      <c r="E1127">
        <v>1</v>
      </c>
      <c r="F1127">
        <v>1</v>
      </c>
      <c r="G1127">
        <v>43</v>
      </c>
      <c r="H1127" s="2">
        <v>44251.839155092595</v>
      </c>
    </row>
    <row r="1128" spans="1:8" ht="14.25" customHeight="1" x14ac:dyDescent="0.3">
      <c r="A1128">
        <v>1349651</v>
      </c>
      <c r="B1128" t="e">
        <f>- electronic signature set up</f>
        <v>#NAME?</v>
      </c>
      <c r="C1128" s="1" t="s">
        <v>5945</v>
      </c>
      <c r="D1128" t="s">
        <v>24</v>
      </c>
      <c r="E1128">
        <v>1</v>
      </c>
      <c r="F1128">
        <v>1</v>
      </c>
      <c r="G1128">
        <v>41</v>
      </c>
      <c r="H1128" s="2">
        <v>44251.839317129627</v>
      </c>
    </row>
    <row r="1129" spans="1:8" ht="14.25" customHeight="1" x14ac:dyDescent="0.3">
      <c r="A1129">
        <v>1349652</v>
      </c>
      <c r="B1129" t="e">
        <f>- credential</f>
        <v>#NAME?</v>
      </c>
      <c r="C1129" s="1" t="s">
        <v>5946</v>
      </c>
      <c r="D1129" t="s">
        <v>24</v>
      </c>
      <c r="E1129">
        <v>1</v>
      </c>
      <c r="F1129">
        <v>1</v>
      </c>
      <c r="G1129">
        <v>43</v>
      </c>
      <c r="H1129" s="2">
        <v>44251.839895833335</v>
      </c>
    </row>
    <row r="1130" spans="1:8" ht="14.25" customHeight="1" x14ac:dyDescent="0.3">
      <c r="A1130">
        <v>1349736</v>
      </c>
      <c r="B1130" t="e">
        <f>- re: email adjustments please</f>
        <v>#NAME?</v>
      </c>
      <c r="C1130" s="1" t="s">
        <v>5947</v>
      </c>
      <c r="D1130" t="s">
        <v>11</v>
      </c>
      <c r="E1130">
        <v>1</v>
      </c>
      <c r="F1130">
        <v>1</v>
      </c>
      <c r="G1130">
        <v>43</v>
      </c>
      <c r="H1130" s="2">
        <v>44251.846030092594</v>
      </c>
    </row>
    <row r="1131" spans="1:8" ht="14.25" customHeight="1" x14ac:dyDescent="0.3">
      <c r="A1131">
        <v>1349728</v>
      </c>
      <c r="B1131" t="s">
        <v>5948</v>
      </c>
      <c r="C1131" s="1" t="s">
        <v>5949</v>
      </c>
      <c r="D1131" t="s">
        <v>11</v>
      </c>
      <c r="E1131">
        <v>1</v>
      </c>
      <c r="F1131">
        <v>3</v>
      </c>
      <c r="G1131">
        <v>43</v>
      </c>
      <c r="H1131" s="2">
        <v>44251.846261574072</v>
      </c>
    </row>
    <row r="1132" spans="1:8" ht="14.25" customHeight="1" x14ac:dyDescent="0.3">
      <c r="A1132">
        <v>1349637</v>
      </c>
      <c r="B1132" t="s">
        <v>5950</v>
      </c>
      <c r="C1132" s="1" t="s">
        <v>5951</v>
      </c>
      <c r="D1132" t="s">
        <v>11</v>
      </c>
      <c r="E1132">
        <v>1</v>
      </c>
      <c r="F1132">
        <v>1</v>
      </c>
      <c r="G1132">
        <v>43</v>
      </c>
      <c r="H1132" s="2">
        <v>44251.846597222226</v>
      </c>
    </row>
    <row r="1133" spans="1:8" ht="14.25" customHeight="1" x14ac:dyDescent="0.3">
      <c r="A1133">
        <v>1349975</v>
      </c>
      <c r="B1133" t="s">
        <v>5952</v>
      </c>
      <c r="C1133" t="s">
        <v>5953</v>
      </c>
      <c r="D1133" t="s">
        <v>1158</v>
      </c>
      <c r="E1133">
        <v>1</v>
      </c>
      <c r="F1133">
        <v>1</v>
      </c>
      <c r="G1133">
        <v>36</v>
      </c>
      <c r="H1133" s="2">
        <v>44251.847210648149</v>
      </c>
    </row>
    <row r="1134" spans="1:8" ht="14.25" customHeight="1" x14ac:dyDescent="0.3">
      <c r="A1134">
        <v>1349579</v>
      </c>
      <c r="B1134" t="e">
        <f>- spam email? or actual expired norton?</f>
        <v>#NAME?</v>
      </c>
      <c r="C1134" s="1" t="s">
        <v>5954</v>
      </c>
      <c r="D1134" t="s">
        <v>24</v>
      </c>
      <c r="E1134">
        <v>1</v>
      </c>
      <c r="F1134">
        <v>2</v>
      </c>
      <c r="G1134">
        <v>41</v>
      </c>
      <c r="H1134" s="2">
        <v>44251.84747685185</v>
      </c>
    </row>
    <row r="1135" spans="1:8" ht="14.25" customHeight="1" x14ac:dyDescent="0.3">
      <c r="A1135">
        <v>1349556</v>
      </c>
      <c r="B1135" t="s">
        <v>5955</v>
      </c>
      <c r="C1135" s="1" t="s">
        <v>5956</v>
      </c>
      <c r="D1135" t="s">
        <v>24</v>
      </c>
      <c r="E1135">
        <v>1</v>
      </c>
      <c r="F1135">
        <v>1</v>
      </c>
      <c r="G1135">
        <v>43</v>
      </c>
      <c r="H1135" s="2">
        <v>44251.848865740743</v>
      </c>
    </row>
    <row r="1136" spans="1:8" ht="14.25" customHeight="1" x14ac:dyDescent="0.3">
      <c r="A1136">
        <v>1349433</v>
      </c>
      <c r="B1136" t="s">
        <v>4831</v>
      </c>
      <c r="C1136" t="s">
        <v>4832</v>
      </c>
      <c r="D1136" t="s">
        <v>1158</v>
      </c>
      <c r="E1136">
        <v>1</v>
      </c>
      <c r="F1136">
        <v>1</v>
      </c>
      <c r="G1136">
        <v>36</v>
      </c>
      <c r="H1136" s="2">
        <v>44251.849212962959</v>
      </c>
    </row>
    <row r="1137" spans="1:8" ht="14.25" customHeight="1" x14ac:dyDescent="0.3">
      <c r="A1137">
        <v>1349167</v>
      </c>
      <c r="B1137" t="s">
        <v>5957</v>
      </c>
      <c r="C1137" s="1" t="s">
        <v>5958</v>
      </c>
      <c r="D1137" t="s">
        <v>11</v>
      </c>
      <c r="E1137">
        <v>1</v>
      </c>
      <c r="F1137">
        <v>3</v>
      </c>
      <c r="G1137">
        <v>41</v>
      </c>
      <c r="H1137" s="2">
        <v>44251.850532407407</v>
      </c>
    </row>
    <row r="1138" spans="1:8" ht="14.25" customHeight="1" x14ac:dyDescent="0.3">
      <c r="A1138">
        <v>1349138</v>
      </c>
      <c r="B1138" t="s">
        <v>2250</v>
      </c>
      <c r="C1138" s="1" t="s">
        <v>5959</v>
      </c>
      <c r="D1138" t="s">
        <v>11</v>
      </c>
      <c r="E1138">
        <v>1</v>
      </c>
      <c r="F1138">
        <v>2</v>
      </c>
      <c r="G1138">
        <v>41</v>
      </c>
      <c r="H1138" s="2">
        <v>44251.852141203701</v>
      </c>
    </row>
    <row r="1139" spans="1:8" ht="14.25" customHeight="1" x14ac:dyDescent="0.3">
      <c r="A1139">
        <v>1349563</v>
      </c>
      <c r="B1139" t="s">
        <v>5960</v>
      </c>
      <c r="C1139" s="1" t="s">
        <v>5961</v>
      </c>
      <c r="D1139" t="s">
        <v>11</v>
      </c>
      <c r="E1139">
        <v>1</v>
      </c>
      <c r="F1139">
        <v>1</v>
      </c>
      <c r="G1139">
        <v>43</v>
      </c>
      <c r="H1139" s="2">
        <v>44251.852534722224</v>
      </c>
    </row>
    <row r="1140" spans="1:8" ht="14.25" customHeight="1" x14ac:dyDescent="0.3">
      <c r="A1140">
        <v>1349733</v>
      </c>
      <c r="B1140" t="s">
        <v>5962</v>
      </c>
      <c r="C1140" s="1" t="s">
        <v>5963</v>
      </c>
      <c r="D1140" t="s">
        <v>11</v>
      </c>
      <c r="E1140">
        <v>1</v>
      </c>
      <c r="F1140">
        <v>1</v>
      </c>
      <c r="G1140">
        <v>43</v>
      </c>
      <c r="H1140" s="2">
        <v>44251.852893518517</v>
      </c>
    </row>
    <row r="1141" spans="1:8" ht="14.25" customHeight="1" x14ac:dyDescent="0.3">
      <c r="A1141">
        <v>1349640</v>
      </c>
      <c r="B1141" t="s">
        <v>5964</v>
      </c>
      <c r="C1141" s="1" t="s">
        <v>5965</v>
      </c>
      <c r="D1141" t="s">
        <v>11</v>
      </c>
      <c r="E1141">
        <v>1</v>
      </c>
      <c r="F1141">
        <v>1</v>
      </c>
      <c r="G1141">
        <v>41</v>
      </c>
      <c r="H1141" s="2">
        <v>44251.853217592594</v>
      </c>
    </row>
    <row r="1142" spans="1:8" ht="14.25" customHeight="1" x14ac:dyDescent="0.3">
      <c r="A1142">
        <v>1349571</v>
      </c>
      <c r="B1142" t="s">
        <v>5966</v>
      </c>
      <c r="C1142" s="1" t="s">
        <v>5967</v>
      </c>
      <c r="D1142" t="s">
        <v>11</v>
      </c>
      <c r="E1142">
        <v>1</v>
      </c>
      <c r="F1142">
        <v>1</v>
      </c>
      <c r="G1142">
        <v>43</v>
      </c>
      <c r="H1142" s="2">
        <v>44251.854050925926</v>
      </c>
    </row>
    <row r="1143" spans="1:8" ht="14.25" customHeight="1" x14ac:dyDescent="0.3">
      <c r="A1143">
        <v>1349121</v>
      </c>
      <c r="B1143" t="s">
        <v>5968</v>
      </c>
      <c r="C1143" s="1" t="s">
        <v>5969</v>
      </c>
      <c r="D1143" t="s">
        <v>11</v>
      </c>
      <c r="E1143">
        <v>1</v>
      </c>
      <c r="F1143">
        <v>1</v>
      </c>
      <c r="G1143">
        <v>36</v>
      </c>
      <c r="H1143" s="2">
        <v>44251.857002314813</v>
      </c>
    </row>
    <row r="1144" spans="1:8" ht="14.25" customHeight="1" x14ac:dyDescent="0.3">
      <c r="A1144">
        <v>1349126</v>
      </c>
      <c r="B1144" t="e">
        <f>- scanning issue</f>
        <v>#NAME?</v>
      </c>
      <c r="C1144" s="1" t="s">
        <v>5970</v>
      </c>
      <c r="D1144" t="s">
        <v>24</v>
      </c>
      <c r="E1144">
        <v>1</v>
      </c>
      <c r="F1144">
        <v>2</v>
      </c>
      <c r="G1144">
        <v>41</v>
      </c>
      <c r="H1144" s="2">
        <v>44251.862557870372</v>
      </c>
    </row>
    <row r="1145" spans="1:8" ht="14.25" customHeight="1" x14ac:dyDescent="0.3">
      <c r="A1145">
        <v>1349114</v>
      </c>
      <c r="B1145" t="s">
        <v>5971</v>
      </c>
      <c r="C1145" s="1" t="s">
        <v>5972</v>
      </c>
      <c r="D1145" t="s">
        <v>11</v>
      </c>
      <c r="E1145">
        <v>1</v>
      </c>
      <c r="F1145">
        <v>1</v>
      </c>
      <c r="G1145">
        <v>43</v>
      </c>
      <c r="H1145" s="2">
        <v>44251.862743055557</v>
      </c>
    </row>
    <row r="1146" spans="1:8" ht="14.25" customHeight="1" x14ac:dyDescent="0.3">
      <c r="A1146">
        <v>1366222</v>
      </c>
      <c r="B1146" t="s">
        <v>5973</v>
      </c>
      <c r="C1146" s="1" t="s">
        <v>5974</v>
      </c>
      <c r="D1146" t="s">
        <v>11</v>
      </c>
      <c r="E1146">
        <v>1</v>
      </c>
      <c r="F1146">
        <v>1</v>
      </c>
      <c r="G1146">
        <v>43</v>
      </c>
      <c r="H1146" s="2">
        <v>44251.866249999999</v>
      </c>
    </row>
    <row r="1147" spans="1:8" ht="14.25" customHeight="1" x14ac:dyDescent="0.3">
      <c r="A1147">
        <v>1349032</v>
      </c>
      <c r="B1147" t="s">
        <v>5975</v>
      </c>
      <c r="C1147" s="1" t="s">
        <v>5976</v>
      </c>
      <c r="D1147" t="s">
        <v>24</v>
      </c>
      <c r="E1147">
        <v>1</v>
      </c>
      <c r="F1147">
        <v>3</v>
      </c>
      <c r="G1147">
        <v>41</v>
      </c>
      <c r="H1147" s="2">
        <v>44251.87</v>
      </c>
    </row>
    <row r="1148" spans="1:8" ht="14.25" customHeight="1" x14ac:dyDescent="0.3">
      <c r="A1148">
        <v>1349018</v>
      </c>
      <c r="B1148" t="s">
        <v>5977</v>
      </c>
      <c r="C1148" s="1" t="s">
        <v>5978</v>
      </c>
      <c r="D1148" t="s">
        <v>11</v>
      </c>
      <c r="E1148">
        <v>1</v>
      </c>
      <c r="F1148">
        <v>2</v>
      </c>
      <c r="G1148">
        <v>43</v>
      </c>
      <c r="H1148" s="2">
        <v>44251.87158564815</v>
      </c>
    </row>
    <row r="1149" spans="1:8" ht="14.25" customHeight="1" x14ac:dyDescent="0.3">
      <c r="A1149">
        <v>1349150</v>
      </c>
      <c r="B1149" t="s">
        <v>5979</v>
      </c>
      <c r="C1149" s="1" t="s">
        <v>5980</v>
      </c>
      <c r="D1149" t="s">
        <v>11</v>
      </c>
      <c r="E1149">
        <v>1</v>
      </c>
      <c r="F1149">
        <v>1</v>
      </c>
      <c r="G1149">
        <v>43</v>
      </c>
      <c r="H1149" s="2">
        <v>44251.871967592589</v>
      </c>
    </row>
    <row r="1150" spans="1:8" ht="14.25" customHeight="1" x14ac:dyDescent="0.3">
      <c r="A1150">
        <v>1349056</v>
      </c>
      <c r="B1150" t="s">
        <v>5981</v>
      </c>
      <c r="C1150" s="1" t="s">
        <v>5982</v>
      </c>
      <c r="D1150" t="s">
        <v>24</v>
      </c>
      <c r="E1150">
        <v>1</v>
      </c>
      <c r="F1150">
        <v>2</v>
      </c>
      <c r="G1150">
        <v>41</v>
      </c>
      <c r="H1150" s="2">
        <v>44251.872407407405</v>
      </c>
    </row>
    <row r="1151" spans="1:8" ht="14.25" customHeight="1" x14ac:dyDescent="0.3">
      <c r="A1151">
        <v>1348916</v>
      </c>
      <c r="B1151" t="s">
        <v>5983</v>
      </c>
      <c r="C1151" s="1" t="s">
        <v>5984</v>
      </c>
      <c r="D1151" t="s">
        <v>11</v>
      </c>
      <c r="E1151">
        <v>1</v>
      </c>
      <c r="F1151">
        <v>1</v>
      </c>
      <c r="G1151">
        <v>43</v>
      </c>
      <c r="H1151" s="2">
        <v>44251.873506944445</v>
      </c>
    </row>
    <row r="1152" spans="1:8" ht="14.25" customHeight="1" x14ac:dyDescent="0.3">
      <c r="A1152">
        <v>1349022</v>
      </c>
      <c r="B1152" t="e">
        <f>- ssa cloud</f>
        <v>#NAME?</v>
      </c>
      <c r="C1152" s="1" t="s">
        <v>5838</v>
      </c>
      <c r="D1152" t="s">
        <v>24</v>
      </c>
      <c r="E1152">
        <v>1</v>
      </c>
      <c r="F1152">
        <v>2</v>
      </c>
      <c r="G1152">
        <v>41</v>
      </c>
      <c r="H1152" s="2">
        <v>44251.873807870368</v>
      </c>
    </row>
    <row r="1153" spans="1:8" ht="14.25" customHeight="1" x14ac:dyDescent="0.3">
      <c r="A1153">
        <v>1349093</v>
      </c>
      <c r="B1153" t="e">
        <f>- teams</f>
        <v>#NAME?</v>
      </c>
      <c r="C1153" s="1" t="s">
        <v>5985</v>
      </c>
      <c r="D1153" t="s">
        <v>24</v>
      </c>
      <c r="E1153">
        <v>1</v>
      </c>
      <c r="F1153">
        <v>2</v>
      </c>
      <c r="G1153">
        <v>41</v>
      </c>
      <c r="H1153" s="2">
        <v>44251.879791666666</v>
      </c>
    </row>
    <row r="1154" spans="1:8" ht="14.25" customHeight="1" x14ac:dyDescent="0.3">
      <c r="A1154">
        <v>1348967</v>
      </c>
      <c r="B1154" t="e">
        <f>- recurring account lockout issue</f>
        <v>#NAME?</v>
      </c>
      <c r="C1154" s="1" t="s">
        <v>5986</v>
      </c>
      <c r="D1154" t="s">
        <v>11</v>
      </c>
      <c r="E1154">
        <v>1</v>
      </c>
      <c r="F1154">
        <v>3</v>
      </c>
      <c r="G1154">
        <v>41</v>
      </c>
      <c r="H1154" s="2">
        <v>44251.882233796299</v>
      </c>
    </row>
    <row r="1155" spans="1:8" ht="14.25" customHeight="1" x14ac:dyDescent="0.3">
      <c r="A1155">
        <v>1349430</v>
      </c>
      <c r="B1155" t="s">
        <v>5987</v>
      </c>
      <c r="C1155" t="s">
        <v>4857</v>
      </c>
      <c r="D1155" t="s">
        <v>1158</v>
      </c>
      <c r="E1155">
        <v>2</v>
      </c>
      <c r="F1155">
        <v>1</v>
      </c>
      <c r="G1155">
        <v>36</v>
      </c>
      <c r="H1155" s="2">
        <v>44251.885011574072</v>
      </c>
    </row>
    <row r="1156" spans="1:8" ht="14.25" customHeight="1" x14ac:dyDescent="0.3">
      <c r="A1156">
        <v>1364955</v>
      </c>
      <c r="B1156" t="e">
        <f>- files deleted/missing</f>
        <v>#NAME?</v>
      </c>
      <c r="C1156" s="1" t="s">
        <v>5988</v>
      </c>
      <c r="D1156" t="s">
        <v>11</v>
      </c>
      <c r="E1156">
        <v>2</v>
      </c>
      <c r="F1156">
        <v>2</v>
      </c>
      <c r="G1156">
        <v>43</v>
      </c>
      <c r="H1156" s="2">
        <v>44251.886921296296</v>
      </c>
    </row>
    <row r="1157" spans="1:8" ht="14.25" customHeight="1" x14ac:dyDescent="0.3">
      <c r="A1157">
        <v>1348978</v>
      </c>
      <c r="B1157" t="e">
        <f>- adp - certificate validation</f>
        <v>#NAME?</v>
      </c>
      <c r="C1157" s="1" t="s">
        <v>5989</v>
      </c>
      <c r="D1157" t="s">
        <v>24</v>
      </c>
      <c r="E1157">
        <v>1</v>
      </c>
      <c r="F1157">
        <v>3</v>
      </c>
      <c r="G1157">
        <v>41</v>
      </c>
      <c r="H1157" s="2">
        <v>44251.888009259259</v>
      </c>
    </row>
    <row r="1158" spans="1:8" ht="14.25" customHeight="1" x14ac:dyDescent="0.3">
      <c r="A1158">
        <v>1367056</v>
      </c>
      <c r="B1158" t="e">
        <f>- bluebeam update failed</f>
        <v>#NAME?</v>
      </c>
      <c r="C1158" t="s">
        <v>5990</v>
      </c>
      <c r="D1158" t="s">
        <v>11</v>
      </c>
      <c r="E1158">
        <v>1</v>
      </c>
      <c r="F1158">
        <v>2</v>
      </c>
      <c r="G1158">
        <v>41</v>
      </c>
      <c r="H1158" s="2">
        <v>44251.889004629629</v>
      </c>
    </row>
    <row r="1159" spans="1:8" ht="14.25" customHeight="1" x14ac:dyDescent="0.3">
      <c r="A1159">
        <v>1348494</v>
      </c>
      <c r="B1159" t="e">
        <f>- vpn for computer</f>
        <v>#NAME?</v>
      </c>
      <c r="C1159" s="1" t="s">
        <v>5991</v>
      </c>
      <c r="D1159" t="s">
        <v>24</v>
      </c>
      <c r="E1159">
        <v>1</v>
      </c>
      <c r="F1159">
        <v>3</v>
      </c>
      <c r="G1159">
        <v>41</v>
      </c>
      <c r="H1159" s="2">
        <v>44251.889282407406</v>
      </c>
    </row>
    <row r="1160" spans="1:8" ht="14.25" customHeight="1" x14ac:dyDescent="0.3">
      <c r="A1160">
        <v>1366241</v>
      </c>
      <c r="B1160" t="e">
        <f>- jennifer rose email transferred to chantal ali</f>
        <v>#NAME?</v>
      </c>
      <c r="C1160" s="1" t="s">
        <v>5992</v>
      </c>
      <c r="D1160" t="s">
        <v>11</v>
      </c>
      <c r="E1160">
        <v>1</v>
      </c>
      <c r="F1160">
        <v>2</v>
      </c>
      <c r="G1160">
        <v>43</v>
      </c>
      <c r="H1160" s="2">
        <v>44251.889386574076</v>
      </c>
    </row>
    <row r="1161" spans="1:8" ht="14.25" customHeight="1" x14ac:dyDescent="0.3">
      <c r="A1161">
        <v>1366182</v>
      </c>
      <c r="B1161" t="e">
        <f>- employee termination, sara petraschuk</f>
        <v>#NAME?</v>
      </c>
      <c r="C1161" s="1" t="s">
        <v>5993</v>
      </c>
      <c r="D1161" t="s">
        <v>24</v>
      </c>
      <c r="E1161">
        <v>1</v>
      </c>
      <c r="F1161">
        <v>2</v>
      </c>
      <c r="G1161">
        <v>43</v>
      </c>
      <c r="H1161" s="2">
        <v>44251.88962962963</v>
      </c>
    </row>
    <row r="1162" spans="1:8" ht="14.25" customHeight="1" x14ac:dyDescent="0.3">
      <c r="A1162">
        <v>1347677</v>
      </c>
      <c r="B1162" t="e">
        <f>- outlook add  email to profile</f>
        <v>#NAME?</v>
      </c>
      <c r="C1162" s="1" t="s">
        <v>5994</v>
      </c>
      <c r="D1162" t="s">
        <v>24</v>
      </c>
      <c r="E1162">
        <v>1</v>
      </c>
      <c r="F1162">
        <v>1</v>
      </c>
      <c r="G1162">
        <v>43</v>
      </c>
      <c r="H1162" s="2">
        <v>44251.891412037039</v>
      </c>
    </row>
    <row r="1163" spans="1:8" ht="14.25" customHeight="1" x14ac:dyDescent="0.3">
      <c r="A1163">
        <v>1347688</v>
      </c>
      <c r="B1163" t="e">
        <f>- new employee, victoria riley</f>
        <v>#NAME?</v>
      </c>
      <c r="C1163" s="1" t="s">
        <v>5995</v>
      </c>
      <c r="D1163" t="s">
        <v>24</v>
      </c>
      <c r="E1163">
        <v>1</v>
      </c>
      <c r="F1163">
        <v>3</v>
      </c>
      <c r="G1163">
        <v>43</v>
      </c>
      <c r="H1163" s="2">
        <v>44251.89298611111</v>
      </c>
    </row>
    <row r="1164" spans="1:8" ht="14.25" customHeight="1" x14ac:dyDescent="0.3">
      <c r="A1164">
        <v>1366141</v>
      </c>
      <c r="B1164" t="e">
        <f>- access and permissions to folder in corporate ap</f>
        <v>#NAME?</v>
      </c>
      <c r="C1164" s="1" t="s">
        <v>5996</v>
      </c>
      <c r="D1164" t="s">
        <v>11</v>
      </c>
      <c r="E1164">
        <v>2</v>
      </c>
      <c r="F1164">
        <v>2</v>
      </c>
      <c r="G1164">
        <v>43</v>
      </c>
      <c r="H1164" s="2">
        <v>44251.893043981479</v>
      </c>
    </row>
    <row r="1165" spans="1:8" ht="14.25" customHeight="1" x14ac:dyDescent="0.3">
      <c r="A1165">
        <v>1349216</v>
      </c>
      <c r="B1165" t="s">
        <v>5997</v>
      </c>
      <c r="C1165" s="1" t="s">
        <v>5998</v>
      </c>
      <c r="D1165" t="s">
        <v>24</v>
      </c>
      <c r="E1165">
        <v>1</v>
      </c>
      <c r="F1165">
        <v>1</v>
      </c>
      <c r="G1165">
        <v>36</v>
      </c>
      <c r="H1165" s="2">
        <v>44251.89371527778</v>
      </c>
    </row>
    <row r="1166" spans="1:8" ht="14.25" customHeight="1" x14ac:dyDescent="0.3">
      <c r="A1166">
        <v>1366110</v>
      </c>
      <c r="B1166" t="e">
        <f>- expand p: on nc-pmkr-BE2</f>
        <v>#NAME?</v>
      </c>
      <c r="C1166" s="1" t="s">
        <v>5999</v>
      </c>
      <c r="D1166" t="s">
        <v>24</v>
      </c>
      <c r="E1166">
        <v>2</v>
      </c>
      <c r="F1166">
        <v>2</v>
      </c>
      <c r="G1166">
        <v>43</v>
      </c>
      <c r="H1166" s="2">
        <v>44251.893900462965</v>
      </c>
    </row>
    <row r="1167" spans="1:8" ht="14.25" customHeight="1" x14ac:dyDescent="0.3">
      <c r="A1167">
        <v>1365666</v>
      </c>
      <c r="B1167" t="e">
        <f>- ms teams issue</f>
        <v>#NAME?</v>
      </c>
      <c r="C1167" s="1" t="s">
        <v>6000</v>
      </c>
      <c r="D1167" t="s">
        <v>24</v>
      </c>
      <c r="E1167">
        <v>1</v>
      </c>
      <c r="F1167">
        <v>2</v>
      </c>
      <c r="G1167">
        <v>41</v>
      </c>
      <c r="H1167" s="2">
        <v>44251.894375000003</v>
      </c>
    </row>
    <row r="1168" spans="1:8" ht="14.25" customHeight="1" x14ac:dyDescent="0.3">
      <c r="A1168">
        <v>1365622</v>
      </c>
      <c r="B1168" t="e">
        <f>- potential routing issue</f>
        <v>#NAME?</v>
      </c>
      <c r="C1168" s="1" t="s">
        <v>6001</v>
      </c>
      <c r="D1168" t="s">
        <v>11</v>
      </c>
      <c r="E1168">
        <v>2</v>
      </c>
      <c r="F1168">
        <v>2</v>
      </c>
      <c r="G1168">
        <v>41</v>
      </c>
      <c r="H1168" s="2">
        <v>44251.895243055558</v>
      </c>
    </row>
    <row r="1169" spans="1:8" ht="14.25" customHeight="1" x14ac:dyDescent="0.3">
      <c r="A1169">
        <v>1349596</v>
      </c>
      <c r="B1169" t="s">
        <v>5948</v>
      </c>
      <c r="C1169" s="1" t="s">
        <v>6002</v>
      </c>
      <c r="D1169" t="s">
        <v>11</v>
      </c>
      <c r="E1169">
        <v>1</v>
      </c>
      <c r="F1169">
        <v>3</v>
      </c>
      <c r="G1169">
        <v>41</v>
      </c>
      <c r="H1169" s="2">
        <v>44251.896666666667</v>
      </c>
    </row>
    <row r="1170" spans="1:8" ht="14.25" customHeight="1" x14ac:dyDescent="0.3">
      <c r="A1170">
        <v>1348958</v>
      </c>
      <c r="B1170" t="e">
        <f>- sign in and password change not possible</f>
        <v>#NAME?</v>
      </c>
      <c r="C1170" s="1" t="s">
        <v>6003</v>
      </c>
      <c r="D1170" t="s">
        <v>24</v>
      </c>
      <c r="E1170">
        <v>1</v>
      </c>
      <c r="F1170">
        <v>3</v>
      </c>
      <c r="G1170">
        <v>41</v>
      </c>
      <c r="H1170" s="2">
        <v>44251.903599537036</v>
      </c>
    </row>
    <row r="1171" spans="1:8" ht="14.25" customHeight="1" x14ac:dyDescent="0.3">
      <c r="A1171">
        <v>1347598</v>
      </c>
      <c r="B1171" t="s">
        <v>6004</v>
      </c>
      <c r="C1171" s="1" t="s">
        <v>6005</v>
      </c>
      <c r="D1171" t="s">
        <v>24</v>
      </c>
      <c r="E1171">
        <v>1</v>
      </c>
      <c r="F1171">
        <v>3</v>
      </c>
      <c r="G1171">
        <v>41</v>
      </c>
      <c r="H1171" s="2">
        <v>44251.904490740744</v>
      </c>
    </row>
    <row r="1172" spans="1:8" ht="14.25" customHeight="1" x14ac:dyDescent="0.3">
      <c r="A1172">
        <v>1347645</v>
      </c>
      <c r="B1172" t="e">
        <f>- csat - 1340490</f>
        <v>#NAME?</v>
      </c>
      <c r="C1172" s="1" t="s">
        <v>6006</v>
      </c>
      <c r="D1172" t="s">
        <v>24</v>
      </c>
      <c r="E1172">
        <v>1</v>
      </c>
      <c r="F1172">
        <v>1</v>
      </c>
      <c r="G1172">
        <v>41</v>
      </c>
      <c r="H1172" s="2">
        <v>44251.905694444446</v>
      </c>
    </row>
    <row r="1173" spans="1:8" ht="14.25" customHeight="1" x14ac:dyDescent="0.3">
      <c r="A1173">
        <v>1347147</v>
      </c>
      <c r="B1173" t="s">
        <v>6007</v>
      </c>
      <c r="C1173" s="1" t="s">
        <v>6008</v>
      </c>
      <c r="D1173" t="s">
        <v>11</v>
      </c>
      <c r="E1173">
        <v>1</v>
      </c>
      <c r="F1173">
        <v>1</v>
      </c>
      <c r="G1173">
        <v>36</v>
      </c>
      <c r="H1173" s="2">
        <v>44251.906180555554</v>
      </c>
    </row>
    <row r="1174" spans="1:8" ht="14.25" customHeight="1" x14ac:dyDescent="0.3">
      <c r="A1174">
        <v>1349734</v>
      </c>
      <c r="B1174" t="e">
        <f>- re: adobe licence</f>
        <v>#NAME?</v>
      </c>
      <c r="C1174" s="1" t="s">
        <v>6009</v>
      </c>
      <c r="D1174" t="s">
        <v>11</v>
      </c>
      <c r="E1174">
        <v>1</v>
      </c>
      <c r="F1174">
        <v>1</v>
      </c>
      <c r="G1174">
        <v>36</v>
      </c>
      <c r="H1174" s="2">
        <v>44251.914444444446</v>
      </c>
    </row>
    <row r="1175" spans="1:8" ht="14.25" customHeight="1" x14ac:dyDescent="0.3">
      <c r="A1175">
        <v>1349585</v>
      </c>
      <c r="B1175" t="s">
        <v>6010</v>
      </c>
      <c r="C1175" s="1" t="s">
        <v>6011</v>
      </c>
      <c r="D1175" t="s">
        <v>11</v>
      </c>
      <c r="E1175">
        <v>1</v>
      </c>
      <c r="F1175">
        <v>1</v>
      </c>
      <c r="G1175">
        <v>36</v>
      </c>
      <c r="H1175" s="2">
        <v>44251.914560185185</v>
      </c>
    </row>
    <row r="1176" spans="1:8" ht="14.25" customHeight="1" x14ac:dyDescent="0.3">
      <c r="A1176">
        <v>1349163</v>
      </c>
      <c r="B1176" t="s">
        <v>6012</v>
      </c>
      <c r="C1176" s="1" t="s">
        <v>6013</v>
      </c>
      <c r="D1176" t="s">
        <v>11</v>
      </c>
      <c r="E1176">
        <v>1</v>
      </c>
      <c r="F1176">
        <v>2</v>
      </c>
      <c r="G1176">
        <v>41</v>
      </c>
      <c r="H1176" s="2">
        <v>44251.914988425924</v>
      </c>
    </row>
    <row r="1177" spans="1:8" ht="14.25" customHeight="1" x14ac:dyDescent="0.3">
      <c r="A1177">
        <v>1349668</v>
      </c>
      <c r="B1177" t="s">
        <v>6014</v>
      </c>
      <c r="C1177" s="1" t="s">
        <v>6015</v>
      </c>
      <c r="D1177" t="s">
        <v>11</v>
      </c>
      <c r="E1177">
        <v>1</v>
      </c>
      <c r="F1177">
        <v>1</v>
      </c>
      <c r="G1177">
        <v>36</v>
      </c>
      <c r="H1177" s="2">
        <v>44251.915266203701</v>
      </c>
    </row>
    <row r="1178" spans="1:8" ht="14.25" customHeight="1" x14ac:dyDescent="0.3">
      <c r="A1178">
        <v>1349654</v>
      </c>
      <c r="B1178" t="s">
        <v>6016</v>
      </c>
      <c r="C1178" s="1" t="s">
        <v>4989</v>
      </c>
      <c r="D1178" t="s">
        <v>11</v>
      </c>
      <c r="E1178">
        <v>1</v>
      </c>
      <c r="F1178">
        <v>1</v>
      </c>
      <c r="G1178">
        <v>41</v>
      </c>
      <c r="H1178" s="2">
        <v>44251.915381944447</v>
      </c>
    </row>
    <row r="1179" spans="1:8" ht="14.25" customHeight="1" x14ac:dyDescent="0.3">
      <c r="A1179">
        <v>1349162</v>
      </c>
      <c r="B1179" t="s">
        <v>6017</v>
      </c>
      <c r="C1179" s="1" t="s">
        <v>6018</v>
      </c>
      <c r="D1179" t="s">
        <v>11</v>
      </c>
      <c r="E1179">
        <v>1</v>
      </c>
      <c r="F1179">
        <v>1</v>
      </c>
      <c r="G1179">
        <v>43</v>
      </c>
      <c r="H1179" s="2">
        <v>44251.915486111109</v>
      </c>
    </row>
    <row r="1180" spans="1:8" ht="14.25" customHeight="1" x14ac:dyDescent="0.3">
      <c r="A1180">
        <v>1350112</v>
      </c>
      <c r="B1180" t="s">
        <v>6019</v>
      </c>
      <c r="C1180" s="1" t="s">
        <v>6020</v>
      </c>
      <c r="D1180" t="s">
        <v>11</v>
      </c>
      <c r="E1180">
        <v>1</v>
      </c>
      <c r="F1180">
        <v>2</v>
      </c>
      <c r="G1180">
        <v>41</v>
      </c>
      <c r="H1180" s="2">
        <v>44251.916828703703</v>
      </c>
    </row>
    <row r="1181" spans="1:8" ht="14.25" customHeight="1" x14ac:dyDescent="0.3">
      <c r="A1181">
        <v>1349195</v>
      </c>
      <c r="B1181" t="s">
        <v>6021</v>
      </c>
      <c r="C1181" s="1" t="s">
        <v>6022</v>
      </c>
      <c r="D1181" t="s">
        <v>11</v>
      </c>
      <c r="E1181">
        <v>1</v>
      </c>
      <c r="F1181">
        <v>1</v>
      </c>
      <c r="G1181">
        <v>43</v>
      </c>
      <c r="H1181" s="2">
        <v>44251.918356481481</v>
      </c>
    </row>
    <row r="1182" spans="1:8" ht="14.25" customHeight="1" x14ac:dyDescent="0.3">
      <c r="A1182">
        <v>1347550</v>
      </c>
      <c r="B1182" t="e">
        <f>- after attempting password reset, cannot log into outlook and mitel on rds</f>
        <v>#NAME?</v>
      </c>
      <c r="C1182" s="1" t="s">
        <v>6023</v>
      </c>
      <c r="D1182" t="s">
        <v>24</v>
      </c>
      <c r="E1182">
        <v>1</v>
      </c>
      <c r="F1182">
        <v>3</v>
      </c>
      <c r="G1182">
        <v>41</v>
      </c>
      <c r="H1182" s="2">
        <v>44251.921793981484</v>
      </c>
    </row>
    <row r="1183" spans="1:8" ht="14.25" customHeight="1" x14ac:dyDescent="0.3">
      <c r="A1183">
        <v>1365554</v>
      </c>
      <c r="B1183" t="e">
        <f>- amanda tam accounts to be disabled</f>
        <v>#NAME?</v>
      </c>
      <c r="C1183" s="1" t="s">
        <v>6024</v>
      </c>
      <c r="D1183" t="s">
        <v>24</v>
      </c>
      <c r="E1183">
        <v>1</v>
      </c>
      <c r="F1183">
        <v>1</v>
      </c>
      <c r="G1183">
        <v>43</v>
      </c>
      <c r="H1183" s="2">
        <v>44251.923252314817</v>
      </c>
    </row>
    <row r="1184" spans="1:8" ht="14.25" customHeight="1" x14ac:dyDescent="0.3">
      <c r="A1184">
        <v>1365552</v>
      </c>
      <c r="B1184" t="s">
        <v>6025</v>
      </c>
      <c r="C1184" s="1" t="s">
        <v>6026</v>
      </c>
      <c r="D1184" t="s">
        <v>11</v>
      </c>
      <c r="E1184">
        <v>1</v>
      </c>
      <c r="F1184">
        <v>2</v>
      </c>
      <c r="G1184">
        <v>41</v>
      </c>
      <c r="H1184" s="2">
        <v>44251.923692129632</v>
      </c>
    </row>
    <row r="1185" spans="1:8" ht="14.25" customHeight="1" x14ac:dyDescent="0.3">
      <c r="A1185">
        <v>1365057</v>
      </c>
      <c r="B1185" t="e">
        <f>- new ip addresses for email allowance</f>
        <v>#NAME?</v>
      </c>
      <c r="C1185" s="1" t="s">
        <v>6027</v>
      </c>
      <c r="D1185" t="s">
        <v>11</v>
      </c>
      <c r="E1185">
        <v>3</v>
      </c>
      <c r="F1185">
        <v>2</v>
      </c>
      <c r="G1185">
        <v>43</v>
      </c>
      <c r="H1185" s="2">
        <v>44251.924293981479</v>
      </c>
    </row>
    <row r="1186" spans="1:8" ht="14.25" customHeight="1" x14ac:dyDescent="0.3">
      <c r="A1186">
        <v>1365044</v>
      </c>
      <c r="B1186" t="s">
        <v>6028</v>
      </c>
      <c r="C1186" s="1" t="s">
        <v>6029</v>
      </c>
      <c r="D1186" t="s">
        <v>24</v>
      </c>
      <c r="E1186">
        <v>2</v>
      </c>
      <c r="F1186">
        <v>2</v>
      </c>
      <c r="G1186">
        <v>43</v>
      </c>
      <c r="H1186" s="2">
        <v>44251.926319444443</v>
      </c>
    </row>
    <row r="1187" spans="1:8" ht="14.25" customHeight="1" x14ac:dyDescent="0.3">
      <c r="A1187">
        <v>1364436</v>
      </c>
      <c r="B1187" t="s">
        <v>6030</v>
      </c>
      <c r="C1187" t="s">
        <v>6031</v>
      </c>
      <c r="D1187" t="s">
        <v>24</v>
      </c>
      <c r="E1187">
        <v>1</v>
      </c>
      <c r="F1187">
        <v>1</v>
      </c>
      <c r="G1187">
        <v>43</v>
      </c>
      <c r="H1187" s="2">
        <v>44251.927210648151</v>
      </c>
    </row>
    <row r="1188" spans="1:8" ht="14.25" customHeight="1" x14ac:dyDescent="0.3">
      <c r="A1188">
        <v>1364260</v>
      </c>
      <c r="B1188" t="e">
        <f>- emails from albertahealthservices.ca not received</f>
        <v>#NAME?</v>
      </c>
      <c r="C1188" s="1" t="s">
        <v>6032</v>
      </c>
      <c r="D1188" t="s">
        <v>11</v>
      </c>
      <c r="E1188">
        <v>3</v>
      </c>
      <c r="F1188">
        <v>3</v>
      </c>
      <c r="G1188">
        <v>41</v>
      </c>
      <c r="H1188" s="2">
        <v>44251.928229166668</v>
      </c>
    </row>
    <row r="1189" spans="1:8" ht="14.25" customHeight="1" x14ac:dyDescent="0.3">
      <c r="A1189">
        <v>1362463</v>
      </c>
      <c r="B1189" t="e">
        <f>- cannot open any pdfs in rds</f>
        <v>#NAME?</v>
      </c>
      <c r="C1189" s="1" t="s">
        <v>6033</v>
      </c>
      <c r="D1189" t="s">
        <v>24</v>
      </c>
      <c r="E1189">
        <v>3</v>
      </c>
      <c r="F1189">
        <v>2</v>
      </c>
      <c r="G1189">
        <v>41</v>
      </c>
      <c r="H1189" s="2">
        <v>44251.928703703707</v>
      </c>
    </row>
    <row r="1190" spans="1:8" ht="14.25" customHeight="1" x14ac:dyDescent="0.3">
      <c r="A1190">
        <v>1361891</v>
      </c>
      <c r="B1190" t="e">
        <f>- terminate user kennedy becks</f>
        <v>#NAME?</v>
      </c>
      <c r="C1190" t="s">
        <v>6034</v>
      </c>
      <c r="D1190" t="s">
        <v>11</v>
      </c>
      <c r="E1190">
        <v>1</v>
      </c>
      <c r="F1190">
        <v>2</v>
      </c>
      <c r="G1190">
        <v>43</v>
      </c>
      <c r="H1190" s="2">
        <v>44251.929861111108</v>
      </c>
    </row>
    <row r="1191" spans="1:8" ht="14.25" customHeight="1" x14ac:dyDescent="0.3">
      <c r="A1191">
        <v>1361877</v>
      </c>
      <c r="B1191" t="e">
        <f>- nddc-DC2 vss service is frozen and it needs a restart.</f>
        <v>#NAME?</v>
      </c>
      <c r="C1191" s="1" t="s">
        <v>6035</v>
      </c>
      <c r="D1191" t="s">
        <v>24</v>
      </c>
      <c r="E1191">
        <v>3</v>
      </c>
      <c r="F1191">
        <v>2</v>
      </c>
      <c r="G1191">
        <v>41</v>
      </c>
      <c r="H1191" s="2">
        <v>44251.930312500001</v>
      </c>
    </row>
    <row r="1192" spans="1:8" ht="14.25" customHeight="1" x14ac:dyDescent="0.3">
      <c r="A1192">
        <v>1360712</v>
      </c>
      <c r="B1192" t="e">
        <f>- surgery computer lost connectivity to surgery printer</f>
        <v>#NAME?</v>
      </c>
      <c r="C1192" s="1" t="s">
        <v>6036</v>
      </c>
      <c r="D1192" t="s">
        <v>24</v>
      </c>
      <c r="E1192">
        <v>2</v>
      </c>
      <c r="F1192">
        <v>3</v>
      </c>
      <c r="G1192">
        <v>41</v>
      </c>
      <c r="H1192" s="2">
        <v>44251.930949074071</v>
      </c>
    </row>
    <row r="1193" spans="1:8" ht="14.25" customHeight="1" x14ac:dyDescent="0.3">
      <c r="A1193">
        <v>1360085</v>
      </c>
      <c r="B1193" t="s">
        <v>5173</v>
      </c>
      <c r="C1193" t="s">
        <v>5174</v>
      </c>
      <c r="D1193" t="s">
        <v>188</v>
      </c>
      <c r="E1193">
        <v>3</v>
      </c>
      <c r="F1193">
        <v>2</v>
      </c>
      <c r="G1193">
        <v>43</v>
      </c>
      <c r="H1193" s="2">
        <v>44251.931446759256</v>
      </c>
    </row>
    <row r="1194" spans="1:8" ht="14.25" customHeight="1" x14ac:dyDescent="0.3">
      <c r="A1194">
        <v>1358952</v>
      </c>
      <c r="B1194" t="e">
        <f>- change of email password - david rinker</f>
        <v>#NAME?</v>
      </c>
      <c r="C1194" s="1" t="s">
        <v>6037</v>
      </c>
      <c r="D1194" t="s">
        <v>11</v>
      </c>
      <c r="E1194">
        <v>1</v>
      </c>
      <c r="F1194">
        <v>2</v>
      </c>
      <c r="G1194">
        <v>43</v>
      </c>
      <c r="H1194" s="2">
        <v>44251.931828703702</v>
      </c>
    </row>
    <row r="1195" spans="1:8" ht="14.25" customHeight="1" x14ac:dyDescent="0.3">
      <c r="A1195">
        <v>1358937</v>
      </c>
      <c r="B1195" t="s">
        <v>6038</v>
      </c>
      <c r="C1195" s="1" t="s">
        <v>6039</v>
      </c>
      <c r="D1195" t="s">
        <v>11</v>
      </c>
      <c r="E1195">
        <v>2</v>
      </c>
      <c r="F1195">
        <v>2</v>
      </c>
      <c r="G1195">
        <v>43</v>
      </c>
      <c r="H1195" s="2">
        <v>44251.932268518518</v>
      </c>
    </row>
    <row r="1196" spans="1:8" ht="14.25" customHeight="1" x14ac:dyDescent="0.3">
      <c r="A1196">
        <v>1347545</v>
      </c>
      <c r="B1196" t="s">
        <v>6040</v>
      </c>
      <c r="C1196" s="1" t="s">
        <v>6041</v>
      </c>
      <c r="D1196" t="s">
        <v>11</v>
      </c>
      <c r="E1196">
        <v>1</v>
      </c>
      <c r="F1196">
        <v>1</v>
      </c>
      <c r="G1196">
        <v>36</v>
      </c>
      <c r="H1196" s="2">
        <v>44251.932581018518</v>
      </c>
    </row>
    <row r="1197" spans="1:8" ht="14.25" customHeight="1" x14ac:dyDescent="0.3">
      <c r="A1197">
        <v>1358886</v>
      </c>
      <c r="B1197" t="s">
        <v>6042</v>
      </c>
      <c r="C1197" s="1" t="s">
        <v>6043</v>
      </c>
      <c r="D1197" t="s">
        <v>11</v>
      </c>
      <c r="E1197">
        <v>1</v>
      </c>
      <c r="F1197">
        <v>2</v>
      </c>
      <c r="G1197">
        <v>41</v>
      </c>
      <c r="H1197" s="2">
        <v>44251.932997685188</v>
      </c>
    </row>
    <row r="1198" spans="1:8" ht="14.25" customHeight="1" x14ac:dyDescent="0.3">
      <c r="A1198">
        <v>1357922</v>
      </c>
      <c r="B1198" t="s">
        <v>6044</v>
      </c>
      <c r="C1198" s="1" t="s">
        <v>6045</v>
      </c>
      <c r="D1198" t="s">
        <v>11</v>
      </c>
      <c r="E1198">
        <v>1</v>
      </c>
      <c r="F1198">
        <v>2</v>
      </c>
      <c r="G1198">
        <v>43</v>
      </c>
      <c r="H1198" s="2">
        <v>44251.93340277778</v>
      </c>
    </row>
    <row r="1199" spans="1:8" ht="14.25" customHeight="1" x14ac:dyDescent="0.3">
      <c r="A1199">
        <v>1357885</v>
      </c>
      <c r="B1199" t="s">
        <v>6046</v>
      </c>
      <c r="C1199" s="1" t="s">
        <v>6047</v>
      </c>
      <c r="D1199" t="s">
        <v>11</v>
      </c>
      <c r="E1199">
        <v>1</v>
      </c>
      <c r="F1199">
        <v>1</v>
      </c>
      <c r="G1199">
        <v>41</v>
      </c>
      <c r="H1199" s="2">
        <v>44251.933668981481</v>
      </c>
    </row>
    <row r="1200" spans="1:8" ht="14.25" customHeight="1" x14ac:dyDescent="0.3">
      <c r="A1200">
        <v>1349432</v>
      </c>
      <c r="B1200" t="s">
        <v>4831</v>
      </c>
      <c r="C1200" t="s">
        <v>4832</v>
      </c>
      <c r="D1200" t="s">
        <v>1158</v>
      </c>
      <c r="E1200">
        <v>1</v>
      </c>
      <c r="F1200">
        <v>1</v>
      </c>
      <c r="G1200">
        <v>36</v>
      </c>
      <c r="H1200" s="2">
        <v>44251.933668981481</v>
      </c>
    </row>
    <row r="1201" spans="1:8" ht="14.25" customHeight="1" x14ac:dyDescent="0.3">
      <c r="A1201">
        <v>1357867</v>
      </c>
      <c r="B1201" t="e">
        <f>- re:  new user request attached</f>
        <v>#NAME?</v>
      </c>
      <c r="C1201" t="s">
        <v>6048</v>
      </c>
      <c r="D1201" t="s">
        <v>11</v>
      </c>
      <c r="E1201">
        <v>1</v>
      </c>
      <c r="F1201">
        <v>2</v>
      </c>
      <c r="G1201">
        <v>43</v>
      </c>
      <c r="H1201" s="2">
        <v>44251.933900462966</v>
      </c>
    </row>
    <row r="1202" spans="1:8" ht="14.25" customHeight="1" x14ac:dyDescent="0.3">
      <c r="A1202">
        <v>1357821</v>
      </c>
      <c r="B1202" t="e">
        <f>- granting access to mcmurray metis-imc folder on shared drive</f>
        <v>#NAME?</v>
      </c>
      <c r="C1202" s="1" t="s">
        <v>6049</v>
      </c>
      <c r="D1202" t="s">
        <v>24</v>
      </c>
      <c r="E1202">
        <v>1</v>
      </c>
      <c r="F1202">
        <v>2</v>
      </c>
      <c r="G1202">
        <v>43</v>
      </c>
      <c r="H1202" s="2">
        <v>44251.934247685182</v>
      </c>
    </row>
    <row r="1203" spans="1:8" ht="14.25" customHeight="1" x14ac:dyDescent="0.3">
      <c r="A1203">
        <v>1357819</v>
      </c>
      <c r="B1203" t="s">
        <v>6050</v>
      </c>
      <c r="C1203" s="1" t="s">
        <v>6051</v>
      </c>
      <c r="D1203" t="s">
        <v>11</v>
      </c>
      <c r="E1203">
        <v>1</v>
      </c>
      <c r="F1203">
        <v>2</v>
      </c>
      <c r="G1203">
        <v>43</v>
      </c>
      <c r="H1203" s="2">
        <v>44251.934803240743</v>
      </c>
    </row>
    <row r="1204" spans="1:8" ht="14.25" customHeight="1" x14ac:dyDescent="0.3">
      <c r="A1204">
        <v>1347105</v>
      </c>
      <c r="B1204" t="s">
        <v>6052</v>
      </c>
      <c r="C1204" s="1" t="s">
        <v>6053</v>
      </c>
      <c r="D1204" t="s">
        <v>11</v>
      </c>
      <c r="E1204">
        <v>1</v>
      </c>
      <c r="F1204">
        <v>1</v>
      </c>
      <c r="G1204">
        <v>43</v>
      </c>
      <c r="H1204" s="2">
        <v>44251.935810185183</v>
      </c>
    </row>
    <row r="1205" spans="1:8" ht="14.25" customHeight="1" x14ac:dyDescent="0.3">
      <c r="A1205">
        <v>1357673</v>
      </c>
      <c r="B1205" t="s">
        <v>6054</v>
      </c>
      <c r="C1205" s="1" t="s">
        <v>6055</v>
      </c>
      <c r="D1205" t="s">
        <v>11</v>
      </c>
      <c r="E1205">
        <v>2</v>
      </c>
      <c r="F1205">
        <v>1</v>
      </c>
      <c r="G1205">
        <v>41</v>
      </c>
      <c r="H1205" s="2">
        <v>44251.935833333337</v>
      </c>
    </row>
    <row r="1206" spans="1:8" ht="14.25" customHeight="1" x14ac:dyDescent="0.3">
      <c r="A1206">
        <v>1349120</v>
      </c>
      <c r="B1206" t="s">
        <v>6056</v>
      </c>
      <c r="C1206" s="1" t="s">
        <v>6057</v>
      </c>
      <c r="D1206" t="s">
        <v>11</v>
      </c>
      <c r="E1206">
        <v>1</v>
      </c>
      <c r="F1206">
        <v>1</v>
      </c>
      <c r="G1206">
        <v>43</v>
      </c>
      <c r="H1206" s="2">
        <v>44251.936585648145</v>
      </c>
    </row>
    <row r="1207" spans="1:8" ht="14.25" customHeight="1" x14ac:dyDescent="0.3">
      <c r="A1207">
        <v>1357665</v>
      </c>
      <c r="B1207" t="s">
        <v>6058</v>
      </c>
      <c r="C1207" s="1" t="s">
        <v>6059</v>
      </c>
      <c r="D1207" t="s">
        <v>24</v>
      </c>
      <c r="E1207">
        <v>2</v>
      </c>
      <c r="F1207">
        <v>2</v>
      </c>
      <c r="G1207">
        <v>43</v>
      </c>
      <c r="H1207" s="2">
        <v>44251.936724537038</v>
      </c>
    </row>
    <row r="1208" spans="1:8" ht="14.25" customHeight="1" x14ac:dyDescent="0.3">
      <c r="A1208">
        <v>1357649</v>
      </c>
      <c r="B1208" t="s">
        <v>6060</v>
      </c>
      <c r="C1208" s="1" t="s">
        <v>6061</v>
      </c>
      <c r="D1208" t="s">
        <v>11</v>
      </c>
      <c r="E1208">
        <v>1</v>
      </c>
      <c r="F1208">
        <v>2</v>
      </c>
      <c r="G1208">
        <v>43</v>
      </c>
      <c r="H1208" s="2">
        <v>44251.937025462961</v>
      </c>
    </row>
    <row r="1209" spans="1:8" ht="14.25" customHeight="1" x14ac:dyDescent="0.3">
      <c r="A1209">
        <v>1357646</v>
      </c>
      <c r="B1209" t="s">
        <v>6062</v>
      </c>
      <c r="C1209" s="1" t="s">
        <v>6063</v>
      </c>
      <c r="D1209" t="s">
        <v>24</v>
      </c>
      <c r="E1209">
        <v>1</v>
      </c>
      <c r="F1209">
        <v>2</v>
      </c>
      <c r="G1209">
        <v>43</v>
      </c>
      <c r="H1209" s="2">
        <v>44251.937569444446</v>
      </c>
    </row>
    <row r="1210" spans="1:8" ht="14.25" customHeight="1" x14ac:dyDescent="0.3">
      <c r="A1210">
        <v>1357260</v>
      </c>
      <c r="B1210" t="e">
        <f>- computer for barb corsini in edmonton</f>
        <v>#NAME?</v>
      </c>
      <c r="C1210" t="s">
        <v>6064</v>
      </c>
      <c r="D1210" t="s">
        <v>11</v>
      </c>
      <c r="E1210">
        <v>1</v>
      </c>
      <c r="F1210">
        <v>2</v>
      </c>
      <c r="G1210">
        <v>43</v>
      </c>
      <c r="H1210" s="2">
        <v>44251.937939814816</v>
      </c>
    </row>
    <row r="1211" spans="1:8" ht="14.25" customHeight="1" x14ac:dyDescent="0.3">
      <c r="A1211">
        <v>1357201</v>
      </c>
      <c r="B1211" t="s">
        <v>6065</v>
      </c>
      <c r="C1211" s="1" t="s">
        <v>6066</v>
      </c>
      <c r="D1211" t="s">
        <v>11</v>
      </c>
      <c r="E1211">
        <v>1</v>
      </c>
      <c r="F1211">
        <v>2</v>
      </c>
      <c r="G1211">
        <v>43</v>
      </c>
      <c r="H1211" s="2">
        <v>44251.938275462962</v>
      </c>
    </row>
    <row r="1212" spans="1:8" ht="14.25" customHeight="1" x14ac:dyDescent="0.3">
      <c r="A1212">
        <v>1357041</v>
      </c>
      <c r="B1212" t="e">
        <f>- re:  email name change request</f>
        <v>#NAME?</v>
      </c>
      <c r="C1212" s="1" t="s">
        <v>6067</v>
      </c>
      <c r="D1212" t="s">
        <v>11</v>
      </c>
      <c r="E1212">
        <v>1</v>
      </c>
      <c r="F1212">
        <v>2</v>
      </c>
      <c r="G1212">
        <v>43</v>
      </c>
      <c r="H1212" s="2">
        <v>44251.938587962963</v>
      </c>
    </row>
    <row r="1213" spans="1:8" ht="14.25" customHeight="1" x14ac:dyDescent="0.3">
      <c r="A1213">
        <v>1357040</v>
      </c>
      <c r="B1213" t="e">
        <f>- change in primary contact - carie campbell</f>
        <v>#NAME?</v>
      </c>
      <c r="C1213" s="1" t="s">
        <v>6068</v>
      </c>
      <c r="D1213" t="s">
        <v>11</v>
      </c>
      <c r="E1213">
        <v>3</v>
      </c>
      <c r="F1213">
        <v>2</v>
      </c>
      <c r="G1213">
        <v>43</v>
      </c>
      <c r="H1213" s="2">
        <v>44251.939340277779</v>
      </c>
    </row>
    <row r="1214" spans="1:8" ht="14.25" customHeight="1" x14ac:dyDescent="0.3">
      <c r="A1214">
        <v>1298857</v>
      </c>
      <c r="B1214" t="s">
        <v>6069</v>
      </c>
      <c r="C1214" s="1" t="s">
        <v>6070</v>
      </c>
      <c r="D1214" t="s">
        <v>11</v>
      </c>
      <c r="E1214">
        <v>3</v>
      </c>
      <c r="F1214">
        <v>3</v>
      </c>
      <c r="G1214">
        <v>41</v>
      </c>
      <c r="H1214" s="2">
        <v>44251.939363425925</v>
      </c>
    </row>
    <row r="1215" spans="1:8" ht="14.25" customHeight="1" x14ac:dyDescent="0.3">
      <c r="A1215">
        <v>1292643</v>
      </c>
      <c r="B1215" t="e">
        <f>- caseware</f>
        <v>#NAME?</v>
      </c>
      <c r="C1215" s="1" t="s">
        <v>6071</v>
      </c>
      <c r="D1215" t="s">
        <v>24</v>
      </c>
      <c r="E1215">
        <v>2</v>
      </c>
      <c r="F1215">
        <v>2</v>
      </c>
      <c r="G1215">
        <v>41</v>
      </c>
      <c r="H1215" s="2">
        <v>44251.940115740741</v>
      </c>
    </row>
    <row r="1216" spans="1:8" ht="14.25" customHeight="1" x14ac:dyDescent="0.3">
      <c r="A1216">
        <v>1293254</v>
      </c>
      <c r="B1216" t="s">
        <v>6072</v>
      </c>
      <c r="C1216" s="1" t="s">
        <v>6073</v>
      </c>
      <c r="D1216" t="s">
        <v>11</v>
      </c>
      <c r="E1216">
        <v>1</v>
      </c>
      <c r="F1216">
        <v>1</v>
      </c>
      <c r="G1216">
        <v>41</v>
      </c>
      <c r="H1216" s="2">
        <v>44251.940289351849</v>
      </c>
    </row>
    <row r="1217" spans="1:8" ht="14.25" customHeight="1" x14ac:dyDescent="0.3">
      <c r="A1217">
        <v>1289964</v>
      </c>
      <c r="B1217" t="e">
        <f>- sso - top left</f>
        <v>#NAME?</v>
      </c>
      <c r="C1217" s="1" t="s">
        <v>6074</v>
      </c>
      <c r="D1217" t="s">
        <v>11</v>
      </c>
      <c r="E1217">
        <v>1</v>
      </c>
      <c r="F1217">
        <v>2</v>
      </c>
      <c r="G1217">
        <v>41</v>
      </c>
      <c r="H1217" s="2">
        <v>44251.940578703703</v>
      </c>
    </row>
    <row r="1218" spans="1:8" ht="14.25" customHeight="1" x14ac:dyDescent="0.3">
      <c r="A1218">
        <v>1350208</v>
      </c>
      <c r="B1218" t="s">
        <v>6075</v>
      </c>
      <c r="C1218" s="1" t="s">
        <v>6076</v>
      </c>
      <c r="D1218" t="s">
        <v>11</v>
      </c>
      <c r="E1218">
        <v>1</v>
      </c>
      <c r="F1218">
        <v>1</v>
      </c>
      <c r="G1218">
        <v>43</v>
      </c>
      <c r="H1218" s="2">
        <v>44251.94059027778</v>
      </c>
    </row>
    <row r="1219" spans="1:8" ht="14.25" customHeight="1" x14ac:dyDescent="0.3">
      <c r="A1219">
        <v>1291618</v>
      </c>
      <c r="B1219" t="s">
        <v>6077</v>
      </c>
      <c r="C1219" s="1" t="s">
        <v>6078</v>
      </c>
      <c r="D1219" t="s">
        <v>11</v>
      </c>
      <c r="E1219">
        <v>2</v>
      </c>
      <c r="F1219">
        <v>2</v>
      </c>
      <c r="G1219">
        <v>41</v>
      </c>
      <c r="H1219" s="2">
        <v>44251.946736111109</v>
      </c>
    </row>
    <row r="1220" spans="1:8" ht="14.25" customHeight="1" x14ac:dyDescent="0.3">
      <c r="A1220">
        <v>1295229</v>
      </c>
      <c r="B1220" t="s">
        <v>6079</v>
      </c>
      <c r="C1220" s="1" t="s">
        <v>6080</v>
      </c>
      <c r="D1220" t="s">
        <v>11</v>
      </c>
      <c r="E1220">
        <v>1</v>
      </c>
      <c r="F1220">
        <v>1</v>
      </c>
      <c r="G1220">
        <v>43</v>
      </c>
      <c r="H1220" s="2">
        <v>44251.946875000001</v>
      </c>
    </row>
    <row r="1221" spans="1:8" ht="14.25" customHeight="1" x14ac:dyDescent="0.3">
      <c r="A1221">
        <v>1291696</v>
      </c>
      <c r="B1221" t="s">
        <v>6081</v>
      </c>
      <c r="C1221" s="1" t="s">
        <v>6082</v>
      </c>
      <c r="D1221" t="s">
        <v>24</v>
      </c>
      <c r="E1221">
        <v>3</v>
      </c>
      <c r="F1221">
        <v>2</v>
      </c>
      <c r="G1221">
        <v>43</v>
      </c>
      <c r="H1221" s="2">
        <v>44251.947615740741</v>
      </c>
    </row>
    <row r="1222" spans="1:8" ht="14.25" customHeight="1" x14ac:dyDescent="0.3">
      <c r="A1222">
        <v>1290024</v>
      </c>
      <c r="B1222" t="e">
        <f>- write access to the scheming folder</f>
        <v>#NAME?</v>
      </c>
      <c r="C1222" s="1" t="s">
        <v>6083</v>
      </c>
      <c r="D1222" t="s">
        <v>24</v>
      </c>
      <c r="E1222">
        <v>1</v>
      </c>
      <c r="F1222">
        <v>2</v>
      </c>
      <c r="G1222">
        <v>43</v>
      </c>
      <c r="H1222" s="2">
        <v>44251.947847222225</v>
      </c>
    </row>
    <row r="1223" spans="1:8" ht="14.25" customHeight="1" x14ac:dyDescent="0.3">
      <c r="A1223">
        <v>1289526</v>
      </c>
      <c r="B1223" t="e">
        <f>- internet speed issues at st. albert office</f>
        <v>#NAME?</v>
      </c>
      <c r="C1223" s="1" t="s">
        <v>6084</v>
      </c>
      <c r="D1223" t="s">
        <v>11</v>
      </c>
      <c r="E1223">
        <v>2</v>
      </c>
      <c r="F1223">
        <v>2</v>
      </c>
      <c r="G1223">
        <v>41</v>
      </c>
      <c r="H1223" s="2">
        <v>44251.949756944443</v>
      </c>
    </row>
    <row r="1224" spans="1:8" ht="14.25" customHeight="1" x14ac:dyDescent="0.3">
      <c r="A1224">
        <v>1288297</v>
      </c>
      <c r="B1224" t="e">
        <f>- web site down - urgent</f>
        <v>#NAME?</v>
      </c>
      <c r="C1224" s="1" t="s">
        <v>6085</v>
      </c>
      <c r="D1224" t="s">
        <v>11</v>
      </c>
      <c r="E1224">
        <v>3</v>
      </c>
      <c r="F1224">
        <v>3</v>
      </c>
      <c r="G1224">
        <v>41</v>
      </c>
      <c r="H1224" s="2">
        <v>44251.950775462959</v>
      </c>
    </row>
    <row r="1225" spans="1:8" ht="14.25" customHeight="1" x14ac:dyDescent="0.3">
      <c r="A1225">
        <v>1291678</v>
      </c>
      <c r="B1225" t="e">
        <f>- need retrival of deleted folder</f>
        <v>#NAME?</v>
      </c>
      <c r="C1225" s="1" t="s">
        <v>6086</v>
      </c>
      <c r="D1225" t="s">
        <v>24</v>
      </c>
      <c r="E1225">
        <v>2</v>
      </c>
      <c r="F1225">
        <v>2</v>
      </c>
      <c r="G1225">
        <v>41</v>
      </c>
      <c r="H1225" s="2">
        <v>44251.951018518521</v>
      </c>
    </row>
    <row r="1226" spans="1:8" ht="14.25" customHeight="1" x14ac:dyDescent="0.3">
      <c r="A1226">
        <v>1291436</v>
      </c>
      <c r="B1226" t="s">
        <v>6087</v>
      </c>
      <c r="C1226" s="1" t="s">
        <v>6088</v>
      </c>
      <c r="D1226" t="s">
        <v>11</v>
      </c>
      <c r="E1226">
        <v>1</v>
      </c>
      <c r="F1226">
        <v>3</v>
      </c>
      <c r="G1226">
        <v>41</v>
      </c>
      <c r="H1226" s="2">
        <v>44251.951203703706</v>
      </c>
    </row>
    <row r="1227" spans="1:8" ht="14.25" customHeight="1" x14ac:dyDescent="0.3">
      <c r="A1227">
        <v>1292125</v>
      </c>
      <c r="B1227" t="e">
        <f>- email not being delivered</f>
        <v>#NAME?</v>
      </c>
      <c r="C1227" s="1" t="s">
        <v>6089</v>
      </c>
      <c r="D1227" t="s">
        <v>11</v>
      </c>
      <c r="E1227">
        <v>2</v>
      </c>
      <c r="F1227">
        <v>2</v>
      </c>
      <c r="G1227">
        <v>41</v>
      </c>
      <c r="H1227" s="2">
        <v>44251.951574074075</v>
      </c>
    </row>
    <row r="1228" spans="1:8" ht="14.25" customHeight="1" x14ac:dyDescent="0.3">
      <c r="A1228">
        <v>1287593</v>
      </c>
      <c r="B1228" t="e">
        <f>- outlook inbox drafts</f>
        <v>#NAME?</v>
      </c>
      <c r="C1228" s="1" t="s">
        <v>6090</v>
      </c>
      <c r="D1228" t="s">
        <v>11</v>
      </c>
      <c r="E1228">
        <v>1</v>
      </c>
      <c r="F1228">
        <v>1</v>
      </c>
      <c r="G1228">
        <v>41</v>
      </c>
      <c r="H1228" s="2">
        <v>44251.952152777776</v>
      </c>
    </row>
    <row r="1229" spans="1:8" ht="14.25" customHeight="1" x14ac:dyDescent="0.3">
      <c r="A1229">
        <v>1294567</v>
      </c>
      <c r="B1229" t="e">
        <f>- spam emails</f>
        <v>#NAME?</v>
      </c>
      <c r="C1229" s="1" t="s">
        <v>6091</v>
      </c>
      <c r="D1229" t="s">
        <v>11</v>
      </c>
      <c r="E1229">
        <v>3</v>
      </c>
      <c r="F1229">
        <v>1</v>
      </c>
      <c r="G1229">
        <v>41</v>
      </c>
      <c r="H1229" s="2">
        <v>44251.952488425923</v>
      </c>
    </row>
    <row r="1230" spans="1:8" ht="14.25" customHeight="1" x14ac:dyDescent="0.3">
      <c r="A1230">
        <v>1294666</v>
      </c>
      <c r="B1230" t="e">
        <f>- ndcgy-FW1 - file system check recommended</f>
        <v>#NAME?</v>
      </c>
      <c r="C1230" s="1" t="s">
        <v>6092</v>
      </c>
      <c r="D1230" t="s">
        <v>24</v>
      </c>
      <c r="E1230">
        <v>2</v>
      </c>
      <c r="F1230">
        <v>2</v>
      </c>
      <c r="G1230">
        <v>41</v>
      </c>
      <c r="H1230" s="2">
        <v>44251.953206018516</v>
      </c>
    </row>
    <row r="1231" spans="1:8" ht="14.25" customHeight="1" x14ac:dyDescent="0.3">
      <c r="A1231">
        <v>1290031</v>
      </c>
      <c r="B1231" t="s">
        <v>4583</v>
      </c>
      <c r="C1231" t="s">
        <v>6093</v>
      </c>
      <c r="D1231" t="s">
        <v>11</v>
      </c>
      <c r="E1231">
        <v>2</v>
      </c>
      <c r="F1231">
        <v>2</v>
      </c>
      <c r="G1231">
        <v>43</v>
      </c>
      <c r="H1231" s="2">
        <v>44251.953587962962</v>
      </c>
    </row>
    <row r="1232" spans="1:8" ht="14.25" customHeight="1" x14ac:dyDescent="0.3">
      <c r="A1232">
        <v>1288061</v>
      </c>
      <c r="B1232" t="s">
        <v>6094</v>
      </c>
      <c r="C1232" s="1" t="s">
        <v>6095</v>
      </c>
      <c r="D1232" t="s">
        <v>11</v>
      </c>
      <c r="E1232">
        <v>2</v>
      </c>
      <c r="F1232">
        <v>2</v>
      </c>
      <c r="G1232">
        <v>41</v>
      </c>
      <c r="H1232" s="2">
        <v>44251.953865740739</v>
      </c>
    </row>
    <row r="1233" spans="1:8" ht="14.25" customHeight="1" x14ac:dyDescent="0.3">
      <c r="A1233">
        <v>1285607</v>
      </c>
      <c r="B1233" t="e">
        <f>- webpage being blocked by trend</f>
        <v>#NAME?</v>
      </c>
      <c r="C1233" s="1" t="s">
        <v>6096</v>
      </c>
      <c r="D1233" t="s">
        <v>11</v>
      </c>
      <c r="E1233">
        <v>1</v>
      </c>
      <c r="F1233">
        <v>2</v>
      </c>
      <c r="G1233">
        <v>41</v>
      </c>
      <c r="H1233" s="2">
        <v>44251.95417824074</v>
      </c>
    </row>
    <row r="1234" spans="1:8" ht="14.25" customHeight="1" x14ac:dyDescent="0.3">
      <c r="A1234">
        <v>1287554</v>
      </c>
      <c r="B1234" t="s">
        <v>6097</v>
      </c>
      <c r="C1234" s="1" t="s">
        <v>6098</v>
      </c>
      <c r="D1234" t="s">
        <v>11</v>
      </c>
      <c r="E1234">
        <v>1</v>
      </c>
      <c r="F1234">
        <v>2</v>
      </c>
      <c r="G1234">
        <v>43</v>
      </c>
      <c r="H1234" s="2">
        <v>44251.954699074071</v>
      </c>
    </row>
    <row r="1235" spans="1:8" ht="14.25" customHeight="1" x14ac:dyDescent="0.3">
      <c r="A1235">
        <v>1285576</v>
      </c>
      <c r="B1235" t="s">
        <v>6099</v>
      </c>
      <c r="C1235" s="1" t="s">
        <v>6100</v>
      </c>
      <c r="D1235" t="s">
        <v>11</v>
      </c>
      <c r="E1235">
        <v>1</v>
      </c>
      <c r="F1235">
        <v>2</v>
      </c>
      <c r="G1235">
        <v>43</v>
      </c>
      <c r="H1235" s="2">
        <v>44251.95517361111</v>
      </c>
    </row>
    <row r="1236" spans="1:8" ht="14.25" customHeight="1" x14ac:dyDescent="0.3">
      <c r="A1236">
        <v>1288028</v>
      </c>
      <c r="B1236" t="s">
        <v>6101</v>
      </c>
      <c r="C1236" s="1" t="s">
        <v>6102</v>
      </c>
      <c r="D1236" t="s">
        <v>11</v>
      </c>
      <c r="E1236">
        <v>1</v>
      </c>
      <c r="F1236">
        <v>2</v>
      </c>
      <c r="G1236">
        <v>41</v>
      </c>
      <c r="H1236" s="2">
        <v>44251.957835648151</v>
      </c>
    </row>
    <row r="1237" spans="1:8" ht="14.25" customHeight="1" x14ac:dyDescent="0.3">
      <c r="A1237">
        <v>1291282</v>
      </c>
      <c r="B1237" t="s">
        <v>6103</v>
      </c>
      <c r="C1237" t="s">
        <v>6104</v>
      </c>
      <c r="D1237" t="s">
        <v>188</v>
      </c>
      <c r="E1237">
        <v>3</v>
      </c>
      <c r="F1237">
        <v>1</v>
      </c>
      <c r="G1237">
        <v>43</v>
      </c>
      <c r="H1237" s="2">
        <v>44251.958124999997</v>
      </c>
    </row>
    <row r="1238" spans="1:8" ht="14.25" customHeight="1" x14ac:dyDescent="0.3">
      <c r="A1238">
        <v>1296596</v>
      </c>
      <c r="B1238" t="s">
        <v>6105</v>
      </c>
      <c r="C1238" s="1" t="s">
        <v>6106</v>
      </c>
      <c r="D1238" t="s">
        <v>11</v>
      </c>
      <c r="E1238">
        <v>1</v>
      </c>
      <c r="F1238">
        <v>1</v>
      </c>
      <c r="G1238">
        <v>41</v>
      </c>
      <c r="H1238" s="2">
        <v>44251.959039351852</v>
      </c>
    </row>
    <row r="1239" spans="1:8" ht="14.25" customHeight="1" x14ac:dyDescent="0.3">
      <c r="A1239">
        <v>1347940</v>
      </c>
      <c r="B1239" t="s">
        <v>4690</v>
      </c>
      <c r="C1239" t="s">
        <v>4691</v>
      </c>
      <c r="D1239" t="s">
        <v>1158</v>
      </c>
      <c r="E1239">
        <v>1</v>
      </c>
      <c r="F1239">
        <v>1</v>
      </c>
      <c r="G1239">
        <v>36</v>
      </c>
      <c r="H1239" s="2">
        <v>44251.965694444443</v>
      </c>
    </row>
    <row r="1240" spans="1:8" ht="14.25" customHeight="1" x14ac:dyDescent="0.3">
      <c r="A1240">
        <v>1349428</v>
      </c>
      <c r="B1240" t="s">
        <v>4683</v>
      </c>
      <c r="C1240" t="s">
        <v>4684</v>
      </c>
      <c r="D1240" t="s">
        <v>1158</v>
      </c>
      <c r="E1240">
        <v>1</v>
      </c>
      <c r="F1240">
        <v>1</v>
      </c>
      <c r="G1240">
        <v>36</v>
      </c>
      <c r="H1240" s="2">
        <v>44251.965844907405</v>
      </c>
    </row>
    <row r="1241" spans="1:8" ht="14.25" customHeight="1" x14ac:dyDescent="0.3">
      <c r="A1241">
        <v>1347628</v>
      </c>
      <c r="B1241" t="s">
        <v>6107</v>
      </c>
      <c r="C1241" s="1" t="s">
        <v>6108</v>
      </c>
      <c r="D1241" t="s">
        <v>11</v>
      </c>
      <c r="E1241">
        <v>1</v>
      </c>
      <c r="F1241">
        <v>2</v>
      </c>
      <c r="G1241">
        <v>41</v>
      </c>
      <c r="H1241" s="2">
        <v>44251.966238425928</v>
      </c>
    </row>
    <row r="1242" spans="1:8" ht="14.25" customHeight="1" x14ac:dyDescent="0.3">
      <c r="A1242">
        <v>1349102</v>
      </c>
      <c r="B1242" t="s">
        <v>6109</v>
      </c>
      <c r="C1242" s="1" t="s">
        <v>6110</v>
      </c>
      <c r="D1242" t="s">
        <v>11</v>
      </c>
      <c r="E1242">
        <v>1</v>
      </c>
      <c r="F1242">
        <v>1</v>
      </c>
      <c r="G1242">
        <v>43</v>
      </c>
      <c r="H1242" s="2">
        <v>44251.966782407406</v>
      </c>
    </row>
    <row r="1243" spans="1:8" ht="14.25" customHeight="1" x14ac:dyDescent="0.3">
      <c r="A1243">
        <v>1350229</v>
      </c>
      <c r="B1243" t="s">
        <v>6111</v>
      </c>
      <c r="C1243" t="s">
        <v>6112</v>
      </c>
      <c r="D1243" t="s">
        <v>11</v>
      </c>
      <c r="E1243">
        <v>1</v>
      </c>
      <c r="F1243">
        <v>1</v>
      </c>
      <c r="G1243">
        <v>36</v>
      </c>
      <c r="H1243" s="2">
        <v>44251.967511574076</v>
      </c>
    </row>
    <row r="1244" spans="1:8" ht="14.25" customHeight="1" x14ac:dyDescent="0.3">
      <c r="A1244">
        <v>1348309</v>
      </c>
      <c r="B1244" t="s">
        <v>4690</v>
      </c>
      <c r="C1244" t="s">
        <v>4691</v>
      </c>
      <c r="D1244" t="s">
        <v>1158</v>
      </c>
      <c r="E1244">
        <v>1</v>
      </c>
      <c r="F1244">
        <v>1</v>
      </c>
      <c r="G1244">
        <v>36</v>
      </c>
      <c r="H1244" s="2">
        <v>44251.967650462961</v>
      </c>
    </row>
    <row r="1245" spans="1:8" ht="14.25" customHeight="1" x14ac:dyDescent="0.3">
      <c r="A1245">
        <v>1347213</v>
      </c>
      <c r="B1245" t="s">
        <v>6113</v>
      </c>
      <c r="C1245" s="1" t="s">
        <v>6114</v>
      </c>
      <c r="D1245" t="s">
        <v>11</v>
      </c>
      <c r="E1245">
        <v>3</v>
      </c>
      <c r="F1245">
        <v>3</v>
      </c>
      <c r="G1245">
        <v>41</v>
      </c>
      <c r="H1245" s="2">
        <v>44251.968472222223</v>
      </c>
    </row>
    <row r="1246" spans="1:8" ht="14.25" customHeight="1" x14ac:dyDescent="0.3">
      <c r="A1246">
        <v>1349017</v>
      </c>
      <c r="B1246" t="e">
        <f>- new printer set up</f>
        <v>#NAME?</v>
      </c>
      <c r="C1246" t="s">
        <v>6115</v>
      </c>
      <c r="D1246" t="s">
        <v>11</v>
      </c>
      <c r="E1246">
        <v>2</v>
      </c>
      <c r="F1246">
        <v>2</v>
      </c>
      <c r="G1246">
        <v>43</v>
      </c>
      <c r="H1246" s="2">
        <v>44251.968622685185</v>
      </c>
    </row>
    <row r="1247" spans="1:8" ht="14.25" customHeight="1" x14ac:dyDescent="0.3">
      <c r="A1247">
        <v>1348751</v>
      </c>
      <c r="B1247" t="s">
        <v>6116</v>
      </c>
      <c r="C1247" t="s">
        <v>4832</v>
      </c>
      <c r="D1247" t="s">
        <v>1158</v>
      </c>
      <c r="E1247">
        <v>1</v>
      </c>
      <c r="F1247">
        <v>1</v>
      </c>
      <c r="G1247">
        <v>36</v>
      </c>
      <c r="H1247" s="2">
        <v>44251.969131944446</v>
      </c>
    </row>
    <row r="1248" spans="1:8" ht="14.25" customHeight="1" x14ac:dyDescent="0.3">
      <c r="A1248">
        <v>1357088</v>
      </c>
      <c r="B1248" t="s">
        <v>4636</v>
      </c>
      <c r="C1248" t="s">
        <v>4329</v>
      </c>
      <c r="D1248" t="s">
        <v>462</v>
      </c>
      <c r="E1248">
        <v>1</v>
      </c>
      <c r="F1248">
        <v>1</v>
      </c>
      <c r="G1248">
        <v>36</v>
      </c>
      <c r="H1248" s="2">
        <v>44251.969317129631</v>
      </c>
    </row>
    <row r="1249" spans="1:8" ht="14.25" customHeight="1" x14ac:dyDescent="0.3">
      <c r="A1249">
        <v>1348968</v>
      </c>
      <c r="B1249" t="s">
        <v>6117</v>
      </c>
      <c r="C1249" s="1" t="s">
        <v>6118</v>
      </c>
      <c r="D1249" t="s">
        <v>11</v>
      </c>
      <c r="E1249">
        <v>1</v>
      </c>
      <c r="F1249">
        <v>2</v>
      </c>
      <c r="G1249">
        <v>41</v>
      </c>
      <c r="H1249" s="2">
        <v>44251.969548611109</v>
      </c>
    </row>
    <row r="1250" spans="1:8" ht="14.25" customHeight="1" x14ac:dyDescent="0.3">
      <c r="A1250">
        <v>1347158</v>
      </c>
      <c r="B1250" t="s">
        <v>6119</v>
      </c>
      <c r="C1250" s="1" t="s">
        <v>6120</v>
      </c>
      <c r="D1250" t="s">
        <v>24</v>
      </c>
      <c r="E1250">
        <v>1</v>
      </c>
      <c r="F1250">
        <v>1</v>
      </c>
      <c r="G1250">
        <v>36</v>
      </c>
      <c r="H1250" s="2">
        <v>44251.969675925924</v>
      </c>
    </row>
    <row r="1251" spans="1:8" ht="14.25" customHeight="1" x14ac:dyDescent="0.3">
      <c r="A1251">
        <v>1349111</v>
      </c>
      <c r="B1251" t="s">
        <v>6121</v>
      </c>
      <c r="C1251" s="1" t="s">
        <v>6122</v>
      </c>
      <c r="D1251" t="s">
        <v>11</v>
      </c>
      <c r="E1251">
        <v>1</v>
      </c>
      <c r="F1251">
        <v>2</v>
      </c>
      <c r="G1251">
        <v>36</v>
      </c>
      <c r="H1251" s="2">
        <v>44251.969988425924</v>
      </c>
    </row>
    <row r="1252" spans="1:8" ht="14.25" customHeight="1" x14ac:dyDescent="0.3">
      <c r="A1252">
        <v>1348312</v>
      </c>
      <c r="B1252" t="s">
        <v>4856</v>
      </c>
      <c r="C1252" t="s">
        <v>4857</v>
      </c>
      <c r="D1252" t="s">
        <v>1158</v>
      </c>
      <c r="E1252">
        <v>1</v>
      </c>
      <c r="F1252">
        <v>1</v>
      </c>
      <c r="G1252">
        <v>36</v>
      </c>
      <c r="H1252" s="2">
        <v>44251.970092592594</v>
      </c>
    </row>
    <row r="1253" spans="1:8" ht="14.25" customHeight="1" x14ac:dyDescent="0.3">
      <c r="A1253">
        <v>1290086</v>
      </c>
      <c r="B1253" t="s">
        <v>6123</v>
      </c>
      <c r="C1253" s="1" t="s">
        <v>6124</v>
      </c>
      <c r="D1253" t="s">
        <v>24</v>
      </c>
      <c r="E1253">
        <v>3</v>
      </c>
      <c r="F1253">
        <v>2</v>
      </c>
      <c r="G1253">
        <v>43</v>
      </c>
      <c r="H1253" s="2">
        <v>44251.970300925925</v>
      </c>
    </row>
    <row r="1254" spans="1:8" ht="14.25" customHeight="1" x14ac:dyDescent="0.3">
      <c r="A1254">
        <v>1349113</v>
      </c>
      <c r="B1254" t="s">
        <v>6125</v>
      </c>
      <c r="C1254" s="1" t="s">
        <v>6126</v>
      </c>
      <c r="D1254" t="s">
        <v>11</v>
      </c>
      <c r="E1254">
        <v>1</v>
      </c>
      <c r="F1254">
        <v>1</v>
      </c>
      <c r="G1254">
        <v>36</v>
      </c>
      <c r="H1254" s="2">
        <v>44251.970358796294</v>
      </c>
    </row>
    <row r="1255" spans="1:8" ht="14.25" customHeight="1" x14ac:dyDescent="0.3">
      <c r="A1255">
        <v>1348310</v>
      </c>
      <c r="B1255" t="s">
        <v>6127</v>
      </c>
      <c r="C1255" t="s">
        <v>4857</v>
      </c>
      <c r="D1255" t="s">
        <v>1158</v>
      </c>
      <c r="E1255">
        <v>1</v>
      </c>
      <c r="F1255">
        <v>1</v>
      </c>
      <c r="G1255">
        <v>36</v>
      </c>
      <c r="H1255" s="2">
        <v>44251.970462962963</v>
      </c>
    </row>
    <row r="1256" spans="1:8" ht="14.25" customHeight="1" x14ac:dyDescent="0.3">
      <c r="A1256">
        <v>1290082</v>
      </c>
      <c r="B1256" t="e">
        <f>- printer driver installation</f>
        <v>#NAME?</v>
      </c>
      <c r="C1256" s="1" t="s">
        <v>6128</v>
      </c>
      <c r="D1256" t="s">
        <v>11</v>
      </c>
      <c r="E1256">
        <v>2</v>
      </c>
      <c r="F1256">
        <v>2</v>
      </c>
      <c r="G1256">
        <v>41</v>
      </c>
      <c r="H1256" s="2">
        <v>44251.970810185187</v>
      </c>
    </row>
    <row r="1257" spans="1:8" ht="14.25" customHeight="1" x14ac:dyDescent="0.3">
      <c r="A1257">
        <v>1347211</v>
      </c>
      <c r="B1257" t="s">
        <v>6129</v>
      </c>
      <c r="C1257" s="1" t="s">
        <v>6130</v>
      </c>
      <c r="D1257" t="s">
        <v>11</v>
      </c>
      <c r="E1257">
        <v>3</v>
      </c>
      <c r="F1257">
        <v>3</v>
      </c>
      <c r="G1257">
        <v>41</v>
      </c>
      <c r="H1257" s="2">
        <v>44251.971365740741</v>
      </c>
    </row>
    <row r="1258" spans="1:8" ht="14.25" customHeight="1" x14ac:dyDescent="0.3">
      <c r="A1258">
        <v>1348308</v>
      </c>
      <c r="B1258" t="s">
        <v>4690</v>
      </c>
      <c r="C1258" t="s">
        <v>4691</v>
      </c>
      <c r="D1258" t="s">
        <v>1158</v>
      </c>
      <c r="E1258">
        <v>1</v>
      </c>
      <c r="F1258">
        <v>1</v>
      </c>
      <c r="G1258">
        <v>36</v>
      </c>
      <c r="H1258" s="2">
        <v>44251.971458333333</v>
      </c>
    </row>
    <row r="1259" spans="1:8" ht="14.25" customHeight="1" x14ac:dyDescent="0.3">
      <c r="A1259">
        <v>1283767</v>
      </c>
      <c r="B1259" t="s">
        <v>6131</v>
      </c>
      <c r="C1259" s="1" t="s">
        <v>6132</v>
      </c>
      <c r="D1259" t="s">
        <v>11</v>
      </c>
      <c r="E1259">
        <v>1</v>
      </c>
      <c r="F1259">
        <v>2</v>
      </c>
      <c r="G1259">
        <v>41</v>
      </c>
      <c r="H1259" s="2">
        <v>44251.971782407411</v>
      </c>
    </row>
    <row r="1260" spans="1:8" ht="14.25" customHeight="1" x14ac:dyDescent="0.3">
      <c r="A1260">
        <v>1285471</v>
      </c>
      <c r="B1260" t="e">
        <f>- server issues</f>
        <v>#NAME?</v>
      </c>
      <c r="C1260" s="1" t="s">
        <v>6133</v>
      </c>
      <c r="D1260" t="s">
        <v>11</v>
      </c>
      <c r="E1260">
        <v>2</v>
      </c>
      <c r="F1260">
        <v>2</v>
      </c>
      <c r="G1260">
        <v>41</v>
      </c>
      <c r="H1260" s="2">
        <v>44251.971979166665</v>
      </c>
    </row>
    <row r="1261" spans="1:8" ht="14.25" customHeight="1" x14ac:dyDescent="0.3">
      <c r="A1261">
        <v>1347621</v>
      </c>
      <c r="B1261" t="s">
        <v>6134</v>
      </c>
      <c r="C1261" s="1" t="s">
        <v>6135</v>
      </c>
      <c r="D1261" t="s">
        <v>11</v>
      </c>
      <c r="E1261">
        <v>1</v>
      </c>
      <c r="F1261">
        <v>1</v>
      </c>
      <c r="G1261">
        <v>41</v>
      </c>
      <c r="H1261" s="2">
        <v>44251.972037037034</v>
      </c>
    </row>
    <row r="1262" spans="1:8" ht="14.25" customHeight="1" x14ac:dyDescent="0.3">
      <c r="A1262">
        <v>1292289</v>
      </c>
      <c r="B1262" t="s">
        <v>6136</v>
      </c>
      <c r="C1262" s="1" t="s">
        <v>6137</v>
      </c>
      <c r="D1262" t="s">
        <v>11</v>
      </c>
      <c r="E1262">
        <v>3</v>
      </c>
      <c r="F1262">
        <v>2</v>
      </c>
      <c r="G1262">
        <v>41</v>
      </c>
      <c r="H1262" s="2">
        <v>44251.973807870374</v>
      </c>
    </row>
    <row r="1263" spans="1:8" ht="14.25" customHeight="1" x14ac:dyDescent="0.3">
      <c r="A1263">
        <v>1285031</v>
      </c>
      <c r="B1263" t="e">
        <f>- increase ram on nddc-unifi01</f>
        <v>#NAME?</v>
      </c>
      <c r="C1263" s="1" t="s">
        <v>6138</v>
      </c>
      <c r="D1263" t="s">
        <v>24</v>
      </c>
      <c r="E1263">
        <v>3</v>
      </c>
      <c r="F1263">
        <v>2</v>
      </c>
      <c r="G1263">
        <v>43</v>
      </c>
      <c r="H1263" s="2">
        <v>44251.974016203705</v>
      </c>
    </row>
    <row r="1264" spans="1:8" ht="14.25" customHeight="1" x14ac:dyDescent="0.3">
      <c r="A1264">
        <v>1282335</v>
      </c>
      <c r="B1264" t="e">
        <f>- add space to f drive on nc-lsc-BE3</f>
        <v>#NAME?</v>
      </c>
      <c r="C1264" s="1" t="s">
        <v>6139</v>
      </c>
      <c r="D1264" t="s">
        <v>24</v>
      </c>
      <c r="E1264">
        <v>3</v>
      </c>
      <c r="F1264">
        <v>2</v>
      </c>
      <c r="G1264">
        <v>43</v>
      </c>
      <c r="H1264" s="2">
        <v>44251.974722222221</v>
      </c>
    </row>
    <row r="1265" spans="1:8" ht="14.25" customHeight="1" x14ac:dyDescent="0.3">
      <c r="A1265">
        <v>1286262</v>
      </c>
      <c r="B1265" t="e">
        <f>- give the new guys itg write access</f>
        <v>#NAME?</v>
      </c>
      <c r="C1265" s="1" t="s">
        <v>6140</v>
      </c>
      <c r="D1265" t="s">
        <v>24</v>
      </c>
      <c r="E1265">
        <v>2</v>
      </c>
      <c r="F1265">
        <v>2</v>
      </c>
      <c r="G1265">
        <v>43</v>
      </c>
      <c r="H1265" s="2">
        <v>44251.97519675926</v>
      </c>
    </row>
    <row r="1266" spans="1:8" ht="14.25" customHeight="1" x14ac:dyDescent="0.3">
      <c r="A1266">
        <v>1284740</v>
      </c>
      <c r="B1266" t="s">
        <v>6141</v>
      </c>
      <c r="C1266" s="1" t="s">
        <v>6142</v>
      </c>
      <c r="D1266" t="s">
        <v>11</v>
      </c>
      <c r="E1266">
        <v>2</v>
      </c>
      <c r="F1266">
        <v>3</v>
      </c>
      <c r="G1266">
        <v>41</v>
      </c>
      <c r="H1266" s="2">
        <v>44251.975393518522</v>
      </c>
    </row>
    <row r="1267" spans="1:8" ht="14.25" customHeight="1" x14ac:dyDescent="0.3">
      <c r="A1267">
        <v>1283638</v>
      </c>
      <c r="B1267" t="s">
        <v>6143</v>
      </c>
      <c r="C1267" s="1" t="s">
        <v>6144</v>
      </c>
      <c r="D1267" t="s">
        <v>11</v>
      </c>
      <c r="E1267">
        <v>2</v>
      </c>
      <c r="F1267">
        <v>1</v>
      </c>
      <c r="G1267">
        <v>43</v>
      </c>
      <c r="H1267" s="2">
        <v>44251.977303240739</v>
      </c>
    </row>
    <row r="1268" spans="1:8" ht="14.25" customHeight="1" x14ac:dyDescent="0.3">
      <c r="A1268">
        <v>1282231</v>
      </c>
      <c r="B1268" t="s">
        <v>6145</v>
      </c>
      <c r="C1268" s="1" t="s">
        <v>6146</v>
      </c>
      <c r="D1268" t="s">
        <v>11</v>
      </c>
      <c r="E1268">
        <v>2</v>
      </c>
      <c r="F1268">
        <v>2</v>
      </c>
      <c r="G1268">
        <v>41</v>
      </c>
      <c r="H1268" s="2">
        <v>44251.977673611109</v>
      </c>
    </row>
    <row r="1269" spans="1:8" ht="14.25" customHeight="1" x14ac:dyDescent="0.3">
      <c r="A1269">
        <v>1281412</v>
      </c>
      <c r="B1269" t="s">
        <v>6147</v>
      </c>
      <c r="C1269" s="1" t="s">
        <v>6148</v>
      </c>
      <c r="D1269" t="s">
        <v>24</v>
      </c>
      <c r="E1269">
        <v>3</v>
      </c>
      <c r="F1269">
        <v>2</v>
      </c>
      <c r="G1269">
        <v>41</v>
      </c>
      <c r="H1269" s="2">
        <v>44251.978773148148</v>
      </c>
    </row>
    <row r="1270" spans="1:8" ht="14.25" customHeight="1" x14ac:dyDescent="0.3">
      <c r="A1270">
        <v>1283777</v>
      </c>
      <c r="B1270" t="s">
        <v>6149</v>
      </c>
      <c r="C1270" s="1" t="s">
        <v>6150</v>
      </c>
      <c r="D1270" t="s">
        <v>11</v>
      </c>
      <c r="E1270">
        <v>1</v>
      </c>
      <c r="F1270">
        <v>2</v>
      </c>
      <c r="G1270">
        <v>41</v>
      </c>
      <c r="H1270" s="2">
        <v>44251.978946759256</v>
      </c>
    </row>
    <row r="1271" spans="1:8" ht="14.25" customHeight="1" x14ac:dyDescent="0.3">
      <c r="A1271">
        <v>1350121</v>
      </c>
      <c r="B1271" t="s">
        <v>6151</v>
      </c>
      <c r="C1271" s="1" t="s">
        <v>5903</v>
      </c>
      <c r="D1271" t="s">
        <v>11</v>
      </c>
      <c r="E1271">
        <v>1</v>
      </c>
      <c r="F1271">
        <v>1</v>
      </c>
      <c r="G1271">
        <v>36</v>
      </c>
      <c r="H1271" s="2">
        <v>44251.980405092596</v>
      </c>
    </row>
    <row r="1272" spans="1:8" ht="14.25" customHeight="1" x14ac:dyDescent="0.3">
      <c r="A1272">
        <v>1288158</v>
      </c>
      <c r="B1272" t="e">
        <f>- set up remote desk top new laptops</f>
        <v>#NAME?</v>
      </c>
      <c r="C1272" s="1" t="s">
        <v>6152</v>
      </c>
      <c r="D1272" t="s">
        <v>24</v>
      </c>
      <c r="E1272">
        <v>2</v>
      </c>
      <c r="F1272">
        <v>3</v>
      </c>
      <c r="G1272">
        <v>43</v>
      </c>
      <c r="H1272" s="2">
        <v>44251.981087962966</v>
      </c>
    </row>
    <row r="1273" spans="1:8" ht="14.25" customHeight="1" x14ac:dyDescent="0.3">
      <c r="A1273">
        <v>1283740</v>
      </c>
      <c r="B1273" t="e">
        <f>- change permissions for jon gulayets</f>
        <v>#NAME?</v>
      </c>
      <c r="C1273" s="1" t="s">
        <v>6153</v>
      </c>
      <c r="D1273" t="s">
        <v>24</v>
      </c>
      <c r="E1273">
        <v>1</v>
      </c>
      <c r="F1273">
        <v>2</v>
      </c>
      <c r="G1273">
        <v>43</v>
      </c>
      <c r="H1273" s="2">
        <v>44251.991712962961</v>
      </c>
    </row>
    <row r="1274" spans="1:8" ht="14.25" customHeight="1" x14ac:dyDescent="0.3">
      <c r="A1274">
        <v>1287542</v>
      </c>
      <c r="B1274" t="s">
        <v>6154</v>
      </c>
      <c r="C1274" s="1" t="s">
        <v>6098</v>
      </c>
      <c r="D1274" t="s">
        <v>11</v>
      </c>
      <c r="E1274">
        <v>1</v>
      </c>
      <c r="F1274">
        <v>2</v>
      </c>
      <c r="G1274">
        <v>43</v>
      </c>
      <c r="H1274" s="2">
        <v>44252.001550925925</v>
      </c>
    </row>
    <row r="1275" spans="1:8" ht="14.25" customHeight="1" x14ac:dyDescent="0.3">
      <c r="A1275">
        <v>1281553</v>
      </c>
      <c r="B1275" t="e">
        <f>- wifi problems on moneris terminal</f>
        <v>#NAME?</v>
      </c>
      <c r="C1275" s="1" t="s">
        <v>6155</v>
      </c>
      <c r="D1275" t="s">
        <v>11</v>
      </c>
      <c r="E1275">
        <v>2</v>
      </c>
      <c r="F1275">
        <v>2</v>
      </c>
      <c r="G1275">
        <v>41</v>
      </c>
      <c r="H1275" s="2">
        <v>44252.003321759257</v>
      </c>
    </row>
    <row r="1276" spans="1:8" ht="14.25" customHeight="1" x14ac:dyDescent="0.3">
      <c r="A1276">
        <v>1284185</v>
      </c>
      <c r="B1276" t="e">
        <f>- check state of voicemail connector in manage</f>
        <v>#NAME?</v>
      </c>
      <c r="C1276" s="1" t="s">
        <v>6156</v>
      </c>
      <c r="D1276" t="s">
        <v>24</v>
      </c>
      <c r="E1276">
        <v>3</v>
      </c>
      <c r="F1276">
        <v>2</v>
      </c>
      <c r="G1276">
        <v>41</v>
      </c>
      <c r="H1276" s="2">
        <v>44252.003888888888</v>
      </c>
    </row>
    <row r="1277" spans="1:8" ht="14.25" customHeight="1" x14ac:dyDescent="0.3">
      <c r="A1277">
        <v>1284815</v>
      </c>
      <c r="B1277" t="s">
        <v>6157</v>
      </c>
      <c r="C1277" s="1" t="s">
        <v>6158</v>
      </c>
      <c r="D1277" t="s">
        <v>11</v>
      </c>
      <c r="E1277">
        <v>1</v>
      </c>
      <c r="F1277">
        <v>2</v>
      </c>
      <c r="G1277">
        <v>41</v>
      </c>
      <c r="H1277" s="2">
        <v>44252.004444444443</v>
      </c>
    </row>
    <row r="1278" spans="1:8" ht="14.25" customHeight="1" x14ac:dyDescent="0.3">
      <c r="A1278">
        <v>1284886</v>
      </c>
      <c r="B1278" t="s">
        <v>6159</v>
      </c>
      <c r="C1278" s="1" t="s">
        <v>6160</v>
      </c>
      <c r="D1278" t="s">
        <v>11</v>
      </c>
      <c r="E1278">
        <v>1</v>
      </c>
      <c r="F1278">
        <v>1</v>
      </c>
      <c r="G1278">
        <v>36</v>
      </c>
      <c r="H1278" s="2">
        <v>44252.005671296298</v>
      </c>
    </row>
    <row r="1279" spans="1:8" ht="14.25" customHeight="1" x14ac:dyDescent="0.3">
      <c r="A1279">
        <v>1284360</v>
      </c>
      <c r="B1279" t="s">
        <v>6161</v>
      </c>
      <c r="C1279" s="1" t="s">
        <v>6162</v>
      </c>
      <c r="D1279" t="s">
        <v>11</v>
      </c>
      <c r="E1279">
        <v>2</v>
      </c>
      <c r="F1279">
        <v>1</v>
      </c>
      <c r="G1279">
        <v>43</v>
      </c>
      <c r="H1279" s="2">
        <v>44252.006307870368</v>
      </c>
    </row>
    <row r="1280" spans="1:8" ht="14.25" customHeight="1" x14ac:dyDescent="0.3">
      <c r="A1280">
        <v>1284757</v>
      </c>
      <c r="B1280" t="e">
        <f>- no internet conncetion</f>
        <v>#NAME?</v>
      </c>
      <c r="C1280" s="1" t="s">
        <v>6163</v>
      </c>
      <c r="D1280" t="s">
        <v>11</v>
      </c>
      <c r="E1280">
        <v>2</v>
      </c>
      <c r="F1280">
        <v>2</v>
      </c>
      <c r="G1280">
        <v>41</v>
      </c>
      <c r="H1280" s="2">
        <v>44252.008645833332</v>
      </c>
    </row>
    <row r="1281" spans="1:8" ht="14.25" customHeight="1" x14ac:dyDescent="0.3">
      <c r="A1281">
        <v>1283697</v>
      </c>
      <c r="B1281" t="e">
        <f>- timeclock set up issue</f>
        <v>#NAME?</v>
      </c>
      <c r="C1281" s="1" t="s">
        <v>6164</v>
      </c>
      <c r="D1281" t="s">
        <v>11</v>
      </c>
      <c r="E1281">
        <v>1</v>
      </c>
      <c r="F1281">
        <v>2</v>
      </c>
      <c r="G1281">
        <v>41</v>
      </c>
      <c r="H1281" s="2">
        <v>44252.009120370371</v>
      </c>
    </row>
    <row r="1282" spans="1:8" ht="14.25" customHeight="1" x14ac:dyDescent="0.3">
      <c r="A1282">
        <v>1347562</v>
      </c>
      <c r="B1282" t="e">
        <f>- shoretel installation</f>
        <v>#NAME?</v>
      </c>
      <c r="C1282" s="1" t="s">
        <v>6165</v>
      </c>
      <c r="D1282" t="s">
        <v>11</v>
      </c>
      <c r="E1282">
        <v>2</v>
      </c>
      <c r="F1282">
        <v>2</v>
      </c>
      <c r="G1282">
        <v>43</v>
      </c>
      <c r="H1282" s="2">
        <v>44252.009675925925</v>
      </c>
    </row>
    <row r="1283" spans="1:8" ht="14.25" customHeight="1" x14ac:dyDescent="0.3">
      <c r="A1283">
        <v>1284825</v>
      </c>
      <c r="B1283" t="s">
        <v>6166</v>
      </c>
      <c r="C1283" s="1" t="s">
        <v>6167</v>
      </c>
      <c r="D1283" t="s">
        <v>11</v>
      </c>
      <c r="E1283">
        <v>2</v>
      </c>
      <c r="F1283">
        <v>2</v>
      </c>
      <c r="G1283">
        <v>41</v>
      </c>
      <c r="H1283" s="2">
        <v>44252.010277777779</v>
      </c>
    </row>
    <row r="1284" spans="1:8" ht="14.25" customHeight="1" x14ac:dyDescent="0.3">
      <c r="A1284">
        <v>1280836</v>
      </c>
      <c r="B1284" t="s">
        <v>4831</v>
      </c>
      <c r="C1284" t="s">
        <v>4832</v>
      </c>
      <c r="D1284" t="s">
        <v>1158</v>
      </c>
      <c r="E1284">
        <v>1</v>
      </c>
      <c r="F1284">
        <v>1</v>
      </c>
      <c r="G1284">
        <v>36</v>
      </c>
      <c r="H1284" s="2">
        <v>44252.010578703703</v>
      </c>
    </row>
    <row r="1285" spans="1:8" ht="14.25" customHeight="1" x14ac:dyDescent="0.3">
      <c r="A1285">
        <v>1288119</v>
      </c>
      <c r="B1285" t="s">
        <v>6168</v>
      </c>
      <c r="C1285" s="1" t="s">
        <v>6169</v>
      </c>
      <c r="D1285" t="s">
        <v>24</v>
      </c>
      <c r="E1285">
        <v>1</v>
      </c>
      <c r="F1285">
        <v>1</v>
      </c>
      <c r="G1285">
        <v>41</v>
      </c>
      <c r="H1285" s="2">
        <v>44252.011932870373</v>
      </c>
    </row>
    <row r="1286" spans="1:8" ht="14.25" customHeight="1" x14ac:dyDescent="0.3">
      <c r="A1286">
        <v>1347941</v>
      </c>
      <c r="B1286" t="s">
        <v>4856</v>
      </c>
      <c r="C1286" t="s">
        <v>4857</v>
      </c>
      <c r="D1286" t="s">
        <v>1158</v>
      </c>
      <c r="E1286">
        <v>1</v>
      </c>
      <c r="F1286">
        <v>1</v>
      </c>
      <c r="G1286">
        <v>36</v>
      </c>
      <c r="H1286" s="2">
        <v>44252.012083333335</v>
      </c>
    </row>
    <row r="1287" spans="1:8" ht="14.25" customHeight="1" x14ac:dyDescent="0.3">
      <c r="A1287">
        <v>1285439</v>
      </c>
      <c r="B1287" t="s">
        <v>6170</v>
      </c>
      <c r="C1287" s="1" t="s">
        <v>6171</v>
      </c>
      <c r="D1287" t="s">
        <v>24</v>
      </c>
      <c r="E1287">
        <v>2</v>
      </c>
      <c r="F1287">
        <v>3</v>
      </c>
      <c r="G1287">
        <v>43</v>
      </c>
      <c r="H1287" s="2">
        <v>44252.013136574074</v>
      </c>
    </row>
    <row r="1288" spans="1:8" ht="14.25" customHeight="1" x14ac:dyDescent="0.3">
      <c r="A1288">
        <v>1279947</v>
      </c>
      <c r="B1288" t="e">
        <f>- carya - agm on-site assistance</f>
        <v>#NAME?</v>
      </c>
      <c r="C1288" s="1" t="s">
        <v>6172</v>
      </c>
      <c r="D1288" t="s">
        <v>24</v>
      </c>
      <c r="E1288">
        <v>2</v>
      </c>
      <c r="F1288">
        <v>1</v>
      </c>
      <c r="G1288">
        <v>43</v>
      </c>
      <c r="H1288" s="2">
        <v>44252.013807870368</v>
      </c>
    </row>
    <row r="1289" spans="1:8" ht="14.25" customHeight="1" x14ac:dyDescent="0.3">
      <c r="A1289">
        <v>1293251</v>
      </c>
      <c r="B1289" t="e">
        <f>- virus notification keeps showing up</f>
        <v>#NAME?</v>
      </c>
      <c r="C1289" s="1" t="s">
        <v>6173</v>
      </c>
      <c r="D1289" t="s">
        <v>11</v>
      </c>
      <c r="E1289">
        <v>1</v>
      </c>
      <c r="F1289">
        <v>1</v>
      </c>
      <c r="G1289">
        <v>41</v>
      </c>
      <c r="H1289" s="2">
        <v>44252.014189814814</v>
      </c>
    </row>
    <row r="1290" spans="1:8" ht="14.25" customHeight="1" x14ac:dyDescent="0.3">
      <c r="A1290">
        <v>1280104</v>
      </c>
      <c r="B1290" t="s">
        <v>6174</v>
      </c>
      <c r="C1290" s="1" t="s">
        <v>6175</v>
      </c>
      <c r="D1290" t="s">
        <v>11</v>
      </c>
      <c r="E1290">
        <v>1</v>
      </c>
      <c r="F1290">
        <v>1</v>
      </c>
      <c r="G1290">
        <v>41</v>
      </c>
      <c r="H1290" s="2">
        <v>44252.014444444445</v>
      </c>
    </row>
    <row r="1291" spans="1:8" ht="14.25" customHeight="1" x14ac:dyDescent="0.3">
      <c r="A1291">
        <v>1280557</v>
      </c>
      <c r="B1291" t="s">
        <v>6176</v>
      </c>
      <c r="C1291" s="1" t="s">
        <v>6177</v>
      </c>
      <c r="D1291" t="s">
        <v>11</v>
      </c>
      <c r="E1291">
        <v>1</v>
      </c>
      <c r="F1291">
        <v>2</v>
      </c>
      <c r="G1291">
        <v>41</v>
      </c>
      <c r="H1291" s="2">
        <v>44252.015127314815</v>
      </c>
    </row>
    <row r="1292" spans="1:8" ht="14.25" customHeight="1" x14ac:dyDescent="0.3">
      <c r="A1292">
        <v>1280464</v>
      </c>
      <c r="B1292" t="s">
        <v>6178</v>
      </c>
      <c r="C1292" s="1" t="s">
        <v>6179</v>
      </c>
      <c r="D1292" t="s">
        <v>11</v>
      </c>
      <c r="E1292">
        <v>2</v>
      </c>
      <c r="F1292">
        <v>3</v>
      </c>
      <c r="G1292">
        <v>41</v>
      </c>
      <c r="H1292" s="2">
        <v>44252.015532407408</v>
      </c>
    </row>
    <row r="1293" spans="1:8" ht="14.25" customHeight="1" x14ac:dyDescent="0.3">
      <c r="A1293">
        <v>1279818</v>
      </c>
      <c r="B1293" t="s">
        <v>6180</v>
      </c>
      <c r="C1293" s="1" t="s">
        <v>6181</v>
      </c>
      <c r="D1293" t="s">
        <v>11</v>
      </c>
      <c r="E1293">
        <v>1</v>
      </c>
      <c r="F1293">
        <v>3</v>
      </c>
      <c r="G1293">
        <v>41</v>
      </c>
      <c r="H1293" s="2">
        <v>44252.015983796293</v>
      </c>
    </row>
    <row r="1294" spans="1:8" ht="14.25" customHeight="1" x14ac:dyDescent="0.3">
      <c r="A1294">
        <v>1284966</v>
      </c>
      <c r="B1294" t="s">
        <v>6182</v>
      </c>
      <c r="C1294" s="1" t="s">
        <v>6183</v>
      </c>
      <c r="D1294" t="s">
        <v>11</v>
      </c>
      <c r="E1294">
        <v>1</v>
      </c>
      <c r="F1294">
        <v>2</v>
      </c>
      <c r="G1294">
        <v>41</v>
      </c>
      <c r="H1294" s="2">
        <v>44252.017118055555</v>
      </c>
    </row>
    <row r="1295" spans="1:8" ht="14.25" customHeight="1" x14ac:dyDescent="0.3">
      <c r="A1295">
        <v>1280437</v>
      </c>
      <c r="B1295" t="e">
        <f>- not able to open main and small boardroom calendars sometimes... why?</f>
        <v>#NAME?</v>
      </c>
      <c r="C1295" s="1" t="s">
        <v>6184</v>
      </c>
      <c r="D1295" t="s">
        <v>11</v>
      </c>
      <c r="E1295">
        <v>2</v>
      </c>
      <c r="F1295">
        <v>2</v>
      </c>
      <c r="G1295">
        <v>41</v>
      </c>
      <c r="H1295" s="2">
        <v>44252.01766203704</v>
      </c>
    </row>
    <row r="1296" spans="1:8" ht="14.25" customHeight="1" x14ac:dyDescent="0.3">
      <c r="A1296">
        <v>1279738</v>
      </c>
      <c r="B1296" t="e">
        <f>- adding more people to acccess team ccs shared mailbox</f>
        <v>#NAME?</v>
      </c>
      <c r="C1296" s="1" t="s">
        <v>6185</v>
      </c>
      <c r="D1296" t="s">
        <v>24</v>
      </c>
      <c r="E1296">
        <v>2</v>
      </c>
      <c r="F1296">
        <v>2</v>
      </c>
      <c r="G1296">
        <v>43</v>
      </c>
      <c r="H1296" s="2">
        <v>44252.018796296295</v>
      </c>
    </row>
    <row r="1297" spans="1:8" ht="14.25" customHeight="1" x14ac:dyDescent="0.3">
      <c r="A1297">
        <v>1281486</v>
      </c>
      <c r="B1297" t="e">
        <f>- blockage of emails</f>
        <v>#NAME?</v>
      </c>
      <c r="C1297" s="1" t="s">
        <v>6186</v>
      </c>
      <c r="D1297" t="s">
        <v>24</v>
      </c>
      <c r="E1297">
        <v>2</v>
      </c>
      <c r="F1297">
        <v>2</v>
      </c>
      <c r="G1297">
        <v>41</v>
      </c>
      <c r="H1297" s="2">
        <v>44252.019270833334</v>
      </c>
    </row>
    <row r="1298" spans="1:8" ht="14.25" customHeight="1" x14ac:dyDescent="0.3">
      <c r="A1298">
        <v>1277266</v>
      </c>
      <c r="B1298" t="s">
        <v>6187</v>
      </c>
      <c r="C1298" t="s">
        <v>6188</v>
      </c>
      <c r="D1298" t="s">
        <v>11</v>
      </c>
      <c r="E1298">
        <v>1</v>
      </c>
      <c r="F1298">
        <v>2</v>
      </c>
      <c r="G1298">
        <v>43</v>
      </c>
      <c r="H1298" s="2">
        <v>44252.020138888889</v>
      </c>
    </row>
    <row r="1299" spans="1:8" ht="14.25" customHeight="1" x14ac:dyDescent="0.3">
      <c r="A1299">
        <v>1283677</v>
      </c>
      <c r="B1299" t="s">
        <v>6189</v>
      </c>
      <c r="C1299" s="1" t="s">
        <v>6190</v>
      </c>
      <c r="D1299" t="s">
        <v>11</v>
      </c>
      <c r="E1299">
        <v>2</v>
      </c>
      <c r="F1299">
        <v>2</v>
      </c>
      <c r="G1299">
        <v>41</v>
      </c>
      <c r="H1299" s="2">
        <v>44252.020162037035</v>
      </c>
    </row>
    <row r="1300" spans="1:8" ht="14.25" customHeight="1" x14ac:dyDescent="0.3">
      <c r="A1300">
        <v>1279841</v>
      </c>
      <c r="B1300" t="s">
        <v>6191</v>
      </c>
      <c r="C1300" s="1" t="s">
        <v>6192</v>
      </c>
      <c r="D1300" t="s">
        <v>11</v>
      </c>
      <c r="E1300">
        <v>2</v>
      </c>
      <c r="F1300">
        <v>1</v>
      </c>
      <c r="G1300">
        <v>43</v>
      </c>
      <c r="H1300" s="2">
        <v>44252.020983796298</v>
      </c>
    </row>
    <row r="1301" spans="1:8" ht="14.25" customHeight="1" x14ac:dyDescent="0.3">
      <c r="A1301">
        <v>1281516</v>
      </c>
      <c r="B1301" t="e">
        <f>- time clock issues</f>
        <v>#NAME?</v>
      </c>
      <c r="C1301" s="1" t="s">
        <v>6193</v>
      </c>
      <c r="D1301" t="s">
        <v>11</v>
      </c>
      <c r="E1301">
        <v>3</v>
      </c>
      <c r="F1301">
        <v>2</v>
      </c>
      <c r="G1301">
        <v>41</v>
      </c>
      <c r="H1301" s="2">
        <v>44252.021481481483</v>
      </c>
    </row>
    <row r="1302" spans="1:8" ht="14.25" customHeight="1" x14ac:dyDescent="0.3">
      <c r="A1302">
        <v>1276862</v>
      </c>
      <c r="B1302" t="s">
        <v>6194</v>
      </c>
      <c r="C1302" s="1" t="s">
        <v>6195</v>
      </c>
      <c r="D1302" t="s">
        <v>11</v>
      </c>
      <c r="E1302">
        <v>2</v>
      </c>
      <c r="F1302">
        <v>3</v>
      </c>
      <c r="G1302">
        <v>41</v>
      </c>
      <c r="H1302" s="2">
        <v>44252.022766203707</v>
      </c>
    </row>
    <row r="1303" spans="1:8" ht="14.25" customHeight="1" x14ac:dyDescent="0.3">
      <c r="A1303">
        <v>1276907</v>
      </c>
      <c r="B1303" t="s">
        <v>6196</v>
      </c>
      <c r="C1303" s="1" t="s">
        <v>6197</v>
      </c>
      <c r="D1303" t="s">
        <v>11</v>
      </c>
      <c r="E1303">
        <v>2</v>
      </c>
      <c r="F1303">
        <v>2</v>
      </c>
      <c r="G1303">
        <v>41</v>
      </c>
      <c r="H1303" s="2">
        <v>44252.024085648147</v>
      </c>
    </row>
    <row r="1304" spans="1:8" ht="14.25" customHeight="1" x14ac:dyDescent="0.3">
      <c r="A1304">
        <v>1285632</v>
      </c>
      <c r="B1304" t="s">
        <v>6198</v>
      </c>
      <c r="C1304" s="1" t="s">
        <v>6199</v>
      </c>
      <c r="D1304" t="s">
        <v>24</v>
      </c>
      <c r="E1304">
        <v>3</v>
      </c>
      <c r="F1304">
        <v>2</v>
      </c>
      <c r="G1304">
        <v>41</v>
      </c>
      <c r="H1304" s="2">
        <v>44252.024884259263</v>
      </c>
    </row>
    <row r="1305" spans="1:8" ht="14.25" customHeight="1" x14ac:dyDescent="0.3">
      <c r="A1305">
        <v>1287408</v>
      </c>
      <c r="B1305" t="s">
        <v>6200</v>
      </c>
      <c r="C1305" s="1" t="s">
        <v>6201</v>
      </c>
      <c r="D1305" t="s">
        <v>24</v>
      </c>
      <c r="E1305">
        <v>3</v>
      </c>
      <c r="F1305">
        <v>2</v>
      </c>
      <c r="G1305">
        <v>43</v>
      </c>
      <c r="H1305" s="2">
        <v>44252.089328703703</v>
      </c>
    </row>
    <row r="1306" spans="1:8" ht="14.25" customHeight="1" x14ac:dyDescent="0.3">
      <c r="A1306">
        <v>1276279</v>
      </c>
      <c r="B1306" t="s">
        <v>6202</v>
      </c>
      <c r="C1306" s="1" t="s">
        <v>6203</v>
      </c>
      <c r="D1306" t="s">
        <v>11</v>
      </c>
      <c r="E1306">
        <v>3</v>
      </c>
      <c r="F1306">
        <v>3</v>
      </c>
      <c r="G1306">
        <v>41</v>
      </c>
      <c r="H1306" s="2">
        <v>44252.091481481482</v>
      </c>
    </row>
    <row r="1307" spans="1:8" ht="14.25" customHeight="1" x14ac:dyDescent="0.3">
      <c r="A1307">
        <v>1278855</v>
      </c>
      <c r="B1307" t="e">
        <f>- no internet</f>
        <v>#NAME?</v>
      </c>
      <c r="C1307" s="1" t="s">
        <v>6204</v>
      </c>
      <c r="D1307" t="s">
        <v>11</v>
      </c>
      <c r="E1307">
        <v>3</v>
      </c>
      <c r="F1307">
        <v>3</v>
      </c>
      <c r="G1307">
        <v>41</v>
      </c>
      <c r="H1307" s="2">
        <v>44252.09207175926</v>
      </c>
    </row>
    <row r="1308" spans="1:8" ht="14.25" customHeight="1" x14ac:dyDescent="0.3">
      <c r="A1308">
        <v>1277553</v>
      </c>
      <c r="B1308" t="s">
        <v>6205</v>
      </c>
      <c r="C1308" s="1" t="s">
        <v>6206</v>
      </c>
      <c r="D1308" t="s">
        <v>24</v>
      </c>
      <c r="E1308">
        <v>3</v>
      </c>
      <c r="F1308">
        <v>1</v>
      </c>
      <c r="G1308">
        <v>43</v>
      </c>
      <c r="H1308" s="2">
        <v>44252.098819444444</v>
      </c>
    </row>
    <row r="1309" spans="1:8" ht="14.25" customHeight="1" x14ac:dyDescent="0.3">
      <c r="A1309">
        <v>1275473</v>
      </c>
      <c r="B1309" t="e">
        <f>- internet blocking</f>
        <v>#NAME?</v>
      </c>
      <c r="C1309" s="1" t="s">
        <v>6207</v>
      </c>
      <c r="D1309" t="s">
        <v>11</v>
      </c>
      <c r="E1309">
        <v>3</v>
      </c>
      <c r="F1309">
        <v>2</v>
      </c>
      <c r="G1309">
        <v>41</v>
      </c>
      <c r="H1309" s="2">
        <v>44252.099872685183</v>
      </c>
    </row>
    <row r="1310" spans="1:8" ht="14.25" customHeight="1" x14ac:dyDescent="0.3">
      <c r="A1310">
        <v>1279886</v>
      </c>
      <c r="B1310" t="s">
        <v>6208</v>
      </c>
      <c r="C1310" s="1" t="s">
        <v>6209</v>
      </c>
      <c r="D1310" t="s">
        <v>11</v>
      </c>
      <c r="E1310">
        <v>2</v>
      </c>
      <c r="F1310">
        <v>3</v>
      </c>
      <c r="G1310">
        <v>41</v>
      </c>
      <c r="H1310" s="2">
        <v>44252.129050925927</v>
      </c>
    </row>
    <row r="1311" spans="1:8" ht="14.25" customHeight="1" x14ac:dyDescent="0.3">
      <c r="A1311">
        <v>1283788</v>
      </c>
      <c r="B1311" t="s">
        <v>6210</v>
      </c>
      <c r="C1311" s="1" t="s">
        <v>6211</v>
      </c>
      <c r="D1311" t="s">
        <v>11</v>
      </c>
      <c r="E1311">
        <v>1</v>
      </c>
      <c r="F1311">
        <v>2</v>
      </c>
      <c r="G1311">
        <v>41</v>
      </c>
      <c r="H1311" s="2">
        <v>44252.143148148149</v>
      </c>
    </row>
    <row r="1312" spans="1:8" ht="14.25" customHeight="1" x14ac:dyDescent="0.3">
      <c r="A1312">
        <v>1279930</v>
      </c>
      <c r="B1312" t="e">
        <f>- spencer - triage merged tickets stay on triage</f>
        <v>#NAME?</v>
      </c>
      <c r="C1312" s="1" t="s">
        <v>6212</v>
      </c>
      <c r="D1312" t="s">
        <v>24</v>
      </c>
      <c r="E1312">
        <v>2</v>
      </c>
      <c r="F1312">
        <v>2</v>
      </c>
      <c r="G1312">
        <v>43</v>
      </c>
      <c r="H1312" s="2">
        <v>44252.16479166667</v>
      </c>
    </row>
    <row r="1313" spans="1:8" ht="14.25" customHeight="1" x14ac:dyDescent="0.3">
      <c r="A1313">
        <v>1278286</v>
      </c>
      <c r="B1313" t="s">
        <v>6213</v>
      </c>
      <c r="C1313" s="1" t="s">
        <v>6214</v>
      </c>
      <c r="D1313" t="s">
        <v>24</v>
      </c>
      <c r="E1313">
        <v>2</v>
      </c>
      <c r="F1313">
        <v>1</v>
      </c>
      <c r="G1313">
        <v>43</v>
      </c>
      <c r="H1313" s="2">
        <v>44252.622719907406</v>
      </c>
    </row>
    <row r="1314" spans="1:8" ht="14.25" customHeight="1" x14ac:dyDescent="0.3">
      <c r="A1314">
        <v>1276822</v>
      </c>
      <c r="B1314" t="e">
        <f>- adobe pro licenses</f>
        <v>#NAME?</v>
      </c>
      <c r="C1314" s="1" t="s">
        <v>6215</v>
      </c>
      <c r="D1314" t="s">
        <v>11</v>
      </c>
      <c r="E1314">
        <v>1</v>
      </c>
      <c r="F1314">
        <v>2</v>
      </c>
      <c r="G1314">
        <v>43</v>
      </c>
      <c r="H1314" s="2">
        <v>44252.622812499998</v>
      </c>
    </row>
    <row r="1315" spans="1:8" ht="14.25" customHeight="1" x14ac:dyDescent="0.3">
      <c r="A1315">
        <v>1277320</v>
      </c>
      <c r="B1315" t="e">
        <f>- unable to send emails from blue link</f>
        <v>#NAME?</v>
      </c>
      <c r="C1315" s="1" t="s">
        <v>6216</v>
      </c>
      <c r="D1315" t="s">
        <v>11</v>
      </c>
      <c r="E1315">
        <v>2</v>
      </c>
      <c r="F1315">
        <v>2</v>
      </c>
      <c r="G1315">
        <v>41</v>
      </c>
      <c r="H1315" s="2">
        <v>44252.623032407406</v>
      </c>
    </row>
    <row r="1316" spans="1:8" ht="14.25" customHeight="1" x14ac:dyDescent="0.3">
      <c r="A1316">
        <v>1276220</v>
      </c>
      <c r="B1316" t="s">
        <v>6217</v>
      </c>
      <c r="C1316" s="1" t="s">
        <v>6218</v>
      </c>
      <c r="D1316" t="s">
        <v>24</v>
      </c>
      <c r="E1316">
        <v>2</v>
      </c>
      <c r="F1316">
        <v>2</v>
      </c>
      <c r="G1316">
        <v>41</v>
      </c>
      <c r="H1316" s="2">
        <v>44252.623449074075</v>
      </c>
    </row>
    <row r="1317" spans="1:8" ht="14.25" customHeight="1" x14ac:dyDescent="0.3">
      <c r="A1317">
        <v>1276810</v>
      </c>
      <c r="B1317" t="s">
        <v>6219</v>
      </c>
      <c r="C1317" s="1" t="s">
        <v>6220</v>
      </c>
      <c r="D1317" t="s">
        <v>11</v>
      </c>
      <c r="E1317">
        <v>2</v>
      </c>
      <c r="F1317">
        <v>3</v>
      </c>
      <c r="G1317">
        <v>41</v>
      </c>
      <c r="H1317" s="2">
        <v>44252.623645833337</v>
      </c>
    </row>
    <row r="1318" spans="1:8" ht="14.25" customHeight="1" x14ac:dyDescent="0.3">
      <c r="A1318">
        <v>1276267</v>
      </c>
      <c r="B1318" t="s">
        <v>6221</v>
      </c>
      <c r="C1318" s="1" t="s">
        <v>6222</v>
      </c>
      <c r="D1318" t="s">
        <v>11</v>
      </c>
      <c r="E1318">
        <v>3</v>
      </c>
      <c r="F1318">
        <v>3</v>
      </c>
      <c r="G1318">
        <v>43</v>
      </c>
      <c r="H1318" s="2">
        <v>44252.623900462961</v>
      </c>
    </row>
    <row r="1319" spans="1:8" ht="14.25" customHeight="1" x14ac:dyDescent="0.3">
      <c r="A1319">
        <v>1280559</v>
      </c>
      <c r="B1319" t="e">
        <f>- carya rds cloud backup</f>
        <v>#NAME?</v>
      </c>
      <c r="C1319" s="1" t="s">
        <v>6223</v>
      </c>
      <c r="D1319" t="s">
        <v>24</v>
      </c>
      <c r="E1319">
        <v>3</v>
      </c>
      <c r="F1319">
        <v>1</v>
      </c>
      <c r="G1319">
        <v>43</v>
      </c>
      <c r="H1319" s="2">
        <v>44252.624432870369</v>
      </c>
    </row>
    <row r="1320" spans="1:8" ht="14.25" customHeight="1" x14ac:dyDescent="0.3">
      <c r="A1320">
        <v>1273807</v>
      </c>
      <c r="B1320" t="s">
        <v>6224</v>
      </c>
      <c r="C1320" s="1" t="s">
        <v>6225</v>
      </c>
      <c r="D1320" t="s">
        <v>11</v>
      </c>
      <c r="E1320">
        <v>3</v>
      </c>
      <c r="F1320">
        <v>1</v>
      </c>
      <c r="G1320">
        <v>43</v>
      </c>
      <c r="H1320" s="2">
        <v>44252.624699074076</v>
      </c>
    </row>
    <row r="1321" spans="1:8" ht="14.25" customHeight="1" x14ac:dyDescent="0.3">
      <c r="A1321">
        <v>1347548</v>
      </c>
      <c r="B1321" t="e">
        <f>- field law documentation</f>
        <v>#NAME?</v>
      </c>
      <c r="C1321" s="1" t="s">
        <v>6226</v>
      </c>
      <c r="D1321" t="s">
        <v>24</v>
      </c>
      <c r="E1321">
        <v>1</v>
      </c>
      <c r="F1321">
        <v>1</v>
      </c>
      <c r="G1321">
        <v>43</v>
      </c>
      <c r="H1321" s="2">
        <v>44252.624895833331</v>
      </c>
    </row>
    <row r="1322" spans="1:8" ht="14.25" customHeight="1" x14ac:dyDescent="0.3">
      <c r="A1322">
        <v>1276158</v>
      </c>
      <c r="B1322" t="s">
        <v>6227</v>
      </c>
      <c r="C1322" s="1" t="s">
        <v>6228</v>
      </c>
      <c r="D1322" t="s">
        <v>11</v>
      </c>
      <c r="E1322">
        <v>1</v>
      </c>
      <c r="F1322">
        <v>2</v>
      </c>
      <c r="G1322">
        <v>41</v>
      </c>
      <c r="H1322" s="2">
        <v>44252.625104166669</v>
      </c>
    </row>
    <row r="1323" spans="1:8" ht="14.25" customHeight="1" x14ac:dyDescent="0.3">
      <c r="A1323">
        <v>1276920</v>
      </c>
      <c r="B1323" t="s">
        <v>6229</v>
      </c>
      <c r="C1323" s="1" t="s">
        <v>6230</v>
      </c>
      <c r="D1323" t="s">
        <v>11</v>
      </c>
      <c r="E1323">
        <v>1</v>
      </c>
      <c r="F1323">
        <v>1</v>
      </c>
      <c r="G1323">
        <v>41</v>
      </c>
      <c r="H1323" s="2">
        <v>44252.625509259262</v>
      </c>
    </row>
    <row r="1324" spans="1:8" ht="14.25" customHeight="1" x14ac:dyDescent="0.3">
      <c r="A1324">
        <v>1348311</v>
      </c>
      <c r="B1324" t="s">
        <v>4856</v>
      </c>
      <c r="C1324" t="s">
        <v>4857</v>
      </c>
      <c r="D1324" t="s">
        <v>1158</v>
      </c>
      <c r="E1324">
        <v>1</v>
      </c>
      <c r="F1324">
        <v>1</v>
      </c>
      <c r="G1324">
        <v>36</v>
      </c>
      <c r="H1324" s="2">
        <v>44252.626504629632</v>
      </c>
    </row>
    <row r="1325" spans="1:8" ht="14.25" customHeight="1" x14ac:dyDescent="0.3">
      <c r="A1325">
        <v>1276794</v>
      </c>
      <c r="B1325" t="s">
        <v>6231</v>
      </c>
      <c r="C1325" t="s">
        <v>6232</v>
      </c>
      <c r="D1325" t="s">
        <v>11</v>
      </c>
      <c r="E1325">
        <v>2</v>
      </c>
      <c r="F1325">
        <v>2</v>
      </c>
      <c r="G1325">
        <v>41</v>
      </c>
      <c r="H1325" s="2">
        <v>44252.627372685187</v>
      </c>
    </row>
    <row r="1326" spans="1:8" ht="14.25" customHeight="1" x14ac:dyDescent="0.3">
      <c r="A1326">
        <v>1276835</v>
      </c>
      <c r="B1326" t="s">
        <v>6233</v>
      </c>
      <c r="C1326" s="1" t="s">
        <v>6234</v>
      </c>
      <c r="D1326" t="s">
        <v>24</v>
      </c>
      <c r="E1326">
        <v>3</v>
      </c>
      <c r="F1326">
        <v>1</v>
      </c>
      <c r="G1326">
        <v>41</v>
      </c>
      <c r="H1326" s="2">
        <v>44252.627592592595</v>
      </c>
    </row>
    <row r="1327" spans="1:8" ht="14.25" customHeight="1" x14ac:dyDescent="0.3">
      <c r="A1327">
        <v>1273790</v>
      </c>
      <c r="B1327" t="s">
        <v>6235</v>
      </c>
      <c r="C1327" s="1" t="s">
        <v>6236</v>
      </c>
      <c r="D1327" t="s">
        <v>11</v>
      </c>
      <c r="E1327">
        <v>2</v>
      </c>
      <c r="F1327">
        <v>2</v>
      </c>
      <c r="G1327">
        <v>41</v>
      </c>
      <c r="H1327" s="2">
        <v>44252.629895833335</v>
      </c>
    </row>
    <row r="1328" spans="1:8" ht="14.25" customHeight="1" x14ac:dyDescent="0.3">
      <c r="A1328">
        <v>1271904</v>
      </c>
      <c r="B1328" t="e">
        <f>- meeting invites are ending up in junk mail when sent to members.</f>
        <v>#NAME?</v>
      </c>
      <c r="C1328" s="1" t="s">
        <v>6237</v>
      </c>
      <c r="D1328" t="s">
        <v>11</v>
      </c>
      <c r="E1328">
        <v>2</v>
      </c>
      <c r="F1328">
        <v>2</v>
      </c>
      <c r="G1328">
        <v>41</v>
      </c>
      <c r="H1328" s="2">
        <v>44252.639409722222</v>
      </c>
    </row>
    <row r="1329" spans="1:8" ht="14.25" customHeight="1" x14ac:dyDescent="0.3">
      <c r="A1329">
        <v>1276999</v>
      </c>
      <c r="B1329" t="s">
        <v>6238</v>
      </c>
      <c r="C1329" s="1" t="s">
        <v>6239</v>
      </c>
      <c r="D1329" t="s">
        <v>11</v>
      </c>
      <c r="E1329">
        <v>1</v>
      </c>
      <c r="F1329">
        <v>1</v>
      </c>
      <c r="G1329">
        <v>43</v>
      </c>
      <c r="H1329" s="2">
        <v>44252.643495370372</v>
      </c>
    </row>
    <row r="1330" spans="1:8" ht="14.25" customHeight="1" x14ac:dyDescent="0.3">
      <c r="A1330">
        <v>1277440</v>
      </c>
      <c r="B1330" t="s">
        <v>6240</v>
      </c>
      <c r="C1330" s="1" t="s">
        <v>6241</v>
      </c>
      <c r="D1330" t="s">
        <v>11</v>
      </c>
      <c r="E1330">
        <v>2</v>
      </c>
      <c r="F1330">
        <v>2</v>
      </c>
      <c r="G1330">
        <v>41</v>
      </c>
      <c r="H1330" s="2">
        <v>44252.643692129626</v>
      </c>
    </row>
    <row r="1331" spans="1:8" ht="14.25" customHeight="1" x14ac:dyDescent="0.3">
      <c r="A1331">
        <v>1280428</v>
      </c>
      <c r="B1331" t="s">
        <v>6242</v>
      </c>
      <c r="C1331" s="1" t="s">
        <v>6243</v>
      </c>
      <c r="D1331" t="s">
        <v>11</v>
      </c>
      <c r="E1331">
        <v>2</v>
      </c>
      <c r="F1331">
        <v>2</v>
      </c>
      <c r="G1331">
        <v>41</v>
      </c>
      <c r="H1331" s="2">
        <v>44252.643819444442</v>
      </c>
    </row>
    <row r="1332" spans="1:8" ht="14.25" customHeight="1" x14ac:dyDescent="0.3">
      <c r="A1332">
        <v>1273269</v>
      </c>
      <c r="B1332" t="s">
        <v>6244</v>
      </c>
      <c r="C1332" s="1" t="s">
        <v>6245</v>
      </c>
      <c r="D1332" t="s">
        <v>11</v>
      </c>
      <c r="E1332">
        <v>1</v>
      </c>
      <c r="F1332">
        <v>1</v>
      </c>
      <c r="G1332">
        <v>41</v>
      </c>
      <c r="H1332" s="2">
        <v>44252.645821759259</v>
      </c>
    </row>
    <row r="1333" spans="1:8" ht="14.25" customHeight="1" x14ac:dyDescent="0.3">
      <c r="A1333">
        <v>1272391</v>
      </c>
      <c r="B1333" t="e">
        <f>- sterilization computers</f>
        <v>#NAME?</v>
      </c>
      <c r="C1333" s="1" t="s">
        <v>6246</v>
      </c>
      <c r="D1333" t="s">
        <v>24</v>
      </c>
      <c r="E1333">
        <v>2</v>
      </c>
      <c r="F1333">
        <v>2</v>
      </c>
      <c r="G1333">
        <v>41</v>
      </c>
      <c r="H1333" s="2">
        <v>44252.66070601852</v>
      </c>
    </row>
    <row r="1334" spans="1:8" ht="14.25" customHeight="1" x14ac:dyDescent="0.3">
      <c r="A1334">
        <v>1276933</v>
      </c>
      <c r="B1334" t="s">
        <v>6247</v>
      </c>
      <c r="C1334" s="1" t="s">
        <v>6248</v>
      </c>
      <c r="D1334" t="s">
        <v>11</v>
      </c>
      <c r="E1334">
        <v>2</v>
      </c>
      <c r="F1334">
        <v>2</v>
      </c>
      <c r="G1334">
        <v>43</v>
      </c>
      <c r="H1334" s="2">
        <v>44252.664247685185</v>
      </c>
    </row>
    <row r="1335" spans="1:8" ht="14.25" customHeight="1" x14ac:dyDescent="0.3">
      <c r="A1335">
        <v>1268246</v>
      </c>
      <c r="B1335" t="s">
        <v>6249</v>
      </c>
      <c r="C1335" s="1" t="s">
        <v>6250</v>
      </c>
      <c r="D1335" t="s">
        <v>11</v>
      </c>
      <c r="E1335">
        <v>2</v>
      </c>
      <c r="F1335">
        <v>2</v>
      </c>
      <c r="G1335">
        <v>41</v>
      </c>
      <c r="H1335" s="2">
        <v>44252.665995370371</v>
      </c>
    </row>
    <row r="1336" spans="1:8" ht="14.25" customHeight="1" x14ac:dyDescent="0.3">
      <c r="A1336">
        <v>1273023</v>
      </c>
      <c r="B1336" t="s">
        <v>6251</v>
      </c>
      <c r="C1336" s="1" t="s">
        <v>6252</v>
      </c>
      <c r="D1336" t="s">
        <v>11</v>
      </c>
      <c r="E1336">
        <v>3</v>
      </c>
      <c r="F1336">
        <v>2</v>
      </c>
      <c r="G1336">
        <v>41</v>
      </c>
      <c r="H1336" s="2">
        <v>44252.727442129632</v>
      </c>
    </row>
    <row r="1337" spans="1:8" ht="14.25" customHeight="1" x14ac:dyDescent="0.3">
      <c r="A1337">
        <v>1273118</v>
      </c>
      <c r="B1337" t="s">
        <v>6253</v>
      </c>
      <c r="C1337" s="1" t="s">
        <v>6254</v>
      </c>
      <c r="D1337" t="s">
        <v>11</v>
      </c>
      <c r="E1337">
        <v>3</v>
      </c>
      <c r="F1337">
        <v>3</v>
      </c>
      <c r="G1337">
        <v>41</v>
      </c>
      <c r="H1337" s="2">
        <v>44252.732141203705</v>
      </c>
    </row>
    <row r="1338" spans="1:8" ht="14.25" customHeight="1" x14ac:dyDescent="0.3">
      <c r="A1338">
        <v>1265432</v>
      </c>
      <c r="B1338" t="s">
        <v>6255</v>
      </c>
      <c r="C1338" s="1" t="s">
        <v>6256</v>
      </c>
      <c r="D1338" t="s">
        <v>11</v>
      </c>
      <c r="E1338">
        <v>2</v>
      </c>
      <c r="F1338">
        <v>2</v>
      </c>
      <c r="G1338">
        <v>41</v>
      </c>
      <c r="H1338" s="2">
        <v>44252.732662037037</v>
      </c>
    </row>
    <row r="1339" spans="1:8" ht="14.25" customHeight="1" x14ac:dyDescent="0.3">
      <c r="A1339">
        <v>1262921</v>
      </c>
      <c r="B1339" t="s">
        <v>6257</v>
      </c>
      <c r="C1339" t="s">
        <v>6258</v>
      </c>
      <c r="D1339" t="s">
        <v>11</v>
      </c>
      <c r="E1339">
        <v>2</v>
      </c>
      <c r="F1339">
        <v>2</v>
      </c>
      <c r="G1339">
        <v>41</v>
      </c>
      <c r="H1339" s="2">
        <v>44252.732777777775</v>
      </c>
    </row>
    <row r="1340" spans="1:8" ht="14.25" customHeight="1" x14ac:dyDescent="0.3">
      <c r="A1340">
        <v>1263580</v>
      </c>
      <c r="B1340" t="s">
        <v>6259</v>
      </c>
      <c r="C1340" s="1" t="s">
        <v>6260</v>
      </c>
      <c r="D1340" t="s">
        <v>11</v>
      </c>
      <c r="E1340">
        <v>2</v>
      </c>
      <c r="F1340">
        <v>3</v>
      </c>
      <c r="G1340">
        <v>41</v>
      </c>
      <c r="H1340" s="2">
        <v>44252.732905092591</v>
      </c>
    </row>
    <row r="1341" spans="1:8" ht="14.25" customHeight="1" x14ac:dyDescent="0.3">
      <c r="A1341">
        <v>1262880</v>
      </c>
      <c r="B1341" t="s">
        <v>6261</v>
      </c>
      <c r="C1341" s="1" t="s">
        <v>6262</v>
      </c>
      <c r="D1341" t="s">
        <v>11</v>
      </c>
      <c r="E1341">
        <v>2</v>
      </c>
      <c r="F1341">
        <v>2</v>
      </c>
      <c r="G1341">
        <v>41</v>
      </c>
      <c r="H1341" s="2">
        <v>44252.734618055554</v>
      </c>
    </row>
    <row r="1342" spans="1:8" ht="14.25" customHeight="1" x14ac:dyDescent="0.3">
      <c r="A1342">
        <v>1260204</v>
      </c>
      <c r="B1342" t="e">
        <f>- spam we are receiving</f>
        <v>#NAME?</v>
      </c>
      <c r="C1342" s="1" t="s">
        <v>6263</v>
      </c>
      <c r="D1342" t="s">
        <v>24</v>
      </c>
      <c r="E1342">
        <v>1</v>
      </c>
      <c r="F1342">
        <v>1</v>
      </c>
      <c r="G1342">
        <v>41</v>
      </c>
      <c r="H1342" s="2">
        <v>44252.740115740744</v>
      </c>
    </row>
    <row r="1343" spans="1:8" ht="14.25" customHeight="1" x14ac:dyDescent="0.3">
      <c r="A1343">
        <v>1260157</v>
      </c>
      <c r="B1343" t="s">
        <v>6264</v>
      </c>
      <c r="C1343" s="1" t="s">
        <v>6265</v>
      </c>
      <c r="D1343" t="s">
        <v>11</v>
      </c>
      <c r="E1343">
        <v>2</v>
      </c>
      <c r="F1343">
        <v>2</v>
      </c>
      <c r="G1343">
        <v>41</v>
      </c>
      <c r="H1343" s="2">
        <v>44252.773993055554</v>
      </c>
    </row>
    <row r="1344" spans="1:8" ht="14.25" customHeight="1" x14ac:dyDescent="0.3">
      <c r="A1344">
        <v>1258877</v>
      </c>
      <c r="B1344" t="s">
        <v>6266</v>
      </c>
      <c r="C1344" s="1" t="s">
        <v>6267</v>
      </c>
      <c r="D1344" t="s">
        <v>24</v>
      </c>
      <c r="E1344">
        <v>2</v>
      </c>
      <c r="F1344">
        <v>2</v>
      </c>
      <c r="G1344">
        <v>43</v>
      </c>
      <c r="H1344" s="2">
        <v>44252.777430555558</v>
      </c>
    </row>
    <row r="1345" spans="1:8" ht="14.25" customHeight="1" x14ac:dyDescent="0.3">
      <c r="A1345">
        <v>1260210</v>
      </c>
      <c r="B1345" t="s">
        <v>6268</v>
      </c>
      <c r="C1345" s="1" t="s">
        <v>6269</v>
      </c>
      <c r="D1345" t="s">
        <v>11</v>
      </c>
      <c r="E1345">
        <v>2</v>
      </c>
      <c r="F1345">
        <v>2</v>
      </c>
      <c r="G1345">
        <v>41</v>
      </c>
      <c r="H1345" s="2">
        <v>44252.77853009259</v>
      </c>
    </row>
    <row r="1346" spans="1:8" ht="14.25" customHeight="1" x14ac:dyDescent="0.3">
      <c r="A1346">
        <v>1260158</v>
      </c>
      <c r="B1346" t="s">
        <v>6270</v>
      </c>
      <c r="C1346" s="1" t="s">
        <v>6271</v>
      </c>
      <c r="D1346" t="s">
        <v>11</v>
      </c>
      <c r="E1346">
        <v>2</v>
      </c>
      <c r="F1346">
        <v>2</v>
      </c>
      <c r="G1346">
        <v>43</v>
      </c>
      <c r="H1346" s="2">
        <v>44252.778657407405</v>
      </c>
    </row>
    <row r="1347" spans="1:8" ht="14.25" customHeight="1" x14ac:dyDescent="0.3">
      <c r="A1347">
        <v>1257306</v>
      </c>
      <c r="B1347" t="s">
        <v>6272</v>
      </c>
      <c r="C1347" s="1" t="s">
        <v>6273</v>
      </c>
      <c r="D1347" t="s">
        <v>11</v>
      </c>
      <c r="E1347">
        <v>2</v>
      </c>
      <c r="F1347">
        <v>2</v>
      </c>
      <c r="G1347">
        <v>43</v>
      </c>
      <c r="H1347" s="2">
        <v>44252.814722222225</v>
      </c>
    </row>
    <row r="1348" spans="1:8" ht="14.25" customHeight="1" x14ac:dyDescent="0.3">
      <c r="A1348">
        <v>1256781</v>
      </c>
      <c r="B1348" t="e">
        <f>- slow email</f>
        <v>#NAME?</v>
      </c>
      <c r="C1348" t="s">
        <v>6274</v>
      </c>
      <c r="D1348" t="s">
        <v>11</v>
      </c>
      <c r="E1348">
        <v>2</v>
      </c>
      <c r="F1348">
        <v>2</v>
      </c>
      <c r="G1348">
        <v>41</v>
      </c>
      <c r="H1348" s="2">
        <v>44252.820428240739</v>
      </c>
    </row>
    <row r="1349" spans="1:8" ht="14.25" customHeight="1" x14ac:dyDescent="0.3">
      <c r="A1349">
        <v>1256114</v>
      </c>
      <c r="B1349" t="s">
        <v>6275</v>
      </c>
      <c r="C1349" s="1" t="s">
        <v>6276</v>
      </c>
      <c r="D1349" t="s">
        <v>24</v>
      </c>
      <c r="E1349">
        <v>3</v>
      </c>
      <c r="F1349">
        <v>3</v>
      </c>
      <c r="G1349">
        <v>41</v>
      </c>
      <c r="H1349" s="2">
        <v>44252.821782407409</v>
      </c>
    </row>
    <row r="1350" spans="1:8" ht="14.25" customHeight="1" x14ac:dyDescent="0.3">
      <c r="A1350">
        <v>1255275</v>
      </c>
      <c r="B1350" t="s">
        <v>6277</v>
      </c>
      <c r="C1350" s="1" t="s">
        <v>6278</v>
      </c>
      <c r="D1350" t="s">
        <v>11</v>
      </c>
      <c r="E1350">
        <v>2</v>
      </c>
      <c r="F1350">
        <v>2</v>
      </c>
      <c r="G1350">
        <v>41</v>
      </c>
      <c r="H1350" s="2">
        <v>44252.823020833333</v>
      </c>
    </row>
    <row r="1351" spans="1:8" ht="14.25" customHeight="1" x14ac:dyDescent="0.3">
      <c r="A1351">
        <v>1251311</v>
      </c>
      <c r="B1351" t="s">
        <v>6279</v>
      </c>
      <c r="C1351" s="1" t="s">
        <v>6280</v>
      </c>
      <c r="D1351" t="s">
        <v>11</v>
      </c>
      <c r="E1351">
        <v>3</v>
      </c>
      <c r="F1351">
        <v>2</v>
      </c>
      <c r="G1351">
        <v>41</v>
      </c>
      <c r="H1351" s="2">
        <v>44252.829328703701</v>
      </c>
    </row>
    <row r="1352" spans="1:8" ht="14.25" customHeight="1" x14ac:dyDescent="0.3">
      <c r="A1352">
        <v>1251382</v>
      </c>
      <c r="B1352" t="s">
        <v>6281</v>
      </c>
      <c r="C1352" t="s">
        <v>6282</v>
      </c>
      <c r="D1352" t="s">
        <v>11</v>
      </c>
      <c r="E1352">
        <v>2</v>
      </c>
      <c r="F1352">
        <v>2</v>
      </c>
      <c r="G1352">
        <v>41</v>
      </c>
      <c r="H1352" s="2">
        <v>44252.829421296294</v>
      </c>
    </row>
    <row r="1353" spans="1:8" ht="14.25" customHeight="1" x14ac:dyDescent="0.3">
      <c r="A1353">
        <v>1249439</v>
      </c>
      <c r="B1353" t="s">
        <v>6283</v>
      </c>
      <c r="C1353" s="1" t="s">
        <v>6284</v>
      </c>
      <c r="D1353" t="s">
        <v>11</v>
      </c>
      <c r="E1353">
        <v>2</v>
      </c>
      <c r="F1353">
        <v>2</v>
      </c>
      <c r="G1353">
        <v>43</v>
      </c>
      <c r="H1353" s="2">
        <v>44252.829942129632</v>
      </c>
    </row>
    <row r="1354" spans="1:8" ht="14.25" customHeight="1" x14ac:dyDescent="0.3">
      <c r="A1354">
        <v>1272618</v>
      </c>
      <c r="B1354" t="s">
        <v>6285</v>
      </c>
      <c r="C1354" s="1" t="s">
        <v>6286</v>
      </c>
      <c r="D1354" t="s">
        <v>24</v>
      </c>
      <c r="E1354">
        <v>3</v>
      </c>
      <c r="F1354">
        <v>1</v>
      </c>
      <c r="G1354">
        <v>43</v>
      </c>
      <c r="H1354" s="2">
        <v>44252.854016203702</v>
      </c>
    </row>
    <row r="1355" spans="1:8" ht="14.25" customHeight="1" x14ac:dyDescent="0.3">
      <c r="A1355">
        <v>1287670</v>
      </c>
      <c r="B1355" t="e">
        <f>- access to fyi</f>
        <v>#NAME?</v>
      </c>
      <c r="C1355" s="1" t="s">
        <v>6287</v>
      </c>
      <c r="D1355" t="s">
        <v>24</v>
      </c>
      <c r="E1355">
        <v>3</v>
      </c>
      <c r="F1355">
        <v>2</v>
      </c>
      <c r="G1355">
        <v>41</v>
      </c>
      <c r="H1355" s="2">
        <v>44252.855509259258</v>
      </c>
    </row>
    <row r="1356" spans="1:8" ht="14.25" customHeight="1" x14ac:dyDescent="0.3">
      <c r="A1356">
        <v>1249436</v>
      </c>
      <c r="B1356" t="s">
        <v>6288</v>
      </c>
      <c r="C1356" s="1" t="s">
        <v>6289</v>
      </c>
      <c r="D1356" t="s">
        <v>11</v>
      </c>
      <c r="E1356">
        <v>2</v>
      </c>
      <c r="F1356">
        <v>2</v>
      </c>
      <c r="G1356">
        <v>43</v>
      </c>
      <c r="H1356" s="2">
        <v>44252.858437499999</v>
      </c>
    </row>
    <row r="1357" spans="1:8" ht="14.25" customHeight="1" x14ac:dyDescent="0.3">
      <c r="A1357">
        <v>1254554</v>
      </c>
      <c r="B1357" t="s">
        <v>6290</v>
      </c>
      <c r="C1357" s="1" t="s">
        <v>6291</v>
      </c>
      <c r="D1357" t="s">
        <v>11</v>
      </c>
      <c r="E1357">
        <v>2</v>
      </c>
      <c r="F1357">
        <v>3</v>
      </c>
      <c r="G1357">
        <v>41</v>
      </c>
      <c r="H1357" s="2">
        <v>44252.866909722223</v>
      </c>
    </row>
    <row r="1358" spans="1:8" ht="14.25" customHeight="1" x14ac:dyDescent="0.3">
      <c r="A1358">
        <v>1248390</v>
      </c>
      <c r="B1358" t="e">
        <f>- opal  - update managed services proposal</f>
        <v>#NAME?</v>
      </c>
      <c r="C1358" s="1" t="s">
        <v>6292</v>
      </c>
      <c r="D1358" t="s">
        <v>24</v>
      </c>
      <c r="E1358">
        <v>2</v>
      </c>
      <c r="F1358">
        <v>2</v>
      </c>
      <c r="G1358">
        <v>43</v>
      </c>
      <c r="H1358" s="2">
        <v>44252.872939814813</v>
      </c>
    </row>
    <row r="1359" spans="1:8" ht="14.25" customHeight="1" x14ac:dyDescent="0.3">
      <c r="A1359">
        <v>1249394</v>
      </c>
      <c r="B1359" t="e">
        <f>- rdp issues</f>
        <v>#NAME?</v>
      </c>
      <c r="C1359" s="1" t="s">
        <v>6293</v>
      </c>
      <c r="D1359" t="s">
        <v>11</v>
      </c>
      <c r="E1359">
        <v>2</v>
      </c>
      <c r="F1359">
        <v>2</v>
      </c>
      <c r="G1359">
        <v>41</v>
      </c>
      <c r="H1359" s="2">
        <v>44252.873090277775</v>
      </c>
    </row>
    <row r="1360" spans="1:8" ht="14.25" customHeight="1" x14ac:dyDescent="0.3">
      <c r="A1360">
        <v>1247420</v>
      </c>
      <c r="B1360" t="e">
        <f>- rds disconnect frequently</f>
        <v>#NAME?</v>
      </c>
      <c r="C1360" s="1" t="s">
        <v>6294</v>
      </c>
      <c r="D1360" t="s">
        <v>24</v>
      </c>
      <c r="E1360">
        <v>2</v>
      </c>
      <c r="F1360">
        <v>2</v>
      </c>
      <c r="G1360">
        <v>41</v>
      </c>
      <c r="H1360" s="2">
        <v>44252.876782407409</v>
      </c>
    </row>
    <row r="1361" spans="1:8" ht="14.25" customHeight="1" x14ac:dyDescent="0.3">
      <c r="A1361">
        <v>1248216</v>
      </c>
      <c r="B1361" t="e">
        <f>- shoretel down</f>
        <v>#NAME?</v>
      </c>
      <c r="C1361" t="s">
        <v>6295</v>
      </c>
      <c r="D1361" t="s">
        <v>11</v>
      </c>
      <c r="E1361">
        <v>3</v>
      </c>
      <c r="F1361">
        <v>3</v>
      </c>
      <c r="G1361">
        <v>41</v>
      </c>
      <c r="H1361" s="2">
        <v>44252.882199074076</v>
      </c>
    </row>
    <row r="1362" spans="1:8" ht="14.25" customHeight="1" x14ac:dyDescent="0.3">
      <c r="A1362">
        <v>1347416</v>
      </c>
      <c r="B1362" t="s">
        <v>4690</v>
      </c>
      <c r="C1362" t="s">
        <v>4691</v>
      </c>
      <c r="D1362" t="s">
        <v>1158</v>
      </c>
      <c r="E1362">
        <v>1</v>
      </c>
      <c r="F1362">
        <v>1</v>
      </c>
      <c r="G1362">
        <v>36</v>
      </c>
      <c r="H1362" s="2">
        <v>44252.882268518515</v>
      </c>
    </row>
    <row r="1363" spans="1:8" ht="14.25" customHeight="1" x14ac:dyDescent="0.3">
      <c r="A1363">
        <v>1248781</v>
      </c>
      <c r="B1363" t="s">
        <v>6296</v>
      </c>
      <c r="C1363" s="1" t="s">
        <v>6297</v>
      </c>
      <c r="D1363" t="s">
        <v>11</v>
      </c>
      <c r="E1363">
        <v>2</v>
      </c>
      <c r="F1363">
        <v>2</v>
      </c>
      <c r="G1363">
        <v>41</v>
      </c>
      <c r="H1363" s="2">
        <v>44252.882488425923</v>
      </c>
    </row>
    <row r="1364" spans="1:8" ht="14.25" customHeight="1" x14ac:dyDescent="0.3">
      <c r="A1364">
        <v>1252620</v>
      </c>
      <c r="B1364" t="e">
        <f>- scanner need updating</f>
        <v>#NAME?</v>
      </c>
      <c r="C1364" s="1" t="s">
        <v>6298</v>
      </c>
      <c r="D1364" t="s">
        <v>24</v>
      </c>
      <c r="E1364">
        <v>2</v>
      </c>
      <c r="F1364">
        <v>2</v>
      </c>
      <c r="G1364">
        <v>41</v>
      </c>
      <c r="H1364" s="2">
        <v>44252.882615740738</v>
      </c>
    </row>
    <row r="1365" spans="1:8" ht="14.25" customHeight="1" x14ac:dyDescent="0.3">
      <c r="A1365">
        <v>1244113</v>
      </c>
      <c r="B1365" t="s">
        <v>6299</v>
      </c>
      <c r="C1365" s="1" t="s">
        <v>6300</v>
      </c>
      <c r="D1365" t="s">
        <v>11</v>
      </c>
      <c r="E1365">
        <v>2</v>
      </c>
      <c r="F1365">
        <v>2</v>
      </c>
      <c r="G1365">
        <v>43</v>
      </c>
      <c r="H1365" s="2">
        <v>44252.898217592592</v>
      </c>
    </row>
    <row r="1366" spans="1:8" ht="14.25" customHeight="1" x14ac:dyDescent="0.3">
      <c r="A1366">
        <v>1243400</v>
      </c>
      <c r="B1366" t="s">
        <v>6301</v>
      </c>
      <c r="C1366" s="1" t="s">
        <v>6302</v>
      </c>
      <c r="D1366" t="s">
        <v>11</v>
      </c>
      <c r="E1366">
        <v>2</v>
      </c>
      <c r="F1366">
        <v>2</v>
      </c>
      <c r="G1366">
        <v>41</v>
      </c>
      <c r="H1366" s="2">
        <v>44252.899537037039</v>
      </c>
    </row>
    <row r="1367" spans="1:8" ht="14.25" customHeight="1" x14ac:dyDescent="0.3">
      <c r="A1367">
        <v>1243531</v>
      </c>
      <c r="B1367" t="e">
        <f>- webmail login issues</f>
        <v>#NAME?</v>
      </c>
      <c r="C1367" s="1" t="s">
        <v>6303</v>
      </c>
      <c r="D1367" t="s">
        <v>11</v>
      </c>
      <c r="E1367">
        <v>2</v>
      </c>
      <c r="F1367">
        <v>2</v>
      </c>
      <c r="G1367">
        <v>41</v>
      </c>
      <c r="H1367" s="2">
        <v>44252.899814814817</v>
      </c>
    </row>
    <row r="1368" spans="1:8" ht="14.25" customHeight="1" x14ac:dyDescent="0.3">
      <c r="A1368">
        <v>1244696</v>
      </c>
      <c r="B1368" t="s">
        <v>6304</v>
      </c>
      <c r="C1368" s="1" t="s">
        <v>6305</v>
      </c>
      <c r="D1368" t="s">
        <v>11</v>
      </c>
      <c r="E1368">
        <v>2</v>
      </c>
      <c r="F1368">
        <v>2</v>
      </c>
      <c r="G1368">
        <v>41</v>
      </c>
      <c r="H1368" s="2">
        <v>44252.900439814817</v>
      </c>
    </row>
    <row r="1369" spans="1:8" ht="14.25" customHeight="1" x14ac:dyDescent="0.3">
      <c r="A1369">
        <v>1242176</v>
      </c>
      <c r="B1369" t="e">
        <f>- blue link issues</f>
        <v>#NAME?</v>
      </c>
      <c r="C1369" s="1" t="s">
        <v>6306</v>
      </c>
      <c r="D1369" t="s">
        <v>11</v>
      </c>
      <c r="E1369">
        <v>3</v>
      </c>
      <c r="F1369">
        <v>2</v>
      </c>
      <c r="G1369">
        <v>41</v>
      </c>
      <c r="H1369" s="2">
        <v>44252.901701388888</v>
      </c>
    </row>
    <row r="1370" spans="1:8" ht="14.25" customHeight="1" x14ac:dyDescent="0.3">
      <c r="A1370">
        <v>1236795</v>
      </c>
      <c r="B1370" t="s">
        <v>6307</v>
      </c>
      <c r="C1370" s="1" t="s">
        <v>6308</v>
      </c>
      <c r="D1370" t="s">
        <v>24</v>
      </c>
      <c r="E1370">
        <v>2</v>
      </c>
      <c r="F1370">
        <v>2</v>
      </c>
      <c r="G1370">
        <v>41</v>
      </c>
      <c r="H1370" s="2">
        <v>44252.904432870368</v>
      </c>
    </row>
    <row r="1371" spans="1:8" ht="14.25" customHeight="1" x14ac:dyDescent="0.3">
      <c r="A1371">
        <v>1244061</v>
      </c>
      <c r="B1371" t="s">
        <v>6309</v>
      </c>
      <c r="C1371" s="1" t="s">
        <v>6310</v>
      </c>
      <c r="D1371" t="s">
        <v>11</v>
      </c>
      <c r="E1371">
        <v>2</v>
      </c>
      <c r="F1371">
        <v>2</v>
      </c>
      <c r="G1371">
        <v>41</v>
      </c>
      <c r="H1371" s="2">
        <v>44252.905150462961</v>
      </c>
    </row>
    <row r="1372" spans="1:8" ht="14.25" customHeight="1" x14ac:dyDescent="0.3">
      <c r="A1372">
        <v>1236347</v>
      </c>
      <c r="B1372" t="s">
        <v>6311</v>
      </c>
      <c r="C1372" s="1" t="s">
        <v>6312</v>
      </c>
      <c r="D1372" t="s">
        <v>11</v>
      </c>
      <c r="E1372">
        <v>2</v>
      </c>
      <c r="F1372">
        <v>1</v>
      </c>
      <c r="G1372">
        <v>43</v>
      </c>
      <c r="H1372" s="2">
        <v>44252.913159722222</v>
      </c>
    </row>
    <row r="1373" spans="1:8" ht="14.25" customHeight="1" x14ac:dyDescent="0.3">
      <c r="A1373">
        <v>1244455</v>
      </c>
      <c r="B1373" t="s">
        <v>6313</v>
      </c>
      <c r="C1373" t="s">
        <v>6314</v>
      </c>
      <c r="D1373" t="s">
        <v>11</v>
      </c>
      <c r="E1373">
        <v>1</v>
      </c>
      <c r="F1373">
        <v>1</v>
      </c>
      <c r="G1373">
        <v>41</v>
      </c>
      <c r="H1373" s="2">
        <v>44252.913530092592</v>
      </c>
    </row>
    <row r="1374" spans="1:8" ht="14.25" customHeight="1" x14ac:dyDescent="0.3">
      <c r="A1374">
        <v>1233036</v>
      </c>
      <c r="B1374" t="s">
        <v>6315</v>
      </c>
      <c r="C1374" s="1" t="s">
        <v>6316</v>
      </c>
      <c r="D1374" t="s">
        <v>11</v>
      </c>
      <c r="E1374">
        <v>2</v>
      </c>
      <c r="F1374">
        <v>2</v>
      </c>
      <c r="G1374">
        <v>41</v>
      </c>
      <c r="H1374" s="2">
        <v>44252.917812500003</v>
      </c>
    </row>
    <row r="1375" spans="1:8" ht="14.25" customHeight="1" x14ac:dyDescent="0.3">
      <c r="A1375">
        <v>1232597</v>
      </c>
      <c r="B1375" t="e">
        <f>- poor performance on rdsvr share (projects)</f>
        <v>#NAME?</v>
      </c>
      <c r="C1375" s="1" t="s">
        <v>6317</v>
      </c>
      <c r="D1375" t="s">
        <v>11</v>
      </c>
      <c r="E1375">
        <v>2</v>
      </c>
      <c r="F1375">
        <v>2</v>
      </c>
      <c r="G1375">
        <v>41</v>
      </c>
      <c r="H1375" s="2">
        <v>44252.920092592591</v>
      </c>
    </row>
    <row r="1376" spans="1:8" ht="14.25" customHeight="1" x14ac:dyDescent="0.3">
      <c r="A1376">
        <v>1236183</v>
      </c>
      <c r="B1376" t="e">
        <f>- continued slowness</f>
        <v>#NAME?</v>
      </c>
      <c r="C1376" s="1" t="s">
        <v>6318</v>
      </c>
      <c r="D1376" t="s">
        <v>11</v>
      </c>
      <c r="E1376">
        <v>1</v>
      </c>
      <c r="F1376">
        <v>1</v>
      </c>
      <c r="G1376">
        <v>41</v>
      </c>
      <c r="H1376" s="2">
        <v>44252.920949074076</v>
      </c>
    </row>
    <row r="1377" spans="1:8" ht="14.25" customHeight="1" x14ac:dyDescent="0.3">
      <c r="A1377">
        <v>1234551</v>
      </c>
      <c r="B1377" t="s">
        <v>6319</v>
      </c>
      <c r="C1377" s="1" t="s">
        <v>6320</v>
      </c>
      <c r="D1377" t="s">
        <v>11</v>
      </c>
      <c r="E1377">
        <v>2</v>
      </c>
      <c r="F1377">
        <v>2</v>
      </c>
      <c r="G1377">
        <v>43</v>
      </c>
      <c r="H1377" s="2">
        <v>44252.922326388885</v>
      </c>
    </row>
    <row r="1378" spans="1:8" ht="14.25" customHeight="1" x14ac:dyDescent="0.3">
      <c r="A1378">
        <v>1226843</v>
      </c>
      <c r="B1378" t="e">
        <f>- new scanner for flex room</f>
        <v>#NAME?</v>
      </c>
      <c r="C1378" s="1" t="s">
        <v>6321</v>
      </c>
      <c r="D1378" t="s">
        <v>24</v>
      </c>
      <c r="E1378">
        <v>2</v>
      </c>
      <c r="F1378">
        <v>2</v>
      </c>
      <c r="G1378">
        <v>43</v>
      </c>
      <c r="H1378" s="2">
        <v>44252.953113425923</v>
      </c>
    </row>
    <row r="1379" spans="1:8" ht="14.25" customHeight="1" x14ac:dyDescent="0.3">
      <c r="A1379">
        <v>1232503</v>
      </c>
      <c r="B1379" t="s">
        <v>5202</v>
      </c>
      <c r="C1379" s="1" t="s">
        <v>6322</v>
      </c>
      <c r="D1379" t="s">
        <v>11</v>
      </c>
      <c r="E1379">
        <v>2</v>
      </c>
      <c r="F1379">
        <v>2</v>
      </c>
      <c r="G1379">
        <v>43</v>
      </c>
      <c r="H1379" s="2">
        <v>44252.953750000001</v>
      </c>
    </row>
    <row r="1380" spans="1:8" ht="14.25" customHeight="1" x14ac:dyDescent="0.3">
      <c r="A1380">
        <v>1225170</v>
      </c>
      <c r="B1380" t="s">
        <v>6323</v>
      </c>
      <c r="C1380" s="1" t="s">
        <v>6324</v>
      </c>
      <c r="D1380" t="s">
        <v>11</v>
      </c>
      <c r="E1380">
        <v>2</v>
      </c>
      <c r="F1380">
        <v>2</v>
      </c>
      <c r="G1380">
        <v>41</v>
      </c>
      <c r="H1380" s="2">
        <v>44252.962708333333</v>
      </c>
    </row>
    <row r="1381" spans="1:8" ht="14.25" customHeight="1" x14ac:dyDescent="0.3">
      <c r="A1381">
        <v>1356992</v>
      </c>
      <c r="B1381" t="s">
        <v>6325</v>
      </c>
      <c r="C1381" s="1" t="s">
        <v>6326</v>
      </c>
      <c r="D1381" t="s">
        <v>24</v>
      </c>
      <c r="E1381">
        <v>3</v>
      </c>
      <c r="F1381">
        <v>2</v>
      </c>
      <c r="G1381">
        <v>41</v>
      </c>
      <c r="H1381" s="2">
        <v>44252.970370370371</v>
      </c>
    </row>
    <row r="1382" spans="1:8" ht="14.25" customHeight="1" x14ac:dyDescent="0.3">
      <c r="A1382">
        <v>1356964</v>
      </c>
      <c r="B1382" t="s">
        <v>6327</v>
      </c>
      <c r="C1382" s="1" t="s">
        <v>6328</v>
      </c>
      <c r="D1382" t="s">
        <v>24</v>
      </c>
      <c r="E1382">
        <v>3</v>
      </c>
      <c r="F1382">
        <v>2</v>
      </c>
      <c r="G1382">
        <v>43</v>
      </c>
      <c r="H1382" s="2">
        <v>44252.970578703702</v>
      </c>
    </row>
    <row r="1383" spans="1:8" ht="14.25" customHeight="1" x14ac:dyDescent="0.3">
      <c r="A1383">
        <v>1356540</v>
      </c>
      <c r="B1383" t="e">
        <f>- disable account, catorina-amanda ryan</f>
        <v>#NAME?</v>
      </c>
      <c r="C1383" s="1" t="s">
        <v>6329</v>
      </c>
      <c r="D1383" t="s">
        <v>24</v>
      </c>
      <c r="E1383">
        <v>1</v>
      </c>
      <c r="F1383">
        <v>2</v>
      </c>
      <c r="G1383">
        <v>43</v>
      </c>
      <c r="H1383" s="2">
        <v>44252.97078703704</v>
      </c>
    </row>
    <row r="1384" spans="1:8" ht="14.25" customHeight="1" x14ac:dyDescent="0.3">
      <c r="A1384">
        <v>1356512</v>
      </c>
      <c r="B1384" t="e">
        <f>- window credentials invalid or expired</f>
        <v>#NAME?</v>
      </c>
      <c r="C1384" s="1" t="s">
        <v>6330</v>
      </c>
      <c r="D1384" t="s">
        <v>11</v>
      </c>
      <c r="E1384">
        <v>1</v>
      </c>
      <c r="F1384">
        <v>1</v>
      </c>
      <c r="G1384">
        <v>43</v>
      </c>
      <c r="H1384" s="2">
        <v>44252.971273148149</v>
      </c>
    </row>
    <row r="1385" spans="1:8" ht="14.25" customHeight="1" x14ac:dyDescent="0.3">
      <c r="A1385">
        <v>1356505</v>
      </c>
      <c r="B1385" t="s">
        <v>6331</v>
      </c>
      <c r="C1385" s="1" t="s">
        <v>6332</v>
      </c>
      <c r="D1385" t="s">
        <v>11</v>
      </c>
      <c r="E1385">
        <v>3</v>
      </c>
      <c r="F1385">
        <v>2</v>
      </c>
      <c r="G1385">
        <v>41</v>
      </c>
      <c r="H1385" s="2">
        <v>44252.971979166665</v>
      </c>
    </row>
    <row r="1386" spans="1:8" ht="14.25" customHeight="1" x14ac:dyDescent="0.3">
      <c r="A1386">
        <v>1356423</v>
      </c>
      <c r="B1386" t="e">
        <f>- domain list and expiry dates</f>
        <v>#NAME?</v>
      </c>
      <c r="C1386" s="1" t="s">
        <v>4886</v>
      </c>
      <c r="D1386" t="s">
        <v>11</v>
      </c>
      <c r="E1386">
        <v>1</v>
      </c>
      <c r="F1386">
        <v>2</v>
      </c>
      <c r="G1386">
        <v>43</v>
      </c>
      <c r="H1386" s="2">
        <v>44252.972280092596</v>
      </c>
    </row>
    <row r="1387" spans="1:8" ht="14.25" customHeight="1" x14ac:dyDescent="0.3">
      <c r="A1387">
        <v>1356326</v>
      </c>
      <c r="B1387" t="s">
        <v>6333</v>
      </c>
      <c r="C1387" s="1" t="s">
        <v>6334</v>
      </c>
      <c r="D1387" t="s">
        <v>24</v>
      </c>
      <c r="E1387">
        <v>2</v>
      </c>
      <c r="F1387">
        <v>2</v>
      </c>
      <c r="G1387">
        <v>43</v>
      </c>
      <c r="H1387" s="2">
        <v>44252.973310185182</v>
      </c>
    </row>
    <row r="1388" spans="1:8" ht="14.25" customHeight="1" x14ac:dyDescent="0.3">
      <c r="A1388">
        <v>1356269</v>
      </c>
      <c r="B1388" t="s">
        <v>6335</v>
      </c>
      <c r="C1388" s="1" t="s">
        <v>6336</v>
      </c>
      <c r="D1388" t="s">
        <v>11</v>
      </c>
      <c r="E1388">
        <v>3</v>
      </c>
      <c r="F1388">
        <v>2</v>
      </c>
      <c r="G1388">
        <v>41</v>
      </c>
      <c r="H1388" s="2">
        <v>44252.97378472222</v>
      </c>
    </row>
    <row r="1389" spans="1:8" ht="14.25" customHeight="1" x14ac:dyDescent="0.3">
      <c r="A1389">
        <v>1356200</v>
      </c>
      <c r="B1389" t="s">
        <v>5173</v>
      </c>
      <c r="C1389" t="s">
        <v>5174</v>
      </c>
      <c r="D1389" t="s">
        <v>188</v>
      </c>
      <c r="E1389">
        <v>3</v>
      </c>
      <c r="F1389">
        <v>2</v>
      </c>
      <c r="G1389">
        <v>43</v>
      </c>
      <c r="H1389" s="2">
        <v>44252.974050925928</v>
      </c>
    </row>
    <row r="1390" spans="1:8" ht="14.25" customHeight="1" x14ac:dyDescent="0.3">
      <c r="A1390">
        <v>1356175</v>
      </c>
      <c r="B1390" t="s">
        <v>4690</v>
      </c>
      <c r="C1390" t="s">
        <v>4691</v>
      </c>
      <c r="D1390" t="s">
        <v>1158</v>
      </c>
      <c r="E1390">
        <v>2</v>
      </c>
      <c r="F1390">
        <v>2</v>
      </c>
      <c r="G1390">
        <v>36</v>
      </c>
      <c r="H1390" s="2">
        <v>44252.974328703705</v>
      </c>
    </row>
    <row r="1391" spans="1:8" ht="14.25" customHeight="1" x14ac:dyDescent="0.3">
      <c r="A1391">
        <v>1355136</v>
      </c>
      <c r="B1391" t="s">
        <v>6337</v>
      </c>
      <c r="C1391" s="1" t="s">
        <v>6338</v>
      </c>
      <c r="D1391" t="s">
        <v>11</v>
      </c>
      <c r="E1391">
        <v>1</v>
      </c>
      <c r="F1391">
        <v>2</v>
      </c>
      <c r="G1391">
        <v>41</v>
      </c>
      <c r="H1391" s="2">
        <v>44252.974537037036</v>
      </c>
    </row>
    <row r="1392" spans="1:8" ht="14.25" customHeight="1" x14ac:dyDescent="0.3">
      <c r="A1392">
        <v>1355050</v>
      </c>
      <c r="B1392" t="s">
        <v>6339</v>
      </c>
      <c r="C1392" s="1" t="s">
        <v>6340</v>
      </c>
      <c r="D1392" t="s">
        <v>11</v>
      </c>
      <c r="E1392">
        <v>1</v>
      </c>
      <c r="F1392">
        <v>1</v>
      </c>
      <c r="G1392">
        <v>41</v>
      </c>
      <c r="H1392" s="2">
        <v>44252.975023148145</v>
      </c>
    </row>
    <row r="1393" spans="1:8" ht="14.25" customHeight="1" x14ac:dyDescent="0.3">
      <c r="A1393">
        <v>1354884</v>
      </c>
      <c r="B1393" t="s">
        <v>6341</v>
      </c>
      <c r="C1393" s="1" t="s">
        <v>6342</v>
      </c>
      <c r="D1393" t="s">
        <v>11</v>
      </c>
      <c r="E1393">
        <v>1</v>
      </c>
      <c r="F1393">
        <v>2</v>
      </c>
      <c r="G1393">
        <v>43</v>
      </c>
      <c r="H1393" s="2">
        <v>44252.975416666668</v>
      </c>
    </row>
    <row r="1394" spans="1:8" ht="14.25" customHeight="1" x14ac:dyDescent="0.3">
      <c r="A1394">
        <v>1354873</v>
      </c>
      <c r="B1394" t="s">
        <v>6343</v>
      </c>
      <c r="C1394" s="1" t="s">
        <v>6344</v>
      </c>
      <c r="D1394" t="s">
        <v>11</v>
      </c>
      <c r="E1394">
        <v>3</v>
      </c>
      <c r="F1394">
        <v>2</v>
      </c>
      <c r="G1394">
        <v>41</v>
      </c>
      <c r="H1394" s="2">
        <v>44252.975798611114</v>
      </c>
    </row>
    <row r="1395" spans="1:8" ht="14.25" customHeight="1" x14ac:dyDescent="0.3">
      <c r="A1395">
        <v>1354729</v>
      </c>
      <c r="B1395" t="s">
        <v>6345</v>
      </c>
      <c r="C1395" t="s">
        <v>4832</v>
      </c>
      <c r="D1395" t="s">
        <v>1158</v>
      </c>
      <c r="E1395">
        <v>2</v>
      </c>
      <c r="F1395">
        <v>1</v>
      </c>
      <c r="G1395">
        <v>36</v>
      </c>
      <c r="H1395" s="2">
        <v>44252.976319444446</v>
      </c>
    </row>
    <row r="1396" spans="1:8" ht="14.25" customHeight="1" x14ac:dyDescent="0.3">
      <c r="A1396">
        <v>1352675</v>
      </c>
      <c r="B1396" t="e">
        <f>- computer is running slowly</f>
        <v>#NAME?</v>
      </c>
      <c r="C1396" s="1" t="s">
        <v>6346</v>
      </c>
      <c r="D1396" t="s">
        <v>24</v>
      </c>
      <c r="E1396">
        <v>1</v>
      </c>
      <c r="F1396">
        <v>1</v>
      </c>
      <c r="G1396">
        <v>41</v>
      </c>
      <c r="H1396" s="2">
        <v>44252.976574074077</v>
      </c>
    </row>
    <row r="1397" spans="1:8" ht="14.25" customHeight="1" x14ac:dyDescent="0.3">
      <c r="A1397">
        <v>1354430</v>
      </c>
      <c r="B1397" t="s">
        <v>6347</v>
      </c>
      <c r="C1397" s="1" t="s">
        <v>6348</v>
      </c>
      <c r="D1397" t="s">
        <v>11</v>
      </c>
      <c r="E1397">
        <v>1</v>
      </c>
      <c r="F1397">
        <v>2</v>
      </c>
      <c r="G1397">
        <v>43</v>
      </c>
      <c r="H1397" s="2">
        <v>44252.976979166669</v>
      </c>
    </row>
    <row r="1398" spans="1:8" ht="14.25" customHeight="1" x14ac:dyDescent="0.3">
      <c r="A1398">
        <v>1354286</v>
      </c>
      <c r="B1398" t="s">
        <v>6349</v>
      </c>
      <c r="C1398" s="1" t="s">
        <v>6350</v>
      </c>
      <c r="D1398" t="s">
        <v>24</v>
      </c>
      <c r="E1398">
        <v>1</v>
      </c>
      <c r="F1398">
        <v>2</v>
      </c>
      <c r="G1398">
        <v>41</v>
      </c>
      <c r="H1398" s="2">
        <v>44252.977268518516</v>
      </c>
    </row>
    <row r="1399" spans="1:8" ht="14.25" customHeight="1" x14ac:dyDescent="0.3">
      <c r="A1399">
        <v>1353731</v>
      </c>
      <c r="B1399" t="e">
        <f>- cdk issues of crashing</f>
        <v>#NAME?</v>
      </c>
      <c r="C1399" s="1" t="s">
        <v>6351</v>
      </c>
      <c r="D1399" t="s">
        <v>11</v>
      </c>
      <c r="E1399">
        <v>2</v>
      </c>
      <c r="F1399">
        <v>2</v>
      </c>
      <c r="G1399">
        <v>41</v>
      </c>
      <c r="H1399" s="2">
        <v>44252.977638888886</v>
      </c>
    </row>
    <row r="1400" spans="1:8" ht="14.25" customHeight="1" x14ac:dyDescent="0.3">
      <c r="A1400">
        <v>1353317</v>
      </c>
      <c r="B1400" t="e">
        <f>- crisis management team dist list, remove users</f>
        <v>#NAME?</v>
      </c>
      <c r="C1400" s="1" t="s">
        <v>6352</v>
      </c>
      <c r="D1400" t="s">
        <v>11</v>
      </c>
      <c r="E1400">
        <v>1</v>
      </c>
      <c r="F1400">
        <v>2</v>
      </c>
      <c r="G1400">
        <v>43</v>
      </c>
      <c r="H1400" s="2">
        <v>44252.978159722225</v>
      </c>
    </row>
    <row r="1401" spans="1:8" ht="14.25" customHeight="1" x14ac:dyDescent="0.3">
      <c r="A1401">
        <v>1353293</v>
      </c>
      <c r="B1401" t="e">
        <f>- aad sync issue on ibsgazdc02</f>
        <v>#NAME?</v>
      </c>
      <c r="C1401" s="1" t="s">
        <v>6353</v>
      </c>
      <c r="D1401" t="s">
        <v>11</v>
      </c>
      <c r="E1401">
        <v>2</v>
      </c>
      <c r="F1401">
        <v>1</v>
      </c>
      <c r="G1401">
        <v>41</v>
      </c>
      <c r="H1401" s="2">
        <v>44252.978738425925</v>
      </c>
    </row>
    <row r="1402" spans="1:8" ht="14.25" customHeight="1" x14ac:dyDescent="0.3">
      <c r="A1402">
        <v>1352578</v>
      </c>
      <c r="B1402" t="e">
        <f>- losing vpn connection</f>
        <v>#NAME?</v>
      </c>
      <c r="C1402" s="1" t="s">
        <v>6354</v>
      </c>
      <c r="D1402" t="s">
        <v>24</v>
      </c>
      <c r="E1402">
        <v>1</v>
      </c>
      <c r="F1402">
        <v>2</v>
      </c>
      <c r="G1402">
        <v>41</v>
      </c>
      <c r="H1402" s="2">
        <v>44252.979386574072</v>
      </c>
    </row>
    <row r="1403" spans="1:8" ht="14.25" customHeight="1" x14ac:dyDescent="0.3">
      <c r="A1403">
        <v>1352538</v>
      </c>
      <c r="B1403" t="e">
        <f>- [2]!please force close firefox</f>
        <v>#NAME?</v>
      </c>
      <c r="C1403" s="1" t="s">
        <v>6355</v>
      </c>
      <c r="D1403" t="s">
        <v>24</v>
      </c>
      <c r="E1403">
        <v>1</v>
      </c>
      <c r="F1403">
        <v>3</v>
      </c>
      <c r="G1403">
        <v>41</v>
      </c>
      <c r="H1403" s="2">
        <v>44252.979710648149</v>
      </c>
    </row>
    <row r="1404" spans="1:8" ht="14.25" customHeight="1" x14ac:dyDescent="0.3">
      <c r="A1404">
        <v>1354329</v>
      </c>
      <c r="B1404" t="e">
        <f>- new email account (len hansen)</f>
        <v>#NAME?</v>
      </c>
      <c r="C1404" s="1" t="s">
        <v>6356</v>
      </c>
      <c r="D1404" t="s">
        <v>11</v>
      </c>
      <c r="E1404">
        <v>1</v>
      </c>
      <c r="F1404">
        <v>2</v>
      </c>
      <c r="G1404">
        <v>43</v>
      </c>
      <c r="H1404" s="2">
        <v>44252.980324074073</v>
      </c>
    </row>
    <row r="1405" spans="1:8" ht="14.25" customHeight="1" x14ac:dyDescent="0.3">
      <c r="A1405">
        <v>1353256</v>
      </c>
      <c r="B1405" t="s">
        <v>6357</v>
      </c>
      <c r="C1405" s="1" t="s">
        <v>6358</v>
      </c>
      <c r="D1405" t="s">
        <v>11</v>
      </c>
      <c r="E1405">
        <v>2</v>
      </c>
      <c r="F1405">
        <v>1</v>
      </c>
      <c r="G1405">
        <v>43</v>
      </c>
      <c r="H1405" s="2">
        <v>44252.980891203704</v>
      </c>
    </row>
    <row r="1406" spans="1:8" ht="14.25" customHeight="1" x14ac:dyDescent="0.3">
      <c r="A1406">
        <v>1353931</v>
      </c>
      <c r="B1406" t="s">
        <v>6359</v>
      </c>
      <c r="C1406" s="1" t="s">
        <v>6360</v>
      </c>
      <c r="D1406" t="s">
        <v>11</v>
      </c>
      <c r="E1406">
        <v>1</v>
      </c>
      <c r="F1406">
        <v>2</v>
      </c>
      <c r="G1406">
        <v>41</v>
      </c>
      <c r="H1406" s="2">
        <v>44252.981215277781</v>
      </c>
    </row>
    <row r="1407" spans="1:8" ht="14.25" customHeight="1" x14ac:dyDescent="0.3">
      <c r="A1407">
        <v>1353905</v>
      </c>
      <c r="B1407" t="s">
        <v>6361</v>
      </c>
      <c r="C1407" s="1" t="s">
        <v>6362</v>
      </c>
      <c r="D1407" t="s">
        <v>11</v>
      </c>
      <c r="E1407">
        <v>2</v>
      </c>
      <c r="F1407">
        <v>2</v>
      </c>
      <c r="G1407">
        <v>41</v>
      </c>
      <c r="H1407" s="2">
        <v>44252.981620370374</v>
      </c>
    </row>
    <row r="1408" spans="1:8" ht="14.25" customHeight="1" x14ac:dyDescent="0.3">
      <c r="A1408">
        <v>1353088</v>
      </c>
      <c r="B1408" t="e">
        <f>- allow website www.cagclearns.ca</f>
        <v>#NAME?</v>
      </c>
      <c r="C1408" s="1" t="s">
        <v>6363</v>
      </c>
      <c r="D1408" t="s">
        <v>11</v>
      </c>
      <c r="E1408">
        <v>3</v>
      </c>
      <c r="F1408">
        <v>1</v>
      </c>
      <c r="G1408">
        <v>43</v>
      </c>
      <c r="H1408" s="2">
        <v>44252.981932870367</v>
      </c>
    </row>
    <row r="1409" spans="1:8" ht="14.25" customHeight="1" x14ac:dyDescent="0.3">
      <c r="A1409">
        <v>1352504</v>
      </c>
      <c r="B1409" t="s">
        <v>6364</v>
      </c>
      <c r="C1409" s="1" t="s">
        <v>6365</v>
      </c>
      <c r="D1409" t="s">
        <v>188</v>
      </c>
      <c r="E1409">
        <v>1</v>
      </c>
      <c r="F1409">
        <v>1</v>
      </c>
      <c r="G1409">
        <v>43</v>
      </c>
      <c r="H1409" s="2">
        <v>44252.982430555552</v>
      </c>
    </row>
    <row r="1410" spans="1:8" ht="14.25" customHeight="1" x14ac:dyDescent="0.3">
      <c r="A1410">
        <v>1352529</v>
      </c>
      <c r="B1410" t="s">
        <v>6366</v>
      </c>
      <c r="C1410" s="1" t="s">
        <v>6367</v>
      </c>
      <c r="D1410" t="s">
        <v>11</v>
      </c>
      <c r="E1410">
        <v>1</v>
      </c>
      <c r="F1410">
        <v>2</v>
      </c>
      <c r="G1410">
        <v>41</v>
      </c>
      <c r="H1410" s="2">
        <v>44252.983217592591</v>
      </c>
    </row>
    <row r="1411" spans="1:8" ht="14.25" customHeight="1" x14ac:dyDescent="0.3">
      <c r="A1411">
        <v>1350737</v>
      </c>
      <c r="B1411" t="e">
        <f>- urgent: curtis allwright reactivation</f>
        <v>#NAME?</v>
      </c>
      <c r="C1411" s="1" t="s">
        <v>6368</v>
      </c>
      <c r="D1411" t="s">
        <v>11</v>
      </c>
      <c r="E1411">
        <v>1</v>
      </c>
      <c r="F1411">
        <v>3</v>
      </c>
      <c r="G1411">
        <v>43</v>
      </c>
      <c r="H1411" s="2">
        <v>44252.983564814815</v>
      </c>
    </row>
    <row r="1412" spans="1:8" ht="14.25" customHeight="1" x14ac:dyDescent="0.3">
      <c r="A1412">
        <v>1351343</v>
      </c>
      <c r="B1412" t="e">
        <f>- new user create - charlene karl</f>
        <v>#NAME?</v>
      </c>
      <c r="C1412" s="1" t="s">
        <v>6369</v>
      </c>
      <c r="D1412" t="s">
        <v>24</v>
      </c>
      <c r="E1412">
        <v>1</v>
      </c>
      <c r="F1412">
        <v>2</v>
      </c>
      <c r="G1412">
        <v>43</v>
      </c>
      <c r="H1412" s="2">
        <v>44252.983796296299</v>
      </c>
    </row>
    <row r="1413" spans="1:8" ht="14.25" customHeight="1" x14ac:dyDescent="0.3">
      <c r="A1413">
        <v>1353320</v>
      </c>
      <c r="B1413" t="e">
        <f>- please create site for mhk calgary in unifi controller</f>
        <v>#NAME?</v>
      </c>
      <c r="C1413" s="1" t="s">
        <v>6370</v>
      </c>
      <c r="D1413" t="s">
        <v>24</v>
      </c>
      <c r="E1413">
        <v>1</v>
      </c>
      <c r="F1413">
        <v>2</v>
      </c>
      <c r="G1413">
        <v>43</v>
      </c>
      <c r="H1413" s="2">
        <v>44252.984166666669</v>
      </c>
    </row>
    <row r="1414" spans="1:8" ht="14.25" customHeight="1" x14ac:dyDescent="0.3">
      <c r="A1414">
        <v>1351435</v>
      </c>
      <c r="B1414" t="e">
        <f>- have new phone but having issues transferring information over</f>
        <v>#NAME?</v>
      </c>
      <c r="C1414" s="1" t="s">
        <v>6371</v>
      </c>
      <c r="D1414" t="s">
        <v>11</v>
      </c>
      <c r="E1414">
        <v>1</v>
      </c>
      <c r="F1414">
        <v>2</v>
      </c>
      <c r="G1414">
        <v>41</v>
      </c>
      <c r="H1414" s="2">
        <v>44252.984699074077</v>
      </c>
    </row>
    <row r="1415" spans="1:8" ht="14.25" customHeight="1" x14ac:dyDescent="0.3">
      <c r="A1415">
        <v>1351351</v>
      </c>
      <c r="B1415" t="e">
        <f>- unable to delete some sharepoint sites</f>
        <v>#NAME?</v>
      </c>
      <c r="C1415" s="1" t="s">
        <v>6372</v>
      </c>
      <c r="D1415" t="s">
        <v>11</v>
      </c>
      <c r="E1415">
        <v>2</v>
      </c>
      <c r="F1415">
        <v>1</v>
      </c>
      <c r="G1415">
        <v>43</v>
      </c>
      <c r="H1415" s="2">
        <v>44252.985335648147</v>
      </c>
    </row>
    <row r="1416" spans="1:8" ht="14.25" customHeight="1" x14ac:dyDescent="0.3">
      <c r="A1416">
        <v>1350735</v>
      </c>
      <c r="B1416" t="e">
        <f>- new profile for new employee,  martin waidhofer</f>
        <v>#NAME?</v>
      </c>
      <c r="C1416" s="1" t="s">
        <v>6373</v>
      </c>
      <c r="D1416" t="s">
        <v>11</v>
      </c>
      <c r="E1416">
        <v>1</v>
      </c>
      <c r="F1416">
        <v>2</v>
      </c>
      <c r="G1416">
        <v>43</v>
      </c>
      <c r="H1416" s="2">
        <v>44252.986817129633</v>
      </c>
    </row>
    <row r="1417" spans="1:8" ht="14.25" customHeight="1" x14ac:dyDescent="0.3">
      <c r="A1417">
        <v>1350733</v>
      </c>
      <c r="B1417" t="s">
        <v>6374</v>
      </c>
      <c r="C1417" s="1" t="s">
        <v>6375</v>
      </c>
      <c r="D1417" t="s">
        <v>11</v>
      </c>
      <c r="E1417">
        <v>1</v>
      </c>
      <c r="F1417">
        <v>2</v>
      </c>
      <c r="G1417">
        <v>41</v>
      </c>
      <c r="H1417" s="2">
        <v>44252.986990740741</v>
      </c>
    </row>
    <row r="1418" spans="1:8" ht="14.25" customHeight="1" x14ac:dyDescent="0.3">
      <c r="A1418">
        <v>1350262</v>
      </c>
      <c r="B1418" t="e">
        <f>- rdp issues</f>
        <v>#NAME?</v>
      </c>
      <c r="C1418" s="1" t="s">
        <v>6376</v>
      </c>
      <c r="D1418" t="s">
        <v>11</v>
      </c>
      <c r="E1418">
        <v>1</v>
      </c>
      <c r="F1418">
        <v>2</v>
      </c>
      <c r="G1418">
        <v>41</v>
      </c>
      <c r="H1418" s="2">
        <v>44252.987430555557</v>
      </c>
    </row>
    <row r="1419" spans="1:8" ht="14.25" customHeight="1" x14ac:dyDescent="0.3">
      <c r="A1419">
        <v>1349045</v>
      </c>
      <c r="B1419" t="e">
        <f>- printer installation</f>
        <v>#NAME?</v>
      </c>
      <c r="C1419" s="1" t="s">
        <v>6377</v>
      </c>
      <c r="D1419" t="s">
        <v>24</v>
      </c>
      <c r="E1419">
        <v>1</v>
      </c>
      <c r="F1419">
        <v>1</v>
      </c>
      <c r="G1419">
        <v>43</v>
      </c>
      <c r="H1419" s="2">
        <v>44253.678993055553</v>
      </c>
    </row>
    <row r="1420" spans="1:8" ht="14.25" customHeight="1" x14ac:dyDescent="0.3">
      <c r="A1420">
        <v>1349053</v>
      </c>
      <c r="B1420" t="s">
        <v>6378</v>
      </c>
      <c r="C1420" s="1" t="s">
        <v>6379</v>
      </c>
      <c r="D1420" t="s">
        <v>24</v>
      </c>
      <c r="E1420">
        <v>1</v>
      </c>
      <c r="F1420">
        <v>1</v>
      </c>
      <c r="G1420">
        <v>43</v>
      </c>
      <c r="H1420" s="2">
        <v>44253.680428240739</v>
      </c>
    </row>
    <row r="1421" spans="1:8" ht="14.25" customHeight="1" x14ac:dyDescent="0.3">
      <c r="A1421">
        <v>1348964</v>
      </c>
      <c r="B1421" t="e">
        <f>- slow computer</f>
        <v>#NAME?</v>
      </c>
      <c r="C1421" s="1" t="s">
        <v>6380</v>
      </c>
      <c r="D1421" t="s">
        <v>24</v>
      </c>
      <c r="E1421">
        <v>1</v>
      </c>
      <c r="F1421">
        <v>1</v>
      </c>
      <c r="G1421">
        <v>41</v>
      </c>
      <c r="H1421" s="2">
        <v>44253.681435185186</v>
      </c>
    </row>
    <row r="1422" spans="1:8" ht="14.25" customHeight="1" x14ac:dyDescent="0.3">
      <c r="A1422">
        <v>1348966</v>
      </c>
      <c r="B1422" t="s">
        <v>6381</v>
      </c>
      <c r="C1422" s="1" t="s">
        <v>6382</v>
      </c>
      <c r="D1422" t="s">
        <v>11</v>
      </c>
      <c r="E1422">
        <v>1</v>
      </c>
      <c r="F1422">
        <v>2</v>
      </c>
      <c r="G1422">
        <v>41</v>
      </c>
      <c r="H1422" s="2">
        <v>44253.681539351855</v>
      </c>
    </row>
    <row r="1423" spans="1:8" ht="14.25" customHeight="1" x14ac:dyDescent="0.3">
      <c r="A1423">
        <v>1348664</v>
      </c>
      <c r="B1423" t="s">
        <v>6383</v>
      </c>
      <c r="C1423" t="s">
        <v>6384</v>
      </c>
      <c r="D1423" t="s">
        <v>11</v>
      </c>
      <c r="E1423">
        <v>1</v>
      </c>
      <c r="F1423">
        <v>1</v>
      </c>
      <c r="G1423">
        <v>43</v>
      </c>
      <c r="H1423" s="2">
        <v>44253.68173611111</v>
      </c>
    </row>
    <row r="1424" spans="1:8" ht="14.25" customHeight="1" x14ac:dyDescent="0.3">
      <c r="A1424">
        <v>1353055</v>
      </c>
      <c r="B1424" t="e">
        <f>- removal of admin</f>
        <v>#NAME?</v>
      </c>
      <c r="C1424" s="1" t="s">
        <v>6385</v>
      </c>
      <c r="D1424" t="s">
        <v>11</v>
      </c>
      <c r="E1424">
        <v>1</v>
      </c>
      <c r="F1424">
        <v>1</v>
      </c>
      <c r="G1424">
        <v>43</v>
      </c>
      <c r="H1424" s="2">
        <v>44253.681851851848</v>
      </c>
    </row>
    <row r="1425" spans="1:8" ht="14.25" customHeight="1" x14ac:dyDescent="0.3">
      <c r="A1425">
        <v>1349041</v>
      </c>
      <c r="B1425" t="s">
        <v>6386</v>
      </c>
      <c r="C1425" s="1" t="s">
        <v>6387</v>
      </c>
      <c r="D1425" t="s">
        <v>24</v>
      </c>
      <c r="E1425">
        <v>1</v>
      </c>
      <c r="F1425">
        <v>1</v>
      </c>
      <c r="G1425">
        <v>36</v>
      </c>
      <c r="H1425" s="2">
        <v>44253.681921296295</v>
      </c>
    </row>
    <row r="1426" spans="1:8" ht="14.25" customHeight="1" x14ac:dyDescent="0.3">
      <c r="A1426">
        <v>1348549</v>
      </c>
      <c r="B1426" t="s">
        <v>6388</v>
      </c>
      <c r="C1426" s="1" t="s">
        <v>6389</v>
      </c>
      <c r="D1426" t="s">
        <v>11</v>
      </c>
      <c r="E1426">
        <v>1</v>
      </c>
      <c r="F1426">
        <v>2</v>
      </c>
      <c r="G1426">
        <v>43</v>
      </c>
      <c r="H1426" s="2">
        <v>44253.682511574072</v>
      </c>
    </row>
    <row r="1427" spans="1:8" ht="14.25" customHeight="1" x14ac:dyDescent="0.3">
      <c r="A1427">
        <v>1347942</v>
      </c>
      <c r="B1427" t="s">
        <v>6390</v>
      </c>
      <c r="C1427" t="s">
        <v>4857</v>
      </c>
      <c r="D1427" t="s">
        <v>1158</v>
      </c>
      <c r="E1427">
        <v>1</v>
      </c>
      <c r="F1427">
        <v>1</v>
      </c>
      <c r="G1427">
        <v>36</v>
      </c>
      <c r="H1427" s="2">
        <v>44253.682569444441</v>
      </c>
    </row>
    <row r="1428" spans="1:8" ht="14.25" customHeight="1" x14ac:dyDescent="0.3">
      <c r="A1428">
        <v>1349057</v>
      </c>
      <c r="B1428" t="s">
        <v>6391</v>
      </c>
      <c r="C1428" s="1" t="s">
        <v>6392</v>
      </c>
      <c r="D1428" t="s">
        <v>11</v>
      </c>
      <c r="E1428">
        <v>1</v>
      </c>
      <c r="F1428">
        <v>1</v>
      </c>
      <c r="G1428">
        <v>36</v>
      </c>
      <c r="H1428" s="2">
        <v>44253.682673611111</v>
      </c>
    </row>
    <row r="1429" spans="1:8" ht="14.25" customHeight="1" x14ac:dyDescent="0.3">
      <c r="A1429">
        <v>1348099</v>
      </c>
      <c r="B1429" t="s">
        <v>6393</v>
      </c>
      <c r="C1429" s="1" t="s">
        <v>6394</v>
      </c>
      <c r="D1429" t="s">
        <v>11</v>
      </c>
      <c r="E1429">
        <v>1</v>
      </c>
      <c r="F1429">
        <v>2</v>
      </c>
      <c r="G1429">
        <v>41</v>
      </c>
      <c r="H1429" s="2">
        <v>44253.682800925926</v>
      </c>
    </row>
    <row r="1430" spans="1:8" ht="14.25" customHeight="1" x14ac:dyDescent="0.3">
      <c r="A1430">
        <v>1349139</v>
      </c>
      <c r="B1430" t="s">
        <v>4583</v>
      </c>
      <c r="C1430" s="1" t="s">
        <v>6395</v>
      </c>
      <c r="D1430" t="s">
        <v>11</v>
      </c>
      <c r="E1430">
        <v>1</v>
      </c>
      <c r="F1430">
        <v>1</v>
      </c>
      <c r="G1430">
        <v>43</v>
      </c>
      <c r="H1430" s="2">
        <v>44253.682881944442</v>
      </c>
    </row>
    <row r="1431" spans="1:8" ht="14.25" customHeight="1" x14ac:dyDescent="0.3">
      <c r="A1431">
        <v>1349151</v>
      </c>
      <c r="B1431" t="s">
        <v>5979</v>
      </c>
      <c r="C1431" s="1" t="s">
        <v>6396</v>
      </c>
      <c r="D1431" t="s">
        <v>11</v>
      </c>
      <c r="E1431">
        <v>1</v>
      </c>
      <c r="F1431">
        <v>1</v>
      </c>
      <c r="G1431">
        <v>43</v>
      </c>
      <c r="H1431" s="2">
        <v>44253.706550925926</v>
      </c>
    </row>
    <row r="1432" spans="1:8" ht="14.25" customHeight="1" x14ac:dyDescent="0.3">
      <c r="A1432">
        <v>1349141</v>
      </c>
      <c r="B1432" t="s">
        <v>4583</v>
      </c>
      <c r="C1432" s="1" t="s">
        <v>6397</v>
      </c>
      <c r="D1432" t="s">
        <v>11</v>
      </c>
      <c r="E1432">
        <v>1</v>
      </c>
      <c r="F1432">
        <v>1</v>
      </c>
      <c r="G1432">
        <v>43</v>
      </c>
      <c r="H1432" s="2">
        <v>44253.707384259258</v>
      </c>
    </row>
    <row r="1433" spans="1:8" ht="14.25" customHeight="1" x14ac:dyDescent="0.3">
      <c r="A1433">
        <v>1349545</v>
      </c>
      <c r="B1433" t="s">
        <v>5793</v>
      </c>
      <c r="C1433" s="1" t="s">
        <v>6398</v>
      </c>
      <c r="D1433" t="s">
        <v>11</v>
      </c>
      <c r="E1433">
        <v>1</v>
      </c>
      <c r="F1433">
        <v>1</v>
      </c>
      <c r="G1433">
        <v>43</v>
      </c>
      <c r="H1433" s="2">
        <v>44253.707465277781</v>
      </c>
    </row>
    <row r="1434" spans="1:8" ht="14.25" customHeight="1" x14ac:dyDescent="0.3">
      <c r="A1434">
        <v>1347701</v>
      </c>
      <c r="B1434" t="e">
        <f>- signature update</f>
        <v>#NAME?</v>
      </c>
      <c r="C1434" s="1" t="s">
        <v>6399</v>
      </c>
      <c r="D1434" t="s">
        <v>11</v>
      </c>
      <c r="E1434">
        <v>1</v>
      </c>
      <c r="F1434">
        <v>1</v>
      </c>
      <c r="G1434">
        <v>43</v>
      </c>
      <c r="H1434" s="2">
        <v>44253.707569444443</v>
      </c>
    </row>
    <row r="1435" spans="1:8" ht="14.25" customHeight="1" x14ac:dyDescent="0.3">
      <c r="A1435">
        <v>1348959</v>
      </c>
      <c r="B1435" t="s">
        <v>6400</v>
      </c>
      <c r="C1435" s="1" t="s">
        <v>6401</v>
      </c>
      <c r="D1435" t="s">
        <v>11</v>
      </c>
      <c r="E1435">
        <v>1</v>
      </c>
      <c r="F1435">
        <v>2</v>
      </c>
      <c r="G1435">
        <v>41</v>
      </c>
      <c r="H1435" s="2">
        <v>44253.707812499997</v>
      </c>
    </row>
    <row r="1436" spans="1:8" ht="14.25" customHeight="1" x14ac:dyDescent="0.3">
      <c r="A1436">
        <v>1349722</v>
      </c>
      <c r="B1436" t="s">
        <v>6402</v>
      </c>
      <c r="C1436" s="1" t="s">
        <v>6403</v>
      </c>
      <c r="D1436" t="s">
        <v>24</v>
      </c>
      <c r="E1436">
        <v>1</v>
      </c>
      <c r="F1436">
        <v>1</v>
      </c>
      <c r="G1436">
        <v>41</v>
      </c>
      <c r="H1436" s="2">
        <v>44253.707916666666</v>
      </c>
    </row>
    <row r="1437" spans="1:8" ht="14.25" customHeight="1" x14ac:dyDescent="0.3">
      <c r="A1437">
        <v>1349650</v>
      </c>
      <c r="B1437" t="s">
        <v>6404</v>
      </c>
      <c r="C1437" s="1" t="s">
        <v>6405</v>
      </c>
      <c r="D1437" t="s">
        <v>11</v>
      </c>
      <c r="E1437">
        <v>1</v>
      </c>
      <c r="F1437">
        <v>1</v>
      </c>
      <c r="G1437">
        <v>43</v>
      </c>
      <c r="H1437" s="2">
        <v>44253.708032407405</v>
      </c>
    </row>
    <row r="1438" spans="1:8" ht="14.25" customHeight="1" x14ac:dyDescent="0.3">
      <c r="A1438">
        <v>1347657</v>
      </c>
      <c r="B1438" t="e">
        <f>- delete email</f>
        <v>#NAME?</v>
      </c>
      <c r="C1438" s="1" t="s">
        <v>6406</v>
      </c>
      <c r="D1438" t="s">
        <v>24</v>
      </c>
      <c r="E1438">
        <v>1</v>
      </c>
      <c r="F1438">
        <v>1</v>
      </c>
      <c r="G1438">
        <v>43</v>
      </c>
      <c r="H1438" s="2">
        <v>44253.708506944444</v>
      </c>
    </row>
    <row r="1439" spans="1:8" ht="14.25" customHeight="1" x14ac:dyDescent="0.3">
      <c r="A1439">
        <v>1347711</v>
      </c>
      <c r="B1439" t="e">
        <f>- adobe issue</f>
        <v>#NAME?</v>
      </c>
      <c r="C1439" s="1" t="s">
        <v>6407</v>
      </c>
      <c r="D1439" t="s">
        <v>24</v>
      </c>
      <c r="E1439">
        <v>1</v>
      </c>
      <c r="F1439">
        <v>2</v>
      </c>
      <c r="G1439">
        <v>41</v>
      </c>
      <c r="H1439" s="2">
        <v>44253.708865740744</v>
      </c>
    </row>
    <row r="1440" spans="1:8" ht="14.25" customHeight="1" x14ac:dyDescent="0.3">
      <c r="A1440">
        <v>1347680</v>
      </c>
      <c r="B1440" t="e">
        <f>- please set my default printer</f>
        <v>#NAME?</v>
      </c>
      <c r="C1440" s="1" t="s">
        <v>6408</v>
      </c>
      <c r="D1440" t="s">
        <v>24</v>
      </c>
      <c r="E1440">
        <v>1</v>
      </c>
      <c r="F1440">
        <v>1</v>
      </c>
      <c r="G1440">
        <v>43</v>
      </c>
      <c r="H1440" s="2">
        <v>44253.708958333336</v>
      </c>
    </row>
    <row r="1441" spans="1:8" ht="14.25" customHeight="1" x14ac:dyDescent="0.3">
      <c r="A1441">
        <v>1348705</v>
      </c>
      <c r="B1441" t="e">
        <f>- slow internet on surface</f>
        <v>#NAME?</v>
      </c>
      <c r="C1441" s="1" t="s">
        <v>6409</v>
      </c>
      <c r="D1441" t="s">
        <v>24</v>
      </c>
      <c r="E1441">
        <v>1</v>
      </c>
      <c r="F1441">
        <v>2</v>
      </c>
      <c r="G1441">
        <v>41</v>
      </c>
      <c r="H1441" s="2">
        <v>44253.709085648145</v>
      </c>
    </row>
    <row r="1442" spans="1:8" ht="14.25" customHeight="1" x14ac:dyDescent="0.3">
      <c r="A1442">
        <v>1347673</v>
      </c>
      <c r="B1442" t="e">
        <f>- printing issues</f>
        <v>#NAME?</v>
      </c>
      <c r="C1442" s="1" t="s">
        <v>6410</v>
      </c>
      <c r="D1442" t="s">
        <v>24</v>
      </c>
      <c r="E1442">
        <v>1</v>
      </c>
      <c r="F1442">
        <v>2</v>
      </c>
      <c r="G1442">
        <v>41</v>
      </c>
      <c r="H1442" s="2">
        <v>44253.729560185187</v>
      </c>
    </row>
    <row r="1443" spans="1:8" ht="14.25" customHeight="1" x14ac:dyDescent="0.3">
      <c r="A1443">
        <v>1347644</v>
      </c>
      <c r="B1443" t="e">
        <f>- temporary passwords</f>
        <v>#NAME?</v>
      </c>
      <c r="C1443" s="1" t="s">
        <v>6411</v>
      </c>
      <c r="D1443" t="s">
        <v>24</v>
      </c>
      <c r="E1443">
        <v>1</v>
      </c>
      <c r="F1443">
        <v>3</v>
      </c>
      <c r="G1443">
        <v>41</v>
      </c>
      <c r="H1443" s="2">
        <v>44253.729687500003</v>
      </c>
    </row>
    <row r="1444" spans="1:8" ht="14.25" customHeight="1" x14ac:dyDescent="0.3">
      <c r="A1444">
        <v>1348109</v>
      </c>
      <c r="B1444" t="e">
        <f>- new computer</f>
        <v>#NAME?</v>
      </c>
      <c r="C1444" s="1" t="s">
        <v>6412</v>
      </c>
      <c r="D1444" t="s">
        <v>24</v>
      </c>
      <c r="E1444">
        <v>1</v>
      </c>
      <c r="F1444">
        <v>2</v>
      </c>
      <c r="G1444">
        <v>43</v>
      </c>
      <c r="H1444" s="2">
        <v>44253.73</v>
      </c>
    </row>
    <row r="1445" spans="1:8" ht="14.25" customHeight="1" x14ac:dyDescent="0.3">
      <c r="A1445">
        <v>1348949</v>
      </c>
      <c r="B1445" t="e">
        <f>- outlook not working</f>
        <v>#NAME?</v>
      </c>
      <c r="C1445" s="1" t="s">
        <v>6413</v>
      </c>
      <c r="D1445" t="s">
        <v>24</v>
      </c>
      <c r="E1445">
        <v>1</v>
      </c>
      <c r="F1445">
        <v>2</v>
      </c>
      <c r="G1445">
        <v>41</v>
      </c>
      <c r="H1445" s="2">
        <v>44253.730115740742</v>
      </c>
    </row>
    <row r="1446" spans="1:8" ht="14.25" customHeight="1" x14ac:dyDescent="0.3">
      <c r="A1446">
        <v>1349092</v>
      </c>
      <c r="B1446" t="s">
        <v>6414</v>
      </c>
      <c r="C1446" s="1" t="s">
        <v>6415</v>
      </c>
      <c r="D1446" t="s">
        <v>24</v>
      </c>
      <c r="E1446">
        <v>1</v>
      </c>
      <c r="F1446">
        <v>1</v>
      </c>
      <c r="G1446">
        <v>36</v>
      </c>
      <c r="H1446" s="2">
        <v>44253.730219907404</v>
      </c>
    </row>
    <row r="1447" spans="1:8" ht="14.25" customHeight="1" x14ac:dyDescent="0.3">
      <c r="A1447">
        <v>1347665</v>
      </c>
      <c r="B1447" t="s">
        <v>6416</v>
      </c>
      <c r="C1447" s="1" t="s">
        <v>6417</v>
      </c>
      <c r="D1447" t="s">
        <v>24</v>
      </c>
      <c r="E1447">
        <v>1</v>
      </c>
      <c r="F1447">
        <v>2</v>
      </c>
      <c r="G1447">
        <v>41</v>
      </c>
      <c r="H1447" s="2">
        <v>44253.730462962965</v>
      </c>
    </row>
    <row r="1448" spans="1:8" ht="14.25" customHeight="1" x14ac:dyDescent="0.3">
      <c r="A1448">
        <v>1347414</v>
      </c>
      <c r="B1448" t="s">
        <v>4690</v>
      </c>
      <c r="C1448" t="s">
        <v>4691</v>
      </c>
      <c r="D1448" t="s">
        <v>1158</v>
      </c>
      <c r="E1448">
        <v>1</v>
      </c>
      <c r="F1448">
        <v>1</v>
      </c>
      <c r="G1448">
        <v>36</v>
      </c>
      <c r="H1448" s="2">
        <v>44253.730532407404</v>
      </c>
    </row>
    <row r="1449" spans="1:8" ht="14.25" customHeight="1" x14ac:dyDescent="0.3">
      <c r="A1449">
        <v>1349076</v>
      </c>
      <c r="B1449" t="s">
        <v>6418</v>
      </c>
      <c r="C1449" s="1" t="s">
        <v>6419</v>
      </c>
      <c r="D1449" t="s">
        <v>11</v>
      </c>
      <c r="E1449">
        <v>1</v>
      </c>
      <c r="F1449">
        <v>1</v>
      </c>
      <c r="G1449">
        <v>43</v>
      </c>
      <c r="H1449" s="2">
        <v>44253.73060185185</v>
      </c>
    </row>
    <row r="1450" spans="1:8" ht="14.25" customHeight="1" x14ac:dyDescent="0.3">
      <c r="A1450">
        <v>1347534</v>
      </c>
      <c r="B1450" t="e">
        <f>- laptop quote &amp; surface pro quote kate &amp; erika</f>
        <v>#NAME?</v>
      </c>
      <c r="C1450" s="1" t="s">
        <v>6420</v>
      </c>
      <c r="D1450" t="s">
        <v>11</v>
      </c>
      <c r="E1450">
        <v>1</v>
      </c>
      <c r="F1450">
        <v>1</v>
      </c>
      <c r="G1450">
        <v>36</v>
      </c>
      <c r="H1450" s="2">
        <v>44253.731134259258</v>
      </c>
    </row>
    <row r="1451" spans="1:8" ht="14.25" customHeight="1" x14ac:dyDescent="0.3">
      <c r="A1451">
        <v>1349112</v>
      </c>
      <c r="B1451" t="s">
        <v>6421</v>
      </c>
      <c r="C1451" s="1" t="s">
        <v>6422</v>
      </c>
      <c r="D1451" t="s">
        <v>11</v>
      </c>
      <c r="E1451">
        <v>1</v>
      </c>
      <c r="F1451">
        <v>1</v>
      </c>
      <c r="G1451">
        <v>36</v>
      </c>
      <c r="H1451" s="2">
        <v>44253.731932870367</v>
      </c>
    </row>
    <row r="1452" spans="1:8" ht="14.25" customHeight="1" x14ac:dyDescent="0.3">
      <c r="A1452">
        <v>1347530</v>
      </c>
      <c r="B1452" t="s">
        <v>6423</v>
      </c>
      <c r="C1452" s="1" t="s">
        <v>6424</v>
      </c>
      <c r="D1452" t="s">
        <v>11</v>
      </c>
      <c r="E1452">
        <v>1</v>
      </c>
      <c r="F1452">
        <v>2</v>
      </c>
      <c r="G1452">
        <v>41</v>
      </c>
      <c r="H1452" s="2">
        <v>44253.732256944444</v>
      </c>
    </row>
    <row r="1453" spans="1:8" ht="14.25" customHeight="1" x14ac:dyDescent="0.3">
      <c r="A1453">
        <v>1347142</v>
      </c>
      <c r="B1453" t="e">
        <f>- notice of new hire - sarah feutl</f>
        <v>#NAME?</v>
      </c>
      <c r="C1453" s="1" t="s">
        <v>6425</v>
      </c>
      <c r="D1453" t="s">
        <v>11</v>
      </c>
      <c r="E1453">
        <v>1</v>
      </c>
      <c r="F1453">
        <v>2</v>
      </c>
      <c r="G1453">
        <v>43</v>
      </c>
      <c r="H1453" s="2">
        <v>44253.73233796296</v>
      </c>
    </row>
    <row r="1454" spans="1:8" ht="14.25" customHeight="1" x14ac:dyDescent="0.3">
      <c r="A1454">
        <v>1349154</v>
      </c>
      <c r="B1454" t="e">
        <f>- re: staff shared drive access</f>
        <v>#NAME?</v>
      </c>
      <c r="C1454" s="1" t="s">
        <v>6426</v>
      </c>
      <c r="D1454" t="s">
        <v>11</v>
      </c>
      <c r="E1454">
        <v>1</v>
      </c>
      <c r="F1454">
        <v>1</v>
      </c>
      <c r="G1454">
        <v>43</v>
      </c>
      <c r="H1454" s="2">
        <v>44253.732442129629</v>
      </c>
    </row>
    <row r="1455" spans="1:8" ht="14.25" customHeight="1" x14ac:dyDescent="0.3">
      <c r="A1455">
        <v>1347661</v>
      </c>
      <c r="B1455" t="s">
        <v>6427</v>
      </c>
      <c r="C1455" s="1" t="s">
        <v>6428</v>
      </c>
      <c r="D1455" t="s">
        <v>11</v>
      </c>
      <c r="E1455">
        <v>1</v>
      </c>
      <c r="F1455">
        <v>1</v>
      </c>
      <c r="G1455">
        <v>43</v>
      </c>
      <c r="H1455" s="2">
        <v>44253.733946759261</v>
      </c>
    </row>
    <row r="1456" spans="1:8" ht="14.25" customHeight="1" x14ac:dyDescent="0.3">
      <c r="A1456">
        <v>1347113</v>
      </c>
      <c r="B1456" t="s">
        <v>6429</v>
      </c>
      <c r="C1456" s="1" t="s">
        <v>6430</v>
      </c>
      <c r="D1456" t="s">
        <v>11</v>
      </c>
      <c r="E1456">
        <v>1</v>
      </c>
      <c r="F1456">
        <v>1</v>
      </c>
      <c r="G1456">
        <v>43</v>
      </c>
      <c r="H1456" s="2">
        <v>44253.734027777777</v>
      </c>
    </row>
    <row r="1457" spans="1:8" ht="14.25" customHeight="1" x14ac:dyDescent="0.3">
      <c r="A1457">
        <v>1347417</v>
      </c>
      <c r="B1457" t="s">
        <v>4856</v>
      </c>
      <c r="C1457" t="s">
        <v>4832</v>
      </c>
      <c r="D1457" t="s">
        <v>1158</v>
      </c>
      <c r="E1457">
        <v>1</v>
      </c>
      <c r="F1457">
        <v>1</v>
      </c>
      <c r="G1457">
        <v>36</v>
      </c>
      <c r="H1457" s="2">
        <v>44253.734155092592</v>
      </c>
    </row>
    <row r="1458" spans="1:8" ht="14.25" customHeight="1" x14ac:dyDescent="0.3">
      <c r="A1458">
        <v>1347138</v>
      </c>
      <c r="B1458" t="s">
        <v>6431</v>
      </c>
      <c r="C1458" s="1" t="s">
        <v>6432</v>
      </c>
      <c r="D1458" t="s">
        <v>11</v>
      </c>
      <c r="E1458">
        <v>1</v>
      </c>
      <c r="F1458">
        <v>1</v>
      </c>
      <c r="G1458">
        <v>43</v>
      </c>
      <c r="H1458" s="2">
        <v>44253.734548611108</v>
      </c>
    </row>
    <row r="1459" spans="1:8" ht="14.25" customHeight="1" x14ac:dyDescent="0.3">
      <c r="A1459">
        <v>1347544</v>
      </c>
      <c r="B1459" t="s">
        <v>6433</v>
      </c>
      <c r="C1459" s="1" t="s">
        <v>6434</v>
      </c>
      <c r="D1459" t="s">
        <v>24</v>
      </c>
      <c r="E1459">
        <v>1</v>
      </c>
      <c r="F1459">
        <v>1</v>
      </c>
      <c r="G1459">
        <v>41</v>
      </c>
      <c r="H1459" s="2">
        <v>44253.744074074071</v>
      </c>
    </row>
    <row r="1460" spans="1:8" ht="14.25" customHeight="1" x14ac:dyDescent="0.3">
      <c r="A1460">
        <v>1347069</v>
      </c>
      <c r="B1460" t="s">
        <v>6435</v>
      </c>
      <c r="C1460" s="1" t="s">
        <v>6436</v>
      </c>
      <c r="D1460" t="s">
        <v>11</v>
      </c>
      <c r="E1460">
        <v>1</v>
      </c>
      <c r="F1460">
        <v>1</v>
      </c>
      <c r="G1460">
        <v>36</v>
      </c>
      <c r="H1460" s="2">
        <v>44253.747835648152</v>
      </c>
    </row>
    <row r="1461" spans="1:8" ht="14.25" customHeight="1" x14ac:dyDescent="0.3">
      <c r="A1461">
        <v>1347177</v>
      </c>
      <c r="B1461" t="s">
        <v>6437</v>
      </c>
      <c r="C1461" s="1" t="s">
        <v>6438</v>
      </c>
      <c r="D1461" t="s">
        <v>11</v>
      </c>
      <c r="E1461">
        <v>1</v>
      </c>
      <c r="F1461">
        <v>1</v>
      </c>
      <c r="G1461">
        <v>36</v>
      </c>
      <c r="H1461" s="2">
        <v>44253.747928240744</v>
      </c>
    </row>
    <row r="1462" spans="1:8" ht="14.25" customHeight="1" x14ac:dyDescent="0.3">
      <c r="A1462">
        <v>1347031</v>
      </c>
      <c r="B1462" t="s">
        <v>6439</v>
      </c>
      <c r="C1462" s="1" t="s">
        <v>6440</v>
      </c>
      <c r="D1462" t="s">
        <v>11</v>
      </c>
      <c r="E1462">
        <v>1</v>
      </c>
      <c r="F1462">
        <v>1</v>
      </c>
      <c r="G1462">
        <v>41</v>
      </c>
      <c r="H1462" s="2">
        <v>44253.77039351852</v>
      </c>
    </row>
    <row r="1463" spans="1:8" ht="14.25" customHeight="1" x14ac:dyDescent="0.3">
      <c r="A1463">
        <v>1347123</v>
      </c>
      <c r="B1463" t="s">
        <v>6441</v>
      </c>
      <c r="C1463" s="1" t="s">
        <v>6442</v>
      </c>
      <c r="D1463" t="s">
        <v>24</v>
      </c>
      <c r="E1463">
        <v>1</v>
      </c>
      <c r="F1463">
        <v>1</v>
      </c>
      <c r="G1463">
        <v>36</v>
      </c>
      <c r="H1463" s="2">
        <v>44253.770543981482</v>
      </c>
    </row>
    <row r="1464" spans="1:8" ht="14.25" customHeight="1" x14ac:dyDescent="0.3">
      <c r="A1464">
        <v>1347096</v>
      </c>
      <c r="B1464" t="s">
        <v>2480</v>
      </c>
      <c r="C1464" s="1" t="s">
        <v>6443</v>
      </c>
      <c r="D1464" t="s">
        <v>11</v>
      </c>
      <c r="E1464">
        <v>1</v>
      </c>
      <c r="F1464">
        <v>1</v>
      </c>
      <c r="G1464">
        <v>43</v>
      </c>
      <c r="H1464" s="2">
        <v>44253.770925925928</v>
      </c>
    </row>
    <row r="1465" spans="1:8" ht="14.25" customHeight="1" x14ac:dyDescent="0.3">
      <c r="A1465">
        <v>1346989</v>
      </c>
      <c r="B1465" t="s">
        <v>6444</v>
      </c>
      <c r="C1465" s="1" t="s">
        <v>6445</v>
      </c>
      <c r="D1465" t="s">
        <v>11</v>
      </c>
      <c r="E1465">
        <v>1</v>
      </c>
      <c r="F1465">
        <v>1</v>
      </c>
      <c r="G1465">
        <v>36</v>
      </c>
      <c r="H1465" s="2">
        <v>44253.771018518521</v>
      </c>
    </row>
    <row r="1466" spans="1:8" ht="14.25" customHeight="1" x14ac:dyDescent="0.3">
      <c r="A1466">
        <v>1348942</v>
      </c>
      <c r="B1466" t="s">
        <v>6446</v>
      </c>
      <c r="C1466" s="1" t="s">
        <v>6447</v>
      </c>
      <c r="D1466" t="s">
        <v>24</v>
      </c>
      <c r="E1466">
        <v>1</v>
      </c>
      <c r="F1466">
        <v>1</v>
      </c>
      <c r="G1466">
        <v>36</v>
      </c>
      <c r="H1466" s="2">
        <v>44253.771087962959</v>
      </c>
    </row>
    <row r="1467" spans="1:8" ht="14.25" customHeight="1" x14ac:dyDescent="0.3">
      <c r="A1467">
        <v>1349626</v>
      </c>
      <c r="B1467" t="s">
        <v>6448</v>
      </c>
      <c r="C1467" s="1" t="s">
        <v>6449</v>
      </c>
      <c r="D1467" t="s">
        <v>24</v>
      </c>
      <c r="E1467">
        <v>1</v>
      </c>
      <c r="F1467">
        <v>1</v>
      </c>
      <c r="G1467">
        <v>36</v>
      </c>
      <c r="H1467" s="2">
        <v>44253.784560185188</v>
      </c>
    </row>
    <row r="1468" spans="1:8" ht="14.25" customHeight="1" x14ac:dyDescent="0.3">
      <c r="A1468">
        <v>1347647</v>
      </c>
      <c r="B1468" t="s">
        <v>6450</v>
      </c>
      <c r="C1468" s="1" t="s">
        <v>6451</v>
      </c>
      <c r="D1468" t="s">
        <v>11</v>
      </c>
      <c r="E1468">
        <v>1</v>
      </c>
      <c r="F1468">
        <v>1</v>
      </c>
      <c r="G1468">
        <v>36</v>
      </c>
      <c r="H1468" s="2">
        <v>44253.784618055557</v>
      </c>
    </row>
    <row r="1469" spans="1:8" ht="14.25" customHeight="1" x14ac:dyDescent="0.3">
      <c r="A1469">
        <v>1349116</v>
      </c>
      <c r="B1469" t="s">
        <v>6452</v>
      </c>
      <c r="C1469" s="1" t="s">
        <v>6453</v>
      </c>
      <c r="D1469" t="s">
        <v>11</v>
      </c>
      <c r="E1469">
        <v>1</v>
      </c>
      <c r="F1469">
        <v>1</v>
      </c>
      <c r="G1469">
        <v>36</v>
      </c>
      <c r="H1469" s="2">
        <v>44253.785057870373</v>
      </c>
    </row>
    <row r="1470" spans="1:8" ht="14.25" customHeight="1" x14ac:dyDescent="0.3">
      <c r="A1470">
        <v>1350230</v>
      </c>
      <c r="B1470" t="s">
        <v>6454</v>
      </c>
      <c r="C1470" s="1" t="s">
        <v>6455</v>
      </c>
      <c r="D1470" t="s">
        <v>11</v>
      </c>
      <c r="E1470">
        <v>1</v>
      </c>
      <c r="F1470">
        <v>2</v>
      </c>
      <c r="G1470">
        <v>41</v>
      </c>
      <c r="H1470" s="2">
        <v>44253.785138888888</v>
      </c>
    </row>
    <row r="1471" spans="1:8" ht="14.25" customHeight="1" x14ac:dyDescent="0.3">
      <c r="A1471">
        <v>1346936</v>
      </c>
      <c r="B1471" t="s">
        <v>6456</v>
      </c>
      <c r="C1471" s="1" t="s">
        <v>6457</v>
      </c>
      <c r="D1471" t="s">
        <v>11</v>
      </c>
      <c r="E1471">
        <v>1</v>
      </c>
      <c r="F1471">
        <v>1</v>
      </c>
      <c r="G1471">
        <v>43</v>
      </c>
      <c r="H1471" s="2">
        <v>44253.785312499997</v>
      </c>
    </row>
    <row r="1472" spans="1:8" ht="14.25" customHeight="1" x14ac:dyDescent="0.3">
      <c r="A1472">
        <v>1346810</v>
      </c>
      <c r="B1472" t="s">
        <v>4856</v>
      </c>
      <c r="C1472" t="s">
        <v>4857</v>
      </c>
      <c r="D1472" t="s">
        <v>1158</v>
      </c>
      <c r="E1472">
        <v>1</v>
      </c>
      <c r="F1472">
        <v>1</v>
      </c>
      <c r="G1472">
        <v>36</v>
      </c>
      <c r="H1472" s="2">
        <v>44253.785405092596</v>
      </c>
    </row>
    <row r="1473" spans="1:8" ht="14.25" customHeight="1" x14ac:dyDescent="0.3">
      <c r="A1473">
        <v>1346993</v>
      </c>
      <c r="B1473" t="e">
        <f>- client care</f>
        <v>#NAME?</v>
      </c>
      <c r="C1473" s="1" t="s">
        <v>6458</v>
      </c>
      <c r="D1473" t="s">
        <v>24</v>
      </c>
      <c r="E1473">
        <v>1</v>
      </c>
      <c r="F1473">
        <v>1</v>
      </c>
      <c r="G1473">
        <v>43</v>
      </c>
      <c r="H1473" s="2">
        <v>44253.786134259259</v>
      </c>
    </row>
    <row r="1474" spans="1:8" ht="14.25" customHeight="1" x14ac:dyDescent="0.3">
      <c r="A1474">
        <v>1347525</v>
      </c>
      <c r="B1474" t="s">
        <v>6459</v>
      </c>
      <c r="C1474" s="1" t="s">
        <v>6460</v>
      </c>
      <c r="D1474" t="s">
        <v>11</v>
      </c>
      <c r="E1474">
        <v>1</v>
      </c>
      <c r="F1474">
        <v>1</v>
      </c>
      <c r="G1474">
        <v>43</v>
      </c>
      <c r="H1474" s="2">
        <v>44253.786851851852</v>
      </c>
    </row>
    <row r="1475" spans="1:8" ht="14.25" customHeight="1" x14ac:dyDescent="0.3">
      <c r="A1475">
        <v>1347651</v>
      </c>
      <c r="B1475" t="s">
        <v>755</v>
      </c>
      <c r="C1475" s="1" t="s">
        <v>6461</v>
      </c>
      <c r="D1475" t="s">
        <v>11</v>
      </c>
      <c r="E1475">
        <v>1</v>
      </c>
      <c r="F1475">
        <v>2</v>
      </c>
      <c r="G1475">
        <v>41</v>
      </c>
      <c r="H1475" s="2">
        <v>44253.78696759259</v>
      </c>
    </row>
    <row r="1476" spans="1:8" ht="14.25" customHeight="1" x14ac:dyDescent="0.3">
      <c r="A1476">
        <v>1347111</v>
      </c>
      <c r="B1476" t="s">
        <v>6462</v>
      </c>
      <c r="C1476" s="1" t="s">
        <v>6463</v>
      </c>
      <c r="D1476" t="s">
        <v>11</v>
      </c>
      <c r="E1476">
        <v>1</v>
      </c>
      <c r="F1476">
        <v>2</v>
      </c>
      <c r="G1476">
        <v>41</v>
      </c>
      <c r="H1476" s="2">
        <v>44253.787164351852</v>
      </c>
    </row>
    <row r="1477" spans="1:8" ht="14.25" customHeight="1" x14ac:dyDescent="0.3">
      <c r="A1477">
        <v>1347607</v>
      </c>
      <c r="B1477" t="s">
        <v>6464</v>
      </c>
      <c r="C1477" t="s">
        <v>6465</v>
      </c>
      <c r="D1477" t="s">
        <v>11</v>
      </c>
      <c r="E1477">
        <v>1</v>
      </c>
      <c r="F1477">
        <v>1</v>
      </c>
      <c r="G1477">
        <v>43</v>
      </c>
      <c r="H1477" s="2">
        <v>44253.787268518521</v>
      </c>
    </row>
    <row r="1478" spans="1:8" ht="14.25" customHeight="1" x14ac:dyDescent="0.3">
      <c r="A1478">
        <v>1349137</v>
      </c>
      <c r="B1478" t="s">
        <v>4583</v>
      </c>
      <c r="C1478" s="1" t="s">
        <v>6466</v>
      </c>
      <c r="D1478" t="s">
        <v>11</v>
      </c>
      <c r="E1478">
        <v>1</v>
      </c>
      <c r="F1478">
        <v>1</v>
      </c>
      <c r="G1478">
        <v>43</v>
      </c>
      <c r="H1478" s="2">
        <v>44253.792303240742</v>
      </c>
    </row>
    <row r="1479" spans="1:8" ht="14.25" customHeight="1" x14ac:dyDescent="0.3">
      <c r="A1479">
        <v>1346550</v>
      </c>
      <c r="B1479" t="s">
        <v>4555</v>
      </c>
      <c r="C1479" s="1" t="s">
        <v>6467</v>
      </c>
      <c r="D1479" t="s">
        <v>11</v>
      </c>
      <c r="E1479">
        <v>1</v>
      </c>
      <c r="F1479">
        <v>1</v>
      </c>
      <c r="G1479">
        <v>41</v>
      </c>
      <c r="H1479" s="2">
        <v>44253.793032407404</v>
      </c>
    </row>
    <row r="1480" spans="1:8" ht="14.25" customHeight="1" x14ac:dyDescent="0.3">
      <c r="A1480">
        <v>1347606</v>
      </c>
      <c r="B1480" t="s">
        <v>6468</v>
      </c>
      <c r="C1480" s="1" t="s">
        <v>6469</v>
      </c>
      <c r="D1480" t="s">
        <v>11</v>
      </c>
      <c r="E1480">
        <v>1</v>
      </c>
      <c r="F1480">
        <v>1</v>
      </c>
      <c r="G1480">
        <v>36</v>
      </c>
      <c r="H1480" s="2">
        <v>44253.793182870373</v>
      </c>
    </row>
    <row r="1481" spans="1:8" ht="14.25" customHeight="1" x14ac:dyDescent="0.3">
      <c r="A1481">
        <v>1346518</v>
      </c>
      <c r="B1481" t="s">
        <v>6470</v>
      </c>
      <c r="C1481" s="1" t="s">
        <v>6471</v>
      </c>
      <c r="D1481" t="s">
        <v>11</v>
      </c>
      <c r="E1481">
        <v>1</v>
      </c>
      <c r="F1481">
        <v>1</v>
      </c>
      <c r="G1481">
        <v>43</v>
      </c>
      <c r="H1481" s="2">
        <v>44253.793240740742</v>
      </c>
    </row>
    <row r="1482" spans="1:8" ht="14.25" customHeight="1" x14ac:dyDescent="0.3">
      <c r="A1482">
        <v>1347049</v>
      </c>
      <c r="B1482" t="s">
        <v>6472</v>
      </c>
      <c r="C1482" s="1" t="s">
        <v>6473</v>
      </c>
      <c r="D1482" t="s">
        <v>11</v>
      </c>
      <c r="E1482">
        <v>1</v>
      </c>
      <c r="F1482">
        <v>1</v>
      </c>
      <c r="G1482">
        <v>43</v>
      </c>
      <c r="H1482" s="2">
        <v>44253.793333333335</v>
      </c>
    </row>
    <row r="1483" spans="1:8" ht="14.25" customHeight="1" x14ac:dyDescent="0.3">
      <c r="A1483">
        <v>1346811</v>
      </c>
      <c r="B1483" t="s">
        <v>4856</v>
      </c>
      <c r="C1483" t="s">
        <v>4857</v>
      </c>
      <c r="D1483" t="s">
        <v>1158</v>
      </c>
      <c r="E1483">
        <v>1</v>
      </c>
      <c r="F1483">
        <v>1</v>
      </c>
      <c r="G1483">
        <v>36</v>
      </c>
      <c r="H1483" s="2">
        <v>44253.794189814813</v>
      </c>
    </row>
    <row r="1484" spans="1:8" ht="14.25" customHeight="1" x14ac:dyDescent="0.3">
      <c r="A1484">
        <v>1347020</v>
      </c>
      <c r="B1484" t="s">
        <v>6474</v>
      </c>
      <c r="C1484" s="1" t="s">
        <v>6475</v>
      </c>
      <c r="D1484" t="s">
        <v>24</v>
      </c>
      <c r="E1484">
        <v>1</v>
      </c>
      <c r="F1484">
        <v>1</v>
      </c>
      <c r="G1484">
        <v>36</v>
      </c>
      <c r="H1484" s="2">
        <v>44253.794432870367</v>
      </c>
    </row>
    <row r="1485" spans="1:8" ht="14.25" customHeight="1" x14ac:dyDescent="0.3">
      <c r="A1485">
        <v>1346473</v>
      </c>
      <c r="B1485" t="s">
        <v>6476</v>
      </c>
      <c r="C1485" s="1" t="s">
        <v>6477</v>
      </c>
      <c r="D1485" t="s">
        <v>11</v>
      </c>
      <c r="E1485">
        <v>1</v>
      </c>
      <c r="F1485">
        <v>1</v>
      </c>
      <c r="G1485">
        <v>43</v>
      </c>
      <c r="H1485" s="2">
        <v>44253.795555555553</v>
      </c>
    </row>
    <row r="1486" spans="1:8" ht="14.25" customHeight="1" x14ac:dyDescent="0.3">
      <c r="A1486">
        <v>1346809</v>
      </c>
      <c r="B1486" t="s">
        <v>4683</v>
      </c>
      <c r="C1486" t="s">
        <v>4684</v>
      </c>
      <c r="D1486" t="s">
        <v>1158</v>
      </c>
      <c r="E1486">
        <v>1</v>
      </c>
      <c r="F1486">
        <v>1</v>
      </c>
      <c r="G1486">
        <v>36</v>
      </c>
      <c r="H1486" s="2">
        <v>44253.815162037034</v>
      </c>
    </row>
    <row r="1487" spans="1:8" ht="14.25" customHeight="1" x14ac:dyDescent="0.3">
      <c r="A1487">
        <v>1346511</v>
      </c>
      <c r="B1487" t="s">
        <v>6478</v>
      </c>
      <c r="C1487" s="1" t="s">
        <v>6479</v>
      </c>
      <c r="D1487" t="s">
        <v>11</v>
      </c>
      <c r="E1487">
        <v>1</v>
      </c>
      <c r="F1487">
        <v>1</v>
      </c>
      <c r="G1487">
        <v>36</v>
      </c>
      <c r="H1487" s="2">
        <v>44253.815289351849</v>
      </c>
    </row>
    <row r="1488" spans="1:8" ht="14.25" customHeight="1" x14ac:dyDescent="0.3">
      <c r="A1488">
        <v>1346424</v>
      </c>
      <c r="B1488" t="s">
        <v>6480</v>
      </c>
      <c r="C1488" s="1" t="s">
        <v>6481</v>
      </c>
      <c r="D1488" t="s">
        <v>24</v>
      </c>
      <c r="E1488">
        <v>1</v>
      </c>
      <c r="F1488">
        <v>1</v>
      </c>
      <c r="G1488">
        <v>36</v>
      </c>
      <c r="H1488" s="2">
        <v>44253.815613425926</v>
      </c>
    </row>
    <row r="1489" spans="1:8" ht="14.25" customHeight="1" x14ac:dyDescent="0.3">
      <c r="A1489">
        <v>1346980</v>
      </c>
      <c r="B1489" t="s">
        <v>6482</v>
      </c>
      <c r="C1489" s="1" t="s">
        <v>6483</v>
      </c>
      <c r="D1489" t="s">
        <v>11</v>
      </c>
      <c r="E1489">
        <v>1</v>
      </c>
      <c r="F1489">
        <v>1</v>
      </c>
      <c r="G1489">
        <v>41</v>
      </c>
      <c r="H1489" s="2">
        <v>44253.834432870368</v>
      </c>
    </row>
    <row r="1490" spans="1:8" ht="14.25" customHeight="1" x14ac:dyDescent="0.3">
      <c r="A1490">
        <v>1346450</v>
      </c>
      <c r="B1490" t="s">
        <v>6484</v>
      </c>
      <c r="C1490" s="1" t="s">
        <v>6485</v>
      </c>
      <c r="D1490" t="s">
        <v>11</v>
      </c>
      <c r="E1490">
        <v>1</v>
      </c>
      <c r="F1490">
        <v>1</v>
      </c>
      <c r="G1490">
        <v>43</v>
      </c>
      <c r="H1490" s="2">
        <v>44253.834629629629</v>
      </c>
    </row>
    <row r="1491" spans="1:8" ht="14.25" customHeight="1" x14ac:dyDescent="0.3">
      <c r="A1491">
        <v>1346366</v>
      </c>
      <c r="B1491" t="s">
        <v>6486</v>
      </c>
      <c r="C1491" s="1" t="s">
        <v>6487</v>
      </c>
      <c r="D1491" t="s">
        <v>11</v>
      </c>
      <c r="E1491">
        <v>1</v>
      </c>
      <c r="F1491">
        <v>1</v>
      </c>
      <c r="G1491">
        <v>43</v>
      </c>
      <c r="H1491" s="2">
        <v>44253.834791666668</v>
      </c>
    </row>
    <row r="1492" spans="1:8" ht="14.25" customHeight="1" x14ac:dyDescent="0.3">
      <c r="A1492">
        <v>1346489</v>
      </c>
      <c r="B1492" t="s">
        <v>6488</v>
      </c>
      <c r="C1492" s="1" t="s">
        <v>6489</v>
      </c>
      <c r="D1492" t="s">
        <v>11</v>
      </c>
      <c r="E1492">
        <v>1</v>
      </c>
      <c r="F1492">
        <v>1</v>
      </c>
      <c r="G1492">
        <v>43</v>
      </c>
      <c r="H1492" s="2">
        <v>44253.834918981483</v>
      </c>
    </row>
    <row r="1493" spans="1:8" ht="14.25" customHeight="1" x14ac:dyDescent="0.3">
      <c r="A1493">
        <v>1346487</v>
      </c>
      <c r="B1493" t="s">
        <v>6490</v>
      </c>
      <c r="C1493" s="1" t="s">
        <v>6491</v>
      </c>
      <c r="D1493" t="s">
        <v>11</v>
      </c>
      <c r="E1493">
        <v>1</v>
      </c>
      <c r="F1493">
        <v>1</v>
      </c>
      <c r="G1493">
        <v>43</v>
      </c>
      <c r="H1493" s="2">
        <v>44253.837453703702</v>
      </c>
    </row>
    <row r="1494" spans="1:8" ht="14.25" customHeight="1" x14ac:dyDescent="0.3">
      <c r="A1494">
        <v>1346659</v>
      </c>
      <c r="B1494" t="s">
        <v>6492</v>
      </c>
      <c r="C1494" s="1" t="s">
        <v>6493</v>
      </c>
      <c r="D1494" t="s">
        <v>11</v>
      </c>
      <c r="E1494">
        <v>1</v>
      </c>
      <c r="F1494">
        <v>1</v>
      </c>
      <c r="G1494">
        <v>43</v>
      </c>
      <c r="H1494" s="2">
        <v>44253.84233796296</v>
      </c>
    </row>
    <row r="1495" spans="1:8" ht="14.25" customHeight="1" x14ac:dyDescent="0.3">
      <c r="A1495">
        <v>1346481</v>
      </c>
      <c r="B1495" t="s">
        <v>6494</v>
      </c>
      <c r="C1495" s="1" t="s">
        <v>6495</v>
      </c>
      <c r="D1495" t="s">
        <v>11</v>
      </c>
      <c r="E1495">
        <v>1</v>
      </c>
      <c r="F1495">
        <v>1</v>
      </c>
      <c r="G1495">
        <v>41</v>
      </c>
      <c r="H1495" s="2">
        <v>44253.842465277776</v>
      </c>
    </row>
    <row r="1496" spans="1:8" ht="14.25" customHeight="1" x14ac:dyDescent="0.3">
      <c r="A1496">
        <v>1346239</v>
      </c>
      <c r="B1496" t="s">
        <v>4683</v>
      </c>
      <c r="C1496" t="s">
        <v>4684</v>
      </c>
      <c r="D1496" t="s">
        <v>1158</v>
      </c>
      <c r="E1496">
        <v>1</v>
      </c>
      <c r="F1496">
        <v>1</v>
      </c>
      <c r="G1496">
        <v>36</v>
      </c>
      <c r="H1496" s="2">
        <v>44253.844166666669</v>
      </c>
    </row>
    <row r="1497" spans="1:8" ht="14.25" customHeight="1" x14ac:dyDescent="0.3">
      <c r="A1497">
        <v>1346338</v>
      </c>
      <c r="B1497" t="e">
        <f>- spam</f>
        <v>#NAME?</v>
      </c>
      <c r="C1497" t="s">
        <v>6496</v>
      </c>
      <c r="D1497" t="s">
        <v>11</v>
      </c>
      <c r="E1497">
        <v>1</v>
      </c>
      <c r="F1497">
        <v>1</v>
      </c>
      <c r="G1497">
        <v>41</v>
      </c>
      <c r="H1497" s="2">
        <v>44253.845694444448</v>
      </c>
    </row>
    <row r="1498" spans="1:8" ht="14.25" customHeight="1" x14ac:dyDescent="0.3">
      <c r="A1498">
        <v>1346947</v>
      </c>
      <c r="B1498" t="s">
        <v>6497</v>
      </c>
      <c r="C1498" s="1" t="s">
        <v>6498</v>
      </c>
      <c r="D1498" t="s">
        <v>11</v>
      </c>
      <c r="E1498">
        <v>1</v>
      </c>
      <c r="F1498">
        <v>1</v>
      </c>
      <c r="G1498">
        <v>43</v>
      </c>
      <c r="H1498" s="2">
        <v>44253.845763888887</v>
      </c>
    </row>
    <row r="1499" spans="1:8" ht="14.25" customHeight="1" x14ac:dyDescent="0.3">
      <c r="A1499">
        <v>1345984</v>
      </c>
      <c r="B1499" t="s">
        <v>6499</v>
      </c>
      <c r="C1499" s="1" t="s">
        <v>6500</v>
      </c>
      <c r="D1499" t="s">
        <v>24</v>
      </c>
      <c r="E1499">
        <v>1</v>
      </c>
      <c r="F1499">
        <v>1</v>
      </c>
      <c r="G1499">
        <v>43</v>
      </c>
      <c r="H1499" s="2">
        <v>44253.846250000002</v>
      </c>
    </row>
    <row r="1500" spans="1:8" ht="14.25" customHeight="1" x14ac:dyDescent="0.3">
      <c r="A1500">
        <v>1346976</v>
      </c>
      <c r="B1500" t="s">
        <v>6501</v>
      </c>
      <c r="C1500" s="1" t="s">
        <v>6502</v>
      </c>
      <c r="D1500" t="s">
        <v>11</v>
      </c>
      <c r="E1500">
        <v>1</v>
      </c>
      <c r="F1500">
        <v>1</v>
      </c>
      <c r="G1500">
        <v>43</v>
      </c>
      <c r="H1500" s="2">
        <v>44253.846365740741</v>
      </c>
    </row>
    <row r="1501" spans="1:8" ht="14.25" customHeight="1" x14ac:dyDescent="0.3">
      <c r="A1501">
        <v>1345987</v>
      </c>
      <c r="B1501">
        <v>1345871</v>
      </c>
      <c r="C1501" s="1" t="s">
        <v>6503</v>
      </c>
      <c r="D1501" t="s">
        <v>11</v>
      </c>
      <c r="E1501">
        <v>1</v>
      </c>
      <c r="F1501">
        <v>1</v>
      </c>
      <c r="G1501">
        <v>41</v>
      </c>
      <c r="H1501" s="2">
        <v>44253.847442129627</v>
      </c>
    </row>
    <row r="1502" spans="1:8" ht="14.25" customHeight="1" x14ac:dyDescent="0.3">
      <c r="A1502">
        <v>1346240</v>
      </c>
      <c r="B1502" t="s">
        <v>4690</v>
      </c>
      <c r="C1502" t="s">
        <v>4691</v>
      </c>
      <c r="D1502" t="s">
        <v>1158</v>
      </c>
      <c r="E1502">
        <v>1</v>
      </c>
      <c r="F1502">
        <v>1</v>
      </c>
      <c r="G1502">
        <v>36</v>
      </c>
      <c r="H1502" s="2">
        <v>44253.854907407411</v>
      </c>
    </row>
    <row r="1503" spans="1:8" ht="14.25" customHeight="1" x14ac:dyDescent="0.3">
      <c r="A1503">
        <v>1346929</v>
      </c>
      <c r="B1503" t="s">
        <v>6504</v>
      </c>
      <c r="C1503" s="1" t="s">
        <v>6505</v>
      </c>
      <c r="D1503" t="s">
        <v>11</v>
      </c>
      <c r="E1503">
        <v>1</v>
      </c>
      <c r="F1503">
        <v>1</v>
      </c>
      <c r="G1503">
        <v>43</v>
      </c>
      <c r="H1503" s="2">
        <v>44253.855057870373</v>
      </c>
    </row>
    <row r="1504" spans="1:8" ht="14.25" customHeight="1" x14ac:dyDescent="0.3">
      <c r="A1504">
        <v>1346955</v>
      </c>
      <c r="B1504" t="s">
        <v>6506</v>
      </c>
      <c r="C1504" s="1" t="s">
        <v>6507</v>
      </c>
      <c r="D1504" t="s">
        <v>11</v>
      </c>
      <c r="E1504">
        <v>1</v>
      </c>
      <c r="F1504">
        <v>2</v>
      </c>
      <c r="G1504">
        <v>41</v>
      </c>
      <c r="H1504" s="2">
        <v>44253.855231481481</v>
      </c>
    </row>
    <row r="1505" spans="1:8" ht="14.25" customHeight="1" x14ac:dyDescent="0.3">
      <c r="A1505">
        <v>1345980</v>
      </c>
      <c r="B1505" t="e">
        <f>- hewes business color printer M452 - replacement quote</f>
        <v>#NAME?</v>
      </c>
      <c r="C1505" s="1" t="s">
        <v>6508</v>
      </c>
      <c r="D1505" t="s">
        <v>11</v>
      </c>
      <c r="E1505">
        <v>1</v>
      </c>
      <c r="F1505">
        <v>1</v>
      </c>
      <c r="G1505">
        <v>36</v>
      </c>
      <c r="H1505" s="2">
        <v>44253.866539351853</v>
      </c>
    </row>
    <row r="1506" spans="1:8" ht="14.25" customHeight="1" x14ac:dyDescent="0.3">
      <c r="A1506">
        <v>1345864</v>
      </c>
      <c r="B1506" t="e">
        <f>- re:  word doc issues</f>
        <v>#NAME?</v>
      </c>
      <c r="C1506" s="1" t="s">
        <v>6509</v>
      </c>
      <c r="D1506" t="s">
        <v>11</v>
      </c>
      <c r="E1506">
        <v>1</v>
      </c>
      <c r="F1506">
        <v>1</v>
      </c>
      <c r="G1506">
        <v>41</v>
      </c>
      <c r="H1506" s="2">
        <v>44253.866631944446</v>
      </c>
    </row>
    <row r="1507" spans="1:8" ht="14.25" customHeight="1" x14ac:dyDescent="0.3">
      <c r="A1507">
        <v>1345909</v>
      </c>
      <c r="B1507" t="s">
        <v>6510</v>
      </c>
      <c r="C1507" s="1" t="s">
        <v>6511</v>
      </c>
      <c r="D1507" t="s">
        <v>11</v>
      </c>
      <c r="E1507">
        <v>1</v>
      </c>
      <c r="F1507">
        <v>1</v>
      </c>
      <c r="G1507">
        <v>43</v>
      </c>
      <c r="H1507" s="2">
        <v>44253.868009259262</v>
      </c>
    </row>
    <row r="1508" spans="1:8" ht="14.25" customHeight="1" x14ac:dyDescent="0.3">
      <c r="A1508">
        <v>1345834</v>
      </c>
      <c r="B1508" t="s">
        <v>6512</v>
      </c>
      <c r="C1508" s="1" t="s">
        <v>6513</v>
      </c>
      <c r="D1508" t="s">
        <v>11</v>
      </c>
      <c r="E1508">
        <v>1</v>
      </c>
      <c r="F1508">
        <v>1</v>
      </c>
      <c r="G1508">
        <v>43</v>
      </c>
      <c r="H1508" s="2">
        <v>44253.873206018521</v>
      </c>
    </row>
    <row r="1509" spans="1:8" ht="14.25" customHeight="1" x14ac:dyDescent="0.3">
      <c r="A1509">
        <v>1346539</v>
      </c>
      <c r="B1509" t="s">
        <v>6514</v>
      </c>
      <c r="C1509" s="1" t="s">
        <v>6515</v>
      </c>
      <c r="D1509" t="s">
        <v>11</v>
      </c>
      <c r="E1509">
        <v>1</v>
      </c>
      <c r="F1509">
        <v>1</v>
      </c>
      <c r="G1509">
        <v>36</v>
      </c>
      <c r="H1509" s="2">
        <v>44253.873599537037</v>
      </c>
    </row>
    <row r="1510" spans="1:8" ht="14.25" customHeight="1" x14ac:dyDescent="0.3">
      <c r="A1510">
        <v>1345819</v>
      </c>
      <c r="B1510" t="s">
        <v>6516</v>
      </c>
      <c r="C1510" s="1" t="s">
        <v>6517</v>
      </c>
      <c r="D1510" t="s">
        <v>24</v>
      </c>
      <c r="E1510">
        <v>1</v>
      </c>
      <c r="F1510">
        <v>1</v>
      </c>
      <c r="G1510">
        <v>36</v>
      </c>
      <c r="H1510" s="2">
        <v>44253.873773148145</v>
      </c>
    </row>
    <row r="1511" spans="1:8" ht="14.25" customHeight="1" x14ac:dyDescent="0.3">
      <c r="A1511">
        <v>1345838</v>
      </c>
      <c r="B1511" t="s">
        <v>4903</v>
      </c>
      <c r="C1511" s="1" t="s">
        <v>6518</v>
      </c>
      <c r="D1511" t="s">
        <v>11</v>
      </c>
      <c r="E1511">
        <v>1</v>
      </c>
      <c r="F1511">
        <v>1</v>
      </c>
      <c r="G1511">
        <v>43</v>
      </c>
      <c r="H1511" s="2">
        <v>44253.873865740738</v>
      </c>
    </row>
    <row r="1512" spans="1:8" ht="14.25" customHeight="1" x14ac:dyDescent="0.3">
      <c r="A1512">
        <v>1345836</v>
      </c>
      <c r="B1512" t="s">
        <v>6519</v>
      </c>
      <c r="C1512" s="1" t="s">
        <v>6520</v>
      </c>
      <c r="D1512" t="s">
        <v>11</v>
      </c>
      <c r="E1512">
        <v>1</v>
      </c>
      <c r="F1512">
        <v>1</v>
      </c>
      <c r="G1512">
        <v>43</v>
      </c>
      <c r="H1512" s="2">
        <v>44253.875972222224</v>
      </c>
    </row>
    <row r="1513" spans="1:8" ht="14.25" customHeight="1" x14ac:dyDescent="0.3">
      <c r="A1513">
        <v>1345818</v>
      </c>
      <c r="B1513" t="s">
        <v>6521</v>
      </c>
      <c r="C1513" s="1" t="s">
        <v>6522</v>
      </c>
      <c r="D1513" t="s">
        <v>11</v>
      </c>
      <c r="E1513">
        <v>1</v>
      </c>
      <c r="F1513">
        <v>1</v>
      </c>
      <c r="G1513">
        <v>43</v>
      </c>
      <c r="H1513" s="2">
        <v>44253.876076388886</v>
      </c>
    </row>
    <row r="1514" spans="1:8" ht="14.25" customHeight="1" x14ac:dyDescent="0.3">
      <c r="A1514">
        <v>1346359</v>
      </c>
      <c r="B1514" t="s">
        <v>6523</v>
      </c>
      <c r="C1514" s="1" t="s">
        <v>6524</v>
      </c>
      <c r="D1514" t="s">
        <v>11</v>
      </c>
      <c r="E1514">
        <v>1</v>
      </c>
      <c r="F1514">
        <v>1</v>
      </c>
      <c r="G1514">
        <v>43</v>
      </c>
      <c r="H1514" s="2">
        <v>44253.876388888886</v>
      </c>
    </row>
    <row r="1515" spans="1:8" ht="14.25" customHeight="1" x14ac:dyDescent="0.3">
      <c r="A1515">
        <v>1345767</v>
      </c>
      <c r="B1515" t="s">
        <v>6525</v>
      </c>
      <c r="C1515" s="1" t="s">
        <v>6526</v>
      </c>
      <c r="D1515" t="s">
        <v>11</v>
      </c>
      <c r="E1515">
        <v>1</v>
      </c>
      <c r="F1515">
        <v>1</v>
      </c>
      <c r="G1515">
        <v>43</v>
      </c>
      <c r="H1515" s="2">
        <v>44253.876516203702</v>
      </c>
    </row>
    <row r="1516" spans="1:8" ht="14.25" customHeight="1" x14ac:dyDescent="0.3">
      <c r="A1516">
        <v>1346241</v>
      </c>
      <c r="B1516" t="s">
        <v>4690</v>
      </c>
      <c r="C1516" t="s">
        <v>4691</v>
      </c>
      <c r="D1516" t="s">
        <v>1158</v>
      </c>
      <c r="E1516">
        <v>1</v>
      </c>
      <c r="F1516">
        <v>1</v>
      </c>
      <c r="G1516">
        <v>36</v>
      </c>
      <c r="H1516" s="2">
        <v>44253.883298611108</v>
      </c>
    </row>
    <row r="1517" spans="1:8" ht="14.25" customHeight="1" x14ac:dyDescent="0.3">
      <c r="A1517">
        <v>1345651</v>
      </c>
      <c r="B1517" t="s">
        <v>4831</v>
      </c>
      <c r="C1517" t="s">
        <v>4832</v>
      </c>
      <c r="D1517" t="s">
        <v>1158</v>
      </c>
      <c r="E1517">
        <v>1</v>
      </c>
      <c r="F1517">
        <v>1</v>
      </c>
      <c r="G1517">
        <v>36</v>
      </c>
      <c r="H1517" s="2">
        <v>44253.88354166667</v>
      </c>
    </row>
    <row r="1518" spans="1:8" ht="14.25" customHeight="1" x14ac:dyDescent="0.3">
      <c r="A1518">
        <v>1345827</v>
      </c>
      <c r="B1518" t="e">
        <f>- workstation issues</f>
        <v>#NAME?</v>
      </c>
      <c r="C1518" s="1" t="s">
        <v>6527</v>
      </c>
      <c r="D1518" t="s">
        <v>24</v>
      </c>
      <c r="E1518">
        <v>1</v>
      </c>
      <c r="F1518">
        <v>2</v>
      </c>
      <c r="G1518">
        <v>41</v>
      </c>
      <c r="H1518" s="2">
        <v>44253.887777777774</v>
      </c>
    </row>
    <row r="1519" spans="1:8" ht="14.25" customHeight="1" x14ac:dyDescent="0.3">
      <c r="A1519">
        <v>1345820</v>
      </c>
      <c r="B1519" t="s">
        <v>6528</v>
      </c>
      <c r="C1519" s="1" t="s">
        <v>6529</v>
      </c>
      <c r="D1519" t="s">
        <v>11</v>
      </c>
      <c r="E1519">
        <v>1</v>
      </c>
      <c r="F1519">
        <v>1</v>
      </c>
      <c r="G1519">
        <v>43</v>
      </c>
      <c r="H1519" s="2">
        <v>44253.887939814813</v>
      </c>
    </row>
    <row r="1520" spans="1:8" ht="14.25" customHeight="1" x14ac:dyDescent="0.3">
      <c r="A1520">
        <v>1345392</v>
      </c>
      <c r="B1520" t="e">
        <f>- new employee, lyndsay yellowdirt</f>
        <v>#NAME?</v>
      </c>
      <c r="C1520" s="1" t="s">
        <v>6530</v>
      </c>
      <c r="D1520" t="s">
        <v>24</v>
      </c>
      <c r="E1520">
        <v>1</v>
      </c>
      <c r="F1520">
        <v>2</v>
      </c>
      <c r="G1520">
        <v>43</v>
      </c>
      <c r="H1520" s="2">
        <v>44253.888171296298</v>
      </c>
    </row>
    <row r="1521" spans="1:8" ht="14.25" customHeight="1" x14ac:dyDescent="0.3">
      <c r="A1521">
        <v>1345350</v>
      </c>
      <c r="B1521" t="s">
        <v>6531</v>
      </c>
      <c r="C1521" s="1" t="s">
        <v>6532</v>
      </c>
      <c r="D1521" t="s">
        <v>11</v>
      </c>
      <c r="E1521">
        <v>1</v>
      </c>
      <c r="F1521">
        <v>1</v>
      </c>
      <c r="G1521">
        <v>43</v>
      </c>
      <c r="H1521" s="2">
        <v>44253.888310185182</v>
      </c>
    </row>
    <row r="1522" spans="1:8" ht="14.25" customHeight="1" x14ac:dyDescent="0.3">
      <c r="A1522">
        <v>1345750</v>
      </c>
      <c r="B1522" t="s">
        <v>6533</v>
      </c>
      <c r="C1522" t="s">
        <v>6534</v>
      </c>
      <c r="D1522" t="s">
        <v>11</v>
      </c>
      <c r="E1522">
        <v>1</v>
      </c>
      <c r="F1522">
        <v>1</v>
      </c>
      <c r="G1522">
        <v>43</v>
      </c>
      <c r="H1522" s="2">
        <v>44253.888391203705</v>
      </c>
    </row>
    <row r="1523" spans="1:8" ht="14.25" customHeight="1" x14ac:dyDescent="0.3">
      <c r="A1523">
        <v>1345395</v>
      </c>
      <c r="B1523" t="s">
        <v>6535</v>
      </c>
      <c r="C1523" s="1" t="s">
        <v>6536</v>
      </c>
      <c r="D1523" t="s">
        <v>11</v>
      </c>
      <c r="E1523">
        <v>1</v>
      </c>
      <c r="F1523">
        <v>1</v>
      </c>
      <c r="G1523">
        <v>43</v>
      </c>
      <c r="H1523" s="2">
        <v>44253.894155092596</v>
      </c>
    </row>
    <row r="1524" spans="1:8" ht="14.25" customHeight="1" x14ac:dyDescent="0.3">
      <c r="A1524">
        <v>1346242</v>
      </c>
      <c r="B1524" t="s">
        <v>4690</v>
      </c>
      <c r="C1524" t="s">
        <v>4691</v>
      </c>
      <c r="D1524" t="s">
        <v>1158</v>
      </c>
      <c r="E1524">
        <v>1</v>
      </c>
      <c r="F1524">
        <v>1</v>
      </c>
      <c r="G1524">
        <v>36</v>
      </c>
      <c r="H1524" s="2">
        <v>44253.895601851851</v>
      </c>
    </row>
    <row r="1525" spans="1:8" ht="14.25" customHeight="1" x14ac:dyDescent="0.3">
      <c r="A1525">
        <v>1345368</v>
      </c>
      <c r="B1525" t="s">
        <v>6537</v>
      </c>
      <c r="C1525" s="1" t="s">
        <v>6538</v>
      </c>
      <c r="D1525" t="s">
        <v>11</v>
      </c>
      <c r="E1525">
        <v>1</v>
      </c>
      <c r="F1525">
        <v>1</v>
      </c>
      <c r="G1525">
        <v>41</v>
      </c>
      <c r="H1525" s="2">
        <v>44253.897233796299</v>
      </c>
    </row>
    <row r="1526" spans="1:8" ht="14.25" customHeight="1" x14ac:dyDescent="0.3">
      <c r="A1526">
        <v>1345650</v>
      </c>
      <c r="B1526" t="s">
        <v>4683</v>
      </c>
      <c r="C1526" t="s">
        <v>4684</v>
      </c>
      <c r="D1526" t="s">
        <v>1158</v>
      </c>
      <c r="E1526">
        <v>1</v>
      </c>
      <c r="F1526">
        <v>1</v>
      </c>
      <c r="G1526">
        <v>36</v>
      </c>
      <c r="H1526" s="2">
        <v>44253.897314814814</v>
      </c>
    </row>
    <row r="1527" spans="1:8" ht="14.25" customHeight="1" x14ac:dyDescent="0.3">
      <c r="A1527">
        <v>1345946</v>
      </c>
      <c r="B1527" t="s">
        <v>6539</v>
      </c>
      <c r="C1527" s="1" t="s">
        <v>6540</v>
      </c>
      <c r="D1527" t="s">
        <v>11</v>
      </c>
      <c r="E1527">
        <v>1</v>
      </c>
      <c r="F1527">
        <v>1</v>
      </c>
      <c r="G1527">
        <v>43</v>
      </c>
      <c r="H1527" s="2">
        <v>44253.897916666669</v>
      </c>
    </row>
    <row r="1528" spans="1:8" ht="14.25" customHeight="1" x14ac:dyDescent="0.3">
      <c r="A1528">
        <v>1345308</v>
      </c>
      <c r="B1528" t="s">
        <v>6541</v>
      </c>
      <c r="C1528" s="1" t="s">
        <v>6542</v>
      </c>
      <c r="D1528" t="s">
        <v>11</v>
      </c>
      <c r="E1528">
        <v>1</v>
      </c>
      <c r="F1528">
        <v>1</v>
      </c>
      <c r="G1528">
        <v>43</v>
      </c>
      <c r="H1528" s="2">
        <v>44253.897997685184</v>
      </c>
    </row>
    <row r="1529" spans="1:8" ht="14.25" customHeight="1" x14ac:dyDescent="0.3">
      <c r="A1529">
        <v>1345869</v>
      </c>
      <c r="B1529" t="s">
        <v>6543</v>
      </c>
      <c r="C1529" s="1" t="s">
        <v>6544</v>
      </c>
      <c r="D1529" t="s">
        <v>11</v>
      </c>
      <c r="E1529">
        <v>1</v>
      </c>
      <c r="F1529">
        <v>1</v>
      </c>
      <c r="G1529">
        <v>41</v>
      </c>
      <c r="H1529" s="2">
        <v>44253.898379629631</v>
      </c>
    </row>
    <row r="1530" spans="1:8" ht="14.25" customHeight="1" x14ac:dyDescent="0.3">
      <c r="A1530">
        <v>1345295</v>
      </c>
      <c r="B1530" t="s">
        <v>6545</v>
      </c>
      <c r="C1530" s="1" t="s">
        <v>6546</v>
      </c>
      <c r="D1530" t="s">
        <v>24</v>
      </c>
      <c r="E1530">
        <v>1</v>
      </c>
      <c r="F1530">
        <v>1</v>
      </c>
      <c r="G1530">
        <v>43</v>
      </c>
      <c r="H1530" s="2">
        <v>44253.903912037036</v>
      </c>
    </row>
    <row r="1531" spans="1:8" ht="14.25" customHeight="1" x14ac:dyDescent="0.3">
      <c r="A1531">
        <v>1345284</v>
      </c>
      <c r="B1531" t="e">
        <f>- offboard allison yaseniuk</f>
        <v>#NAME?</v>
      </c>
      <c r="C1531" s="1" t="s">
        <v>6547</v>
      </c>
      <c r="D1531" t="s">
        <v>24</v>
      </c>
      <c r="E1531">
        <v>1</v>
      </c>
      <c r="F1531">
        <v>1</v>
      </c>
      <c r="G1531">
        <v>43</v>
      </c>
      <c r="H1531" s="2">
        <v>44253.90420138889</v>
      </c>
    </row>
    <row r="1532" spans="1:8" ht="14.25" customHeight="1" x14ac:dyDescent="0.3">
      <c r="A1532">
        <v>1345280</v>
      </c>
      <c r="B1532" t="s">
        <v>6548</v>
      </c>
      <c r="C1532" s="1" t="s">
        <v>6549</v>
      </c>
      <c r="D1532" t="s">
        <v>24</v>
      </c>
      <c r="E1532">
        <v>1</v>
      </c>
      <c r="F1532">
        <v>1</v>
      </c>
      <c r="G1532">
        <v>36</v>
      </c>
      <c r="H1532" s="2">
        <v>44253.90425925926</v>
      </c>
    </row>
    <row r="1533" spans="1:8" ht="14.25" customHeight="1" x14ac:dyDescent="0.3">
      <c r="A1533">
        <v>1345242</v>
      </c>
      <c r="B1533" t="s">
        <v>4555</v>
      </c>
      <c r="C1533" s="1" t="s">
        <v>6550</v>
      </c>
      <c r="D1533" t="s">
        <v>11</v>
      </c>
      <c r="E1533">
        <v>1</v>
      </c>
      <c r="F1533">
        <v>1</v>
      </c>
      <c r="G1533">
        <v>41</v>
      </c>
      <c r="H1533" s="2">
        <v>44253.904988425929</v>
      </c>
    </row>
    <row r="1534" spans="1:8" ht="14.25" customHeight="1" x14ac:dyDescent="0.3">
      <c r="A1534">
        <v>1345354</v>
      </c>
      <c r="B1534" t="s">
        <v>6551</v>
      </c>
      <c r="C1534" s="1" t="s">
        <v>6552</v>
      </c>
      <c r="D1534" t="s">
        <v>11</v>
      </c>
      <c r="E1534">
        <v>1</v>
      </c>
      <c r="F1534">
        <v>1</v>
      </c>
      <c r="G1534">
        <v>41</v>
      </c>
      <c r="H1534" s="2">
        <v>44253.905590277776</v>
      </c>
    </row>
    <row r="1535" spans="1:8" ht="14.25" customHeight="1" x14ac:dyDescent="0.3">
      <c r="A1535">
        <v>1345316</v>
      </c>
      <c r="B1535" t="s">
        <v>6553</v>
      </c>
      <c r="C1535" s="1" t="s">
        <v>6554</v>
      </c>
      <c r="D1535" t="s">
        <v>11</v>
      </c>
      <c r="E1535">
        <v>1</v>
      </c>
      <c r="F1535">
        <v>1</v>
      </c>
      <c r="G1535">
        <v>36</v>
      </c>
      <c r="H1535" s="2">
        <v>44253.906111111108</v>
      </c>
    </row>
    <row r="1536" spans="1:8" ht="14.25" customHeight="1" x14ac:dyDescent="0.3">
      <c r="A1536">
        <v>1346243</v>
      </c>
      <c r="B1536" t="s">
        <v>6555</v>
      </c>
      <c r="C1536" t="s">
        <v>6556</v>
      </c>
      <c r="D1536" t="s">
        <v>1158</v>
      </c>
      <c r="E1536">
        <v>1</v>
      </c>
      <c r="F1536">
        <v>1</v>
      </c>
      <c r="G1536">
        <v>36</v>
      </c>
      <c r="H1536" s="2">
        <v>44253.906469907408</v>
      </c>
    </row>
    <row r="1537" spans="1:8" ht="14.25" customHeight="1" x14ac:dyDescent="0.3">
      <c r="A1537">
        <v>1345274</v>
      </c>
      <c r="B1537" t="s">
        <v>6557</v>
      </c>
      <c r="C1537" s="1" t="s">
        <v>6558</v>
      </c>
      <c r="D1537" t="s">
        <v>24</v>
      </c>
      <c r="E1537">
        <v>1</v>
      </c>
      <c r="F1537">
        <v>1</v>
      </c>
      <c r="G1537">
        <v>43</v>
      </c>
      <c r="H1537" s="2">
        <v>44253.9065625</v>
      </c>
    </row>
    <row r="1538" spans="1:8" ht="14.25" customHeight="1" x14ac:dyDescent="0.3">
      <c r="A1538">
        <v>1345241</v>
      </c>
      <c r="B1538" t="e">
        <f>- pickup loaner qnap at landrex</f>
        <v>#NAME?</v>
      </c>
      <c r="C1538" s="1" t="s">
        <v>6559</v>
      </c>
      <c r="D1538" t="s">
        <v>24</v>
      </c>
      <c r="E1538">
        <v>1</v>
      </c>
      <c r="F1538">
        <v>1</v>
      </c>
      <c r="G1538">
        <v>43</v>
      </c>
      <c r="H1538" s="2">
        <v>44253.908576388887</v>
      </c>
    </row>
    <row r="1539" spans="1:8" ht="14.25" customHeight="1" x14ac:dyDescent="0.3">
      <c r="A1539">
        <v>1345318</v>
      </c>
      <c r="B1539" t="s">
        <v>6560</v>
      </c>
      <c r="C1539" s="1" t="s">
        <v>6561</v>
      </c>
      <c r="D1539" t="s">
        <v>24</v>
      </c>
      <c r="E1539">
        <v>1</v>
      </c>
      <c r="F1539">
        <v>1</v>
      </c>
      <c r="G1539">
        <v>36</v>
      </c>
      <c r="H1539" s="2">
        <v>44253.909502314818</v>
      </c>
    </row>
    <row r="1540" spans="1:8" ht="14.25" customHeight="1" x14ac:dyDescent="0.3">
      <c r="A1540">
        <v>1345317</v>
      </c>
      <c r="B1540" t="s">
        <v>6562</v>
      </c>
      <c r="C1540" s="1" t="s">
        <v>6563</v>
      </c>
      <c r="D1540" t="s">
        <v>11</v>
      </c>
      <c r="E1540">
        <v>1</v>
      </c>
      <c r="F1540">
        <v>1</v>
      </c>
      <c r="G1540">
        <v>36</v>
      </c>
      <c r="H1540" s="2">
        <v>44253.909942129627</v>
      </c>
    </row>
    <row r="1541" spans="1:8" ht="14.25" customHeight="1" x14ac:dyDescent="0.3">
      <c r="A1541">
        <v>1345191</v>
      </c>
      <c r="B1541" t="s">
        <v>6564</v>
      </c>
      <c r="C1541" s="1" t="s">
        <v>6565</v>
      </c>
      <c r="D1541" t="s">
        <v>11</v>
      </c>
      <c r="E1541">
        <v>1</v>
      </c>
      <c r="F1541">
        <v>1</v>
      </c>
      <c r="G1541">
        <v>43</v>
      </c>
      <c r="H1541" s="2">
        <v>44253.910011574073</v>
      </c>
    </row>
    <row r="1542" spans="1:8" ht="14.25" customHeight="1" x14ac:dyDescent="0.3">
      <c r="A1542">
        <v>1345173</v>
      </c>
      <c r="B1542" t="s">
        <v>2772</v>
      </c>
      <c r="C1542" s="1" t="s">
        <v>6566</v>
      </c>
      <c r="D1542" t="s">
        <v>11</v>
      </c>
      <c r="E1542">
        <v>1</v>
      </c>
      <c r="F1542">
        <v>1</v>
      </c>
      <c r="G1542">
        <v>43</v>
      </c>
      <c r="H1542" s="2">
        <v>44253.912002314813</v>
      </c>
    </row>
    <row r="1543" spans="1:8" ht="14.25" customHeight="1" x14ac:dyDescent="0.3">
      <c r="A1543">
        <v>1345130</v>
      </c>
      <c r="B1543" t="s">
        <v>6567</v>
      </c>
      <c r="C1543" s="1" t="s">
        <v>6568</v>
      </c>
      <c r="D1543" t="s">
        <v>11</v>
      </c>
      <c r="E1543">
        <v>1</v>
      </c>
      <c r="F1543">
        <v>1</v>
      </c>
      <c r="G1543">
        <v>41</v>
      </c>
      <c r="H1543" s="2">
        <v>44253.914166666669</v>
      </c>
    </row>
    <row r="1544" spans="1:8" ht="14.25" customHeight="1" x14ac:dyDescent="0.3">
      <c r="A1544">
        <v>1345208</v>
      </c>
      <c r="B1544" t="s">
        <v>6569</v>
      </c>
      <c r="C1544" s="1" t="s">
        <v>6570</v>
      </c>
      <c r="D1544" t="s">
        <v>11</v>
      </c>
      <c r="E1544">
        <v>1</v>
      </c>
      <c r="F1544">
        <v>1</v>
      </c>
      <c r="G1544">
        <v>43</v>
      </c>
      <c r="H1544" s="2">
        <v>44253.914780092593</v>
      </c>
    </row>
    <row r="1545" spans="1:8" ht="14.25" customHeight="1" x14ac:dyDescent="0.3">
      <c r="A1545">
        <v>1345175</v>
      </c>
      <c r="B1545" t="s">
        <v>3010</v>
      </c>
      <c r="C1545" t="s">
        <v>6571</v>
      </c>
      <c r="D1545" t="s">
        <v>11</v>
      </c>
      <c r="E1545">
        <v>1</v>
      </c>
      <c r="F1545">
        <v>1</v>
      </c>
      <c r="G1545">
        <v>41</v>
      </c>
      <c r="H1545" s="2">
        <v>44253.914884259262</v>
      </c>
    </row>
    <row r="1546" spans="1:8" ht="14.25" customHeight="1" x14ac:dyDescent="0.3">
      <c r="A1546">
        <v>1345207</v>
      </c>
      <c r="B1546" t="s">
        <v>6572</v>
      </c>
      <c r="C1546" s="1" t="s">
        <v>6573</v>
      </c>
      <c r="D1546" t="s">
        <v>11</v>
      </c>
      <c r="E1546">
        <v>1</v>
      </c>
      <c r="F1546">
        <v>1</v>
      </c>
      <c r="G1546">
        <v>43</v>
      </c>
      <c r="H1546" s="2">
        <v>44253.915960648148</v>
      </c>
    </row>
    <row r="1547" spans="1:8" ht="14.25" customHeight="1" x14ac:dyDescent="0.3">
      <c r="A1547">
        <v>1345239</v>
      </c>
      <c r="B1547" t="s">
        <v>6574</v>
      </c>
      <c r="C1547" s="1" t="s">
        <v>6575</v>
      </c>
      <c r="D1547" t="s">
        <v>24</v>
      </c>
      <c r="E1547">
        <v>1</v>
      </c>
      <c r="F1547">
        <v>1</v>
      </c>
      <c r="G1547">
        <v>36</v>
      </c>
      <c r="H1547" s="2">
        <v>44253.916226851848</v>
      </c>
    </row>
    <row r="1548" spans="1:8" ht="14.25" customHeight="1" x14ac:dyDescent="0.3">
      <c r="A1548">
        <v>1345730</v>
      </c>
      <c r="B1548" t="s">
        <v>4555</v>
      </c>
      <c r="C1548" s="1" t="s">
        <v>6576</v>
      </c>
      <c r="D1548" t="s">
        <v>11</v>
      </c>
      <c r="E1548">
        <v>1</v>
      </c>
      <c r="F1548">
        <v>1</v>
      </c>
      <c r="G1548">
        <v>41</v>
      </c>
      <c r="H1548" s="2">
        <v>44253.916307870371</v>
      </c>
    </row>
    <row r="1549" spans="1:8" ht="14.25" customHeight="1" x14ac:dyDescent="0.3">
      <c r="A1549">
        <v>1345256</v>
      </c>
      <c r="B1549" t="s">
        <v>6577</v>
      </c>
      <c r="C1549" s="1" t="s">
        <v>6578</v>
      </c>
      <c r="D1549" t="s">
        <v>11</v>
      </c>
      <c r="E1549">
        <v>1</v>
      </c>
      <c r="F1549">
        <v>1</v>
      </c>
      <c r="G1549">
        <v>41</v>
      </c>
      <c r="H1549" s="2">
        <v>44253.916504629633</v>
      </c>
    </row>
    <row r="1550" spans="1:8" ht="14.25" customHeight="1" x14ac:dyDescent="0.3">
      <c r="A1550">
        <v>1345265</v>
      </c>
      <c r="B1550" t="s">
        <v>4555</v>
      </c>
      <c r="C1550" s="1" t="s">
        <v>6579</v>
      </c>
      <c r="D1550" t="s">
        <v>11</v>
      </c>
      <c r="E1550">
        <v>1</v>
      </c>
      <c r="F1550">
        <v>1</v>
      </c>
      <c r="G1550">
        <v>41</v>
      </c>
      <c r="H1550" s="2">
        <v>44253.916643518518</v>
      </c>
    </row>
    <row r="1551" spans="1:8" ht="14.25" customHeight="1" x14ac:dyDescent="0.3">
      <c r="A1551">
        <v>1345286</v>
      </c>
      <c r="B1551" t="s">
        <v>6580</v>
      </c>
      <c r="C1551" s="1" t="s">
        <v>6581</v>
      </c>
      <c r="D1551" t="s">
        <v>11</v>
      </c>
      <c r="E1551">
        <v>1</v>
      </c>
      <c r="F1551">
        <v>1</v>
      </c>
      <c r="G1551">
        <v>43</v>
      </c>
      <c r="H1551" s="2">
        <v>44253.916828703703</v>
      </c>
    </row>
    <row r="1552" spans="1:8" ht="14.25" customHeight="1" x14ac:dyDescent="0.3">
      <c r="A1552">
        <v>1344982</v>
      </c>
      <c r="B1552" t="s">
        <v>6555</v>
      </c>
      <c r="C1552" t="s">
        <v>6556</v>
      </c>
      <c r="D1552" t="s">
        <v>1158</v>
      </c>
      <c r="E1552">
        <v>1</v>
      </c>
      <c r="F1552">
        <v>1</v>
      </c>
      <c r="G1552">
        <v>36</v>
      </c>
      <c r="H1552" s="2">
        <v>44253.917384259257</v>
      </c>
    </row>
    <row r="1553" spans="1:8" ht="14.25" customHeight="1" x14ac:dyDescent="0.3">
      <c r="A1553">
        <v>1344763</v>
      </c>
      <c r="B1553" t="s">
        <v>6582</v>
      </c>
      <c r="C1553" s="1" t="s">
        <v>6583</v>
      </c>
      <c r="D1553" t="s">
        <v>11</v>
      </c>
      <c r="E1553">
        <v>1</v>
      </c>
      <c r="F1553">
        <v>1</v>
      </c>
      <c r="G1553">
        <v>36</v>
      </c>
      <c r="H1553" s="2">
        <v>44253.917523148149</v>
      </c>
    </row>
    <row r="1554" spans="1:8" ht="14.25" customHeight="1" x14ac:dyDescent="0.3">
      <c r="A1554">
        <v>1344621</v>
      </c>
      <c r="B1554" t="s">
        <v>4683</v>
      </c>
      <c r="C1554" t="s">
        <v>4684</v>
      </c>
      <c r="D1554" t="s">
        <v>1158</v>
      </c>
      <c r="E1554">
        <v>1</v>
      </c>
      <c r="F1554">
        <v>1</v>
      </c>
      <c r="G1554">
        <v>36</v>
      </c>
      <c r="H1554" s="2">
        <v>44253.917569444442</v>
      </c>
    </row>
    <row r="1555" spans="1:8" ht="14.25" customHeight="1" x14ac:dyDescent="0.3">
      <c r="A1555">
        <v>1345966</v>
      </c>
      <c r="B1555" t="s">
        <v>6584</v>
      </c>
      <c r="C1555" s="1" t="s">
        <v>6585</v>
      </c>
      <c r="D1555" t="s">
        <v>11</v>
      </c>
      <c r="E1555">
        <v>1</v>
      </c>
      <c r="F1555">
        <v>1</v>
      </c>
      <c r="G1555">
        <v>36</v>
      </c>
      <c r="H1555" s="2">
        <v>44253.917662037034</v>
      </c>
    </row>
    <row r="1556" spans="1:8" ht="14.25" customHeight="1" x14ac:dyDescent="0.3">
      <c r="A1556">
        <v>1344983</v>
      </c>
      <c r="B1556" t="s">
        <v>6586</v>
      </c>
      <c r="C1556" t="s">
        <v>6556</v>
      </c>
      <c r="D1556" t="s">
        <v>1158</v>
      </c>
      <c r="E1556">
        <v>1</v>
      </c>
      <c r="F1556">
        <v>1</v>
      </c>
      <c r="G1556">
        <v>36</v>
      </c>
      <c r="H1556" s="2">
        <v>44253.917719907404</v>
      </c>
    </row>
    <row r="1557" spans="1:8" ht="14.25" customHeight="1" x14ac:dyDescent="0.3">
      <c r="A1557">
        <v>1344984</v>
      </c>
      <c r="B1557" t="s">
        <v>4831</v>
      </c>
      <c r="C1557" t="s">
        <v>4832</v>
      </c>
      <c r="D1557" t="s">
        <v>1158</v>
      </c>
      <c r="E1557">
        <v>1</v>
      </c>
      <c r="F1557">
        <v>1</v>
      </c>
      <c r="G1557">
        <v>36</v>
      </c>
      <c r="H1557" s="2">
        <v>44253.918043981481</v>
      </c>
    </row>
    <row r="1558" spans="1:8" ht="14.25" customHeight="1" x14ac:dyDescent="0.3">
      <c r="A1558">
        <v>1344619</v>
      </c>
      <c r="B1558" t="s">
        <v>4683</v>
      </c>
      <c r="C1558" t="s">
        <v>4684</v>
      </c>
      <c r="D1558" t="s">
        <v>1158</v>
      </c>
      <c r="E1558">
        <v>1</v>
      </c>
      <c r="F1558">
        <v>1</v>
      </c>
      <c r="G1558">
        <v>36</v>
      </c>
      <c r="H1558" s="2">
        <v>44253.91810185185</v>
      </c>
    </row>
    <row r="1559" spans="1:8" ht="14.25" customHeight="1" x14ac:dyDescent="0.3">
      <c r="A1559">
        <v>1344620</v>
      </c>
      <c r="B1559" t="s">
        <v>4683</v>
      </c>
      <c r="C1559" t="s">
        <v>4684</v>
      </c>
      <c r="D1559" t="s">
        <v>1158</v>
      </c>
      <c r="E1559">
        <v>1</v>
      </c>
      <c r="F1559">
        <v>1</v>
      </c>
      <c r="G1559">
        <v>36</v>
      </c>
      <c r="H1559" s="2">
        <v>44253.918182870373</v>
      </c>
    </row>
    <row r="1560" spans="1:8" ht="14.25" customHeight="1" x14ac:dyDescent="0.3">
      <c r="A1560">
        <v>1344236</v>
      </c>
      <c r="B1560" t="s">
        <v>6587</v>
      </c>
      <c r="C1560" s="1" t="s">
        <v>6588</v>
      </c>
      <c r="D1560" t="s">
        <v>11</v>
      </c>
      <c r="E1560">
        <v>1</v>
      </c>
      <c r="F1560">
        <v>1</v>
      </c>
      <c r="G1560">
        <v>41</v>
      </c>
      <c r="H1560" s="2">
        <v>44253.918356481481</v>
      </c>
    </row>
    <row r="1561" spans="1:8" ht="14.25" customHeight="1" x14ac:dyDescent="0.3">
      <c r="A1561">
        <v>1344207</v>
      </c>
      <c r="B1561" t="s">
        <v>4856</v>
      </c>
      <c r="C1561" t="s">
        <v>4857</v>
      </c>
      <c r="D1561" t="s">
        <v>1158</v>
      </c>
      <c r="E1561">
        <v>1</v>
      </c>
      <c r="F1561">
        <v>1</v>
      </c>
      <c r="G1561">
        <v>36</v>
      </c>
      <c r="H1561" s="2">
        <v>44253.918553240743</v>
      </c>
    </row>
    <row r="1562" spans="1:8" ht="14.25" customHeight="1" x14ac:dyDescent="0.3">
      <c r="A1562">
        <v>1344623</v>
      </c>
      <c r="B1562" t="s">
        <v>4683</v>
      </c>
      <c r="C1562" t="s">
        <v>4832</v>
      </c>
      <c r="D1562" t="s">
        <v>1158</v>
      </c>
      <c r="E1562">
        <v>1</v>
      </c>
      <c r="F1562">
        <v>1</v>
      </c>
      <c r="G1562">
        <v>36</v>
      </c>
      <c r="H1562" s="2">
        <v>44253.918877314813</v>
      </c>
    </row>
    <row r="1563" spans="1:8" ht="14.25" customHeight="1" x14ac:dyDescent="0.3">
      <c r="A1563">
        <v>1345124</v>
      </c>
      <c r="B1563" t="s">
        <v>6582</v>
      </c>
      <c r="C1563" s="1" t="s">
        <v>6589</v>
      </c>
      <c r="D1563" t="s">
        <v>11</v>
      </c>
      <c r="E1563">
        <v>1</v>
      </c>
      <c r="F1563">
        <v>1</v>
      </c>
      <c r="G1563">
        <v>36</v>
      </c>
      <c r="H1563" s="2">
        <v>44253.918993055559</v>
      </c>
    </row>
    <row r="1564" spans="1:8" ht="14.25" customHeight="1" x14ac:dyDescent="0.3">
      <c r="A1564">
        <v>1344209</v>
      </c>
      <c r="B1564" t="s">
        <v>4831</v>
      </c>
      <c r="C1564" t="s">
        <v>4832</v>
      </c>
      <c r="D1564" t="s">
        <v>1158</v>
      </c>
      <c r="E1564">
        <v>1</v>
      </c>
      <c r="F1564">
        <v>1</v>
      </c>
      <c r="G1564">
        <v>36</v>
      </c>
      <c r="H1564" s="2">
        <v>44253.919456018521</v>
      </c>
    </row>
    <row r="1565" spans="1:8" ht="14.25" customHeight="1" x14ac:dyDescent="0.3">
      <c r="A1565">
        <v>1345203</v>
      </c>
      <c r="B1565" t="s">
        <v>6590</v>
      </c>
      <c r="C1565" s="1" t="s">
        <v>6570</v>
      </c>
      <c r="D1565" t="s">
        <v>11</v>
      </c>
      <c r="E1565">
        <v>1</v>
      </c>
      <c r="F1565">
        <v>1</v>
      </c>
      <c r="G1565">
        <v>43</v>
      </c>
      <c r="H1565" s="2">
        <v>44253.922534722224</v>
      </c>
    </row>
    <row r="1566" spans="1:8" ht="14.25" customHeight="1" x14ac:dyDescent="0.3">
      <c r="A1566">
        <v>1344284</v>
      </c>
      <c r="B1566" t="s">
        <v>6591</v>
      </c>
      <c r="C1566" s="1" t="s">
        <v>6592</v>
      </c>
      <c r="D1566" t="s">
        <v>11</v>
      </c>
      <c r="E1566">
        <v>1</v>
      </c>
      <c r="F1566">
        <v>1</v>
      </c>
      <c r="G1566">
        <v>43</v>
      </c>
      <c r="H1566" s="2">
        <v>44253.92292824074</v>
      </c>
    </row>
    <row r="1567" spans="1:8" ht="14.25" customHeight="1" x14ac:dyDescent="0.3">
      <c r="A1567">
        <v>1343961</v>
      </c>
      <c r="B1567" t="s">
        <v>6593</v>
      </c>
      <c r="C1567" s="1" t="s">
        <v>6594</v>
      </c>
      <c r="D1567" t="s">
        <v>24</v>
      </c>
      <c r="E1567">
        <v>1</v>
      </c>
      <c r="F1567">
        <v>1</v>
      </c>
      <c r="G1567">
        <v>41</v>
      </c>
      <c r="H1567" s="2">
        <v>44253.923101851855</v>
      </c>
    </row>
    <row r="1568" spans="1:8" ht="14.25" customHeight="1" x14ac:dyDescent="0.3">
      <c r="A1568">
        <v>1343922</v>
      </c>
      <c r="B1568" t="s">
        <v>6595</v>
      </c>
      <c r="C1568" s="1" t="s">
        <v>6596</v>
      </c>
      <c r="D1568" t="s">
        <v>11</v>
      </c>
      <c r="E1568">
        <v>1</v>
      </c>
      <c r="F1568">
        <v>1</v>
      </c>
      <c r="G1568">
        <v>43</v>
      </c>
      <c r="H1568" s="2">
        <v>44253.946620370371</v>
      </c>
    </row>
    <row r="1569" spans="1:8" ht="14.25" customHeight="1" x14ac:dyDescent="0.3">
      <c r="A1569">
        <v>1345195</v>
      </c>
      <c r="B1569" t="s">
        <v>6597</v>
      </c>
      <c r="C1569" s="1" t="s">
        <v>6598</v>
      </c>
      <c r="D1569" t="s">
        <v>24</v>
      </c>
      <c r="E1569">
        <v>1</v>
      </c>
      <c r="F1569">
        <v>1</v>
      </c>
      <c r="G1569">
        <v>36</v>
      </c>
      <c r="H1569" s="2">
        <v>44253.949317129627</v>
      </c>
    </row>
    <row r="1570" spans="1:8" ht="14.25" customHeight="1" x14ac:dyDescent="0.3">
      <c r="A1570">
        <v>1343906</v>
      </c>
      <c r="B1570">
        <v>1288042</v>
      </c>
      <c r="C1570" s="1" t="s">
        <v>6599</v>
      </c>
      <c r="D1570" t="s">
        <v>11</v>
      </c>
      <c r="E1570">
        <v>1</v>
      </c>
      <c r="F1570">
        <v>1</v>
      </c>
      <c r="G1570">
        <v>43</v>
      </c>
      <c r="H1570" s="2">
        <v>44253.949502314812</v>
      </c>
    </row>
    <row r="1571" spans="1:8" ht="14.25" customHeight="1" x14ac:dyDescent="0.3">
      <c r="A1571">
        <v>1343882</v>
      </c>
      <c r="B1571" t="s">
        <v>6600</v>
      </c>
      <c r="C1571" s="1" t="s">
        <v>6601</v>
      </c>
      <c r="D1571" t="s">
        <v>11</v>
      </c>
      <c r="E1571">
        <v>1</v>
      </c>
      <c r="F1571">
        <v>1</v>
      </c>
      <c r="G1571">
        <v>43</v>
      </c>
      <c r="H1571" s="2">
        <v>44253.956203703703</v>
      </c>
    </row>
    <row r="1572" spans="1:8" ht="14.25" customHeight="1" x14ac:dyDescent="0.3">
      <c r="A1572">
        <v>1343838</v>
      </c>
      <c r="B1572" t="s">
        <v>6602</v>
      </c>
      <c r="C1572" s="1" t="s">
        <v>6603</v>
      </c>
      <c r="D1572" t="s">
        <v>11</v>
      </c>
      <c r="E1572">
        <v>1</v>
      </c>
      <c r="F1572">
        <v>1</v>
      </c>
      <c r="G1572">
        <v>41</v>
      </c>
      <c r="H1572" s="2">
        <v>44253.956284722219</v>
      </c>
    </row>
    <row r="1573" spans="1:8" ht="14.25" customHeight="1" x14ac:dyDescent="0.3">
      <c r="A1573">
        <v>1343866</v>
      </c>
      <c r="B1573" t="s">
        <v>6604</v>
      </c>
      <c r="C1573" s="1" t="s">
        <v>6605</v>
      </c>
      <c r="D1573" t="s">
        <v>11</v>
      </c>
      <c r="E1573">
        <v>1</v>
      </c>
      <c r="F1573">
        <v>2</v>
      </c>
      <c r="G1573">
        <v>41</v>
      </c>
      <c r="H1573" s="2">
        <v>44253.956597222219</v>
      </c>
    </row>
    <row r="1574" spans="1:8" ht="14.25" customHeight="1" x14ac:dyDescent="0.3">
      <c r="A1574">
        <v>1344981</v>
      </c>
      <c r="B1574" t="s">
        <v>4690</v>
      </c>
      <c r="C1574" t="s">
        <v>4691</v>
      </c>
      <c r="D1574" t="s">
        <v>1158</v>
      </c>
      <c r="E1574">
        <v>1</v>
      </c>
      <c r="F1574">
        <v>1</v>
      </c>
      <c r="G1574">
        <v>36</v>
      </c>
      <c r="H1574" s="2">
        <v>44253.956655092596</v>
      </c>
    </row>
    <row r="1575" spans="1:8" ht="14.25" customHeight="1" x14ac:dyDescent="0.3">
      <c r="A1575">
        <v>1343839</v>
      </c>
      <c r="B1575" t="s">
        <v>6606</v>
      </c>
      <c r="C1575" s="1" t="s">
        <v>6607</v>
      </c>
      <c r="D1575" t="s">
        <v>11</v>
      </c>
      <c r="E1575">
        <v>1</v>
      </c>
      <c r="F1575">
        <v>1</v>
      </c>
      <c r="G1575">
        <v>43</v>
      </c>
      <c r="H1575" s="2">
        <v>44253.95716435185</v>
      </c>
    </row>
    <row r="1576" spans="1:8" ht="14.25" customHeight="1" x14ac:dyDescent="0.3">
      <c r="A1576">
        <v>1343930</v>
      </c>
      <c r="B1576" t="s">
        <v>6608</v>
      </c>
      <c r="C1576" s="1" t="s">
        <v>6609</v>
      </c>
      <c r="D1576" t="s">
        <v>11</v>
      </c>
      <c r="E1576">
        <v>1</v>
      </c>
      <c r="F1576">
        <v>1</v>
      </c>
      <c r="G1576">
        <v>41</v>
      </c>
      <c r="H1576" s="2">
        <v>44253.958414351851</v>
      </c>
    </row>
    <row r="1577" spans="1:8" ht="14.25" customHeight="1" x14ac:dyDescent="0.3">
      <c r="A1577">
        <v>1344622</v>
      </c>
      <c r="B1577" t="s">
        <v>4690</v>
      </c>
      <c r="C1577" t="s">
        <v>4691</v>
      </c>
      <c r="D1577" t="s">
        <v>1158</v>
      </c>
      <c r="E1577">
        <v>1</v>
      </c>
      <c r="F1577">
        <v>1</v>
      </c>
      <c r="G1577">
        <v>36</v>
      </c>
      <c r="H1577" s="2">
        <v>44253.958958333336</v>
      </c>
    </row>
    <row r="1578" spans="1:8" ht="14.25" customHeight="1" x14ac:dyDescent="0.3">
      <c r="A1578">
        <v>1344208</v>
      </c>
      <c r="B1578" t="s">
        <v>4831</v>
      </c>
      <c r="C1578" t="s">
        <v>4832</v>
      </c>
      <c r="D1578" t="s">
        <v>1158</v>
      </c>
      <c r="E1578">
        <v>1</v>
      </c>
      <c r="F1578">
        <v>1</v>
      </c>
      <c r="G1578">
        <v>36</v>
      </c>
      <c r="H1578" s="2">
        <v>44253.959641203706</v>
      </c>
    </row>
    <row r="1579" spans="1:8" ht="14.25" customHeight="1" x14ac:dyDescent="0.3">
      <c r="A1579">
        <v>1343730</v>
      </c>
      <c r="B1579" t="s">
        <v>4583</v>
      </c>
      <c r="C1579" s="1" t="s">
        <v>6610</v>
      </c>
      <c r="D1579" t="s">
        <v>11</v>
      </c>
      <c r="E1579">
        <v>1</v>
      </c>
      <c r="F1579">
        <v>1</v>
      </c>
      <c r="G1579">
        <v>43</v>
      </c>
      <c r="H1579" s="2">
        <v>44253.959988425922</v>
      </c>
    </row>
    <row r="1580" spans="1:8" ht="14.25" customHeight="1" x14ac:dyDescent="0.3">
      <c r="A1580">
        <v>1343627</v>
      </c>
      <c r="B1580" t="s">
        <v>4856</v>
      </c>
      <c r="C1580" t="s">
        <v>4857</v>
      </c>
      <c r="D1580" t="s">
        <v>1158</v>
      </c>
      <c r="E1580">
        <v>1</v>
      </c>
      <c r="F1580">
        <v>1</v>
      </c>
      <c r="G1580">
        <v>36</v>
      </c>
      <c r="H1580" s="2">
        <v>44253.960057870368</v>
      </c>
    </row>
    <row r="1581" spans="1:8" ht="14.25" customHeight="1" x14ac:dyDescent="0.3">
      <c r="A1581">
        <v>1343736</v>
      </c>
      <c r="B1581" t="e">
        <f>- deactivate mike demonnin email account</f>
        <v>#NAME?</v>
      </c>
      <c r="C1581" s="1" t="s">
        <v>6611</v>
      </c>
      <c r="D1581" t="s">
        <v>24</v>
      </c>
      <c r="E1581">
        <v>1</v>
      </c>
      <c r="F1581">
        <v>1</v>
      </c>
      <c r="G1581">
        <v>43</v>
      </c>
      <c r="H1581" s="2">
        <v>44253.960138888891</v>
      </c>
    </row>
    <row r="1582" spans="1:8" ht="14.25" customHeight="1" x14ac:dyDescent="0.3">
      <c r="A1582">
        <v>1343629</v>
      </c>
      <c r="B1582" t="s">
        <v>4831</v>
      </c>
      <c r="C1582" t="s">
        <v>4832</v>
      </c>
      <c r="D1582" t="s">
        <v>1158</v>
      </c>
      <c r="E1582">
        <v>1</v>
      </c>
      <c r="F1582">
        <v>1</v>
      </c>
      <c r="G1582">
        <v>36</v>
      </c>
      <c r="H1582" s="2">
        <v>44253.960844907408</v>
      </c>
    </row>
    <row r="1583" spans="1:8" ht="14.25" customHeight="1" x14ac:dyDescent="0.3">
      <c r="A1583">
        <v>1343716</v>
      </c>
      <c r="B1583" t="s">
        <v>6612</v>
      </c>
      <c r="C1583" t="s">
        <v>6613</v>
      </c>
      <c r="D1583" t="s">
        <v>24</v>
      </c>
      <c r="E1583">
        <v>1</v>
      </c>
      <c r="F1583">
        <v>1</v>
      </c>
      <c r="G1583">
        <v>41</v>
      </c>
      <c r="H1583" s="2">
        <v>44253.968391203707</v>
      </c>
    </row>
    <row r="1584" spans="1:8" ht="14.25" customHeight="1" x14ac:dyDescent="0.3">
      <c r="A1584">
        <v>1343855</v>
      </c>
      <c r="B1584" t="s">
        <v>6614</v>
      </c>
      <c r="C1584" t="s">
        <v>6615</v>
      </c>
      <c r="D1584" t="s">
        <v>11</v>
      </c>
      <c r="E1584">
        <v>1</v>
      </c>
      <c r="F1584">
        <v>3</v>
      </c>
      <c r="G1584">
        <v>41</v>
      </c>
      <c r="H1584" s="2">
        <v>44253.969236111108</v>
      </c>
    </row>
    <row r="1585" spans="1:8" ht="14.25" customHeight="1" x14ac:dyDescent="0.3">
      <c r="A1585">
        <v>1354514</v>
      </c>
      <c r="B1585" t="e">
        <f>- internet/wifi connection issues</f>
        <v>#NAME?</v>
      </c>
      <c r="C1585" t="s">
        <v>6616</v>
      </c>
      <c r="D1585" t="s">
        <v>11</v>
      </c>
      <c r="E1585">
        <v>1</v>
      </c>
      <c r="F1585">
        <v>2</v>
      </c>
      <c r="G1585">
        <v>41</v>
      </c>
      <c r="H1585" s="2">
        <v>44253.997708333336</v>
      </c>
    </row>
    <row r="1586" spans="1:8" ht="14.25" customHeight="1" x14ac:dyDescent="0.3">
      <c r="A1586">
        <v>1354397</v>
      </c>
      <c r="B1586" t="e">
        <f>- permission for import from mobile in hj</f>
        <v>#NAME?</v>
      </c>
      <c r="C1586" s="1" t="s">
        <v>6617</v>
      </c>
      <c r="D1586" t="s">
        <v>24</v>
      </c>
      <c r="E1586">
        <v>1</v>
      </c>
      <c r="F1586">
        <v>2</v>
      </c>
      <c r="G1586">
        <v>43</v>
      </c>
      <c r="H1586" s="2">
        <v>44253.998229166667</v>
      </c>
    </row>
    <row r="1587" spans="1:8" ht="14.25" customHeight="1" x14ac:dyDescent="0.3">
      <c r="A1587">
        <v>1354492</v>
      </c>
      <c r="B1587" t="e">
        <f>- new employee, catorina ryan</f>
        <v>#NAME?</v>
      </c>
      <c r="C1587" s="1" t="s">
        <v>6618</v>
      </c>
      <c r="D1587" t="s">
        <v>24</v>
      </c>
      <c r="E1587">
        <v>1</v>
      </c>
      <c r="F1587">
        <v>2</v>
      </c>
      <c r="G1587">
        <v>43</v>
      </c>
      <c r="H1587" s="2">
        <v>44253.998657407406</v>
      </c>
    </row>
    <row r="1588" spans="1:8" ht="14.25" customHeight="1" x14ac:dyDescent="0.3">
      <c r="A1588">
        <v>1354316</v>
      </c>
      <c r="B1588" t="s">
        <v>6619</v>
      </c>
      <c r="C1588" s="1" t="s">
        <v>6620</v>
      </c>
      <c r="D1588" t="s">
        <v>11</v>
      </c>
      <c r="E1588">
        <v>1</v>
      </c>
      <c r="F1588">
        <v>2</v>
      </c>
      <c r="G1588">
        <v>36</v>
      </c>
      <c r="H1588" s="2">
        <v>44254.000555555554</v>
      </c>
    </row>
    <row r="1589" spans="1:8" ht="14.25" customHeight="1" x14ac:dyDescent="0.3">
      <c r="A1589">
        <v>1354491</v>
      </c>
      <c r="B1589" t="s">
        <v>6621</v>
      </c>
      <c r="C1589" s="1" t="s">
        <v>6622</v>
      </c>
      <c r="D1589" t="s">
        <v>24</v>
      </c>
      <c r="E1589">
        <v>1</v>
      </c>
      <c r="F1589">
        <v>2</v>
      </c>
      <c r="G1589">
        <v>36</v>
      </c>
      <c r="H1589" s="2">
        <v>44254.001180555555</v>
      </c>
    </row>
    <row r="1590" spans="1:8" ht="14.25" customHeight="1" x14ac:dyDescent="0.3">
      <c r="A1590">
        <v>1353896</v>
      </c>
      <c r="B1590" t="s">
        <v>6623</v>
      </c>
      <c r="C1590" s="1" t="s">
        <v>6624</v>
      </c>
      <c r="D1590" t="s">
        <v>11</v>
      </c>
      <c r="E1590">
        <v>2</v>
      </c>
      <c r="F1590">
        <v>3</v>
      </c>
      <c r="G1590">
        <v>43</v>
      </c>
      <c r="H1590" s="2">
        <v>44254.002337962964</v>
      </c>
    </row>
    <row r="1591" spans="1:8" ht="14.25" customHeight="1" x14ac:dyDescent="0.3">
      <c r="A1591">
        <v>1350804</v>
      </c>
      <c r="B1591" t="e">
        <f>- remove program from our server</f>
        <v>#NAME?</v>
      </c>
      <c r="C1591" s="1" t="s">
        <v>6625</v>
      </c>
      <c r="D1591" t="s">
        <v>11</v>
      </c>
      <c r="E1591">
        <v>2</v>
      </c>
      <c r="F1591">
        <v>1</v>
      </c>
      <c r="G1591">
        <v>43</v>
      </c>
      <c r="H1591" s="2">
        <v>44254.002951388888</v>
      </c>
    </row>
    <row r="1592" spans="1:8" ht="14.25" customHeight="1" x14ac:dyDescent="0.3">
      <c r="A1592">
        <v>1350255</v>
      </c>
      <c r="B1592" t="s">
        <v>6626</v>
      </c>
      <c r="C1592" s="1" t="s">
        <v>6627</v>
      </c>
      <c r="D1592" t="s">
        <v>11</v>
      </c>
      <c r="E1592">
        <v>1</v>
      </c>
      <c r="F1592">
        <v>3</v>
      </c>
      <c r="G1592">
        <v>41</v>
      </c>
      <c r="H1592" s="2">
        <v>44254.003194444442</v>
      </c>
    </row>
    <row r="1593" spans="1:8" ht="14.25" customHeight="1" x14ac:dyDescent="0.3">
      <c r="A1593">
        <v>1351181</v>
      </c>
      <c r="B1593" t="e">
        <f>- microsoft account sign in</f>
        <v>#NAME?</v>
      </c>
      <c r="C1593" t="s">
        <v>6628</v>
      </c>
      <c r="D1593" t="s">
        <v>24</v>
      </c>
      <c r="E1593">
        <v>1</v>
      </c>
      <c r="F1593">
        <v>1</v>
      </c>
      <c r="G1593">
        <v>43</v>
      </c>
      <c r="H1593" s="2">
        <v>44254.003437500003</v>
      </c>
    </row>
    <row r="1594" spans="1:8" ht="14.25" customHeight="1" x14ac:dyDescent="0.3">
      <c r="A1594">
        <v>1350196</v>
      </c>
      <c r="B1594" t="s">
        <v>6629</v>
      </c>
      <c r="C1594" s="1" t="s">
        <v>6630</v>
      </c>
      <c r="D1594" t="s">
        <v>11</v>
      </c>
      <c r="E1594">
        <v>1</v>
      </c>
      <c r="F1594">
        <v>2</v>
      </c>
      <c r="G1594">
        <v>43</v>
      </c>
      <c r="H1594" s="2">
        <v>44254.003935185188</v>
      </c>
    </row>
    <row r="1595" spans="1:8" ht="14.25" customHeight="1" x14ac:dyDescent="0.3">
      <c r="A1595">
        <v>1350171</v>
      </c>
      <c r="B1595" t="e">
        <f>- crosstown parts fax line not working</f>
        <v>#NAME?</v>
      </c>
      <c r="C1595" s="1" t="s">
        <v>6631</v>
      </c>
      <c r="D1595" t="s">
        <v>188</v>
      </c>
      <c r="E1595">
        <v>2</v>
      </c>
      <c r="F1595">
        <v>2</v>
      </c>
      <c r="G1595">
        <v>41</v>
      </c>
      <c r="H1595" s="2">
        <v>44254.004317129627</v>
      </c>
    </row>
    <row r="1596" spans="1:8" ht="14.25" customHeight="1" x14ac:dyDescent="0.3">
      <c r="A1596">
        <v>1350074</v>
      </c>
      <c r="B1596" t="s">
        <v>4942</v>
      </c>
      <c r="C1596" s="1" t="s">
        <v>6632</v>
      </c>
      <c r="D1596" t="s">
        <v>11</v>
      </c>
      <c r="E1596">
        <v>1</v>
      </c>
      <c r="F1596">
        <v>2</v>
      </c>
      <c r="G1596">
        <v>43</v>
      </c>
      <c r="H1596" s="2">
        <v>44254.004664351851</v>
      </c>
    </row>
    <row r="1597" spans="1:8" ht="14.25" customHeight="1" x14ac:dyDescent="0.3">
      <c r="A1597">
        <v>1343897</v>
      </c>
      <c r="B1597" t="e">
        <f>- folders &amp; files missing from s: all general corporate information</f>
        <v>#NAME?</v>
      </c>
      <c r="C1597" s="1" t="s">
        <v>6633</v>
      </c>
      <c r="D1597" t="s">
        <v>11</v>
      </c>
      <c r="E1597">
        <v>1</v>
      </c>
      <c r="F1597">
        <v>2</v>
      </c>
      <c r="G1597">
        <v>41</v>
      </c>
      <c r="H1597" s="2">
        <v>44256.635671296295</v>
      </c>
    </row>
    <row r="1598" spans="1:8" ht="14.25" customHeight="1" x14ac:dyDescent="0.3">
      <c r="A1598">
        <v>1343764</v>
      </c>
      <c r="B1598" t="s">
        <v>6634</v>
      </c>
      <c r="C1598" s="1" t="s">
        <v>6635</v>
      </c>
      <c r="D1598" t="s">
        <v>11</v>
      </c>
      <c r="E1598">
        <v>1</v>
      </c>
      <c r="F1598">
        <v>1</v>
      </c>
      <c r="G1598">
        <v>36</v>
      </c>
      <c r="H1598" s="2">
        <v>44256.636481481481</v>
      </c>
    </row>
    <row r="1599" spans="1:8" ht="14.25" customHeight="1" x14ac:dyDescent="0.3">
      <c r="A1599">
        <v>1343628</v>
      </c>
      <c r="B1599" t="s">
        <v>4856</v>
      </c>
      <c r="C1599" t="s">
        <v>4857</v>
      </c>
      <c r="D1599" t="s">
        <v>1158</v>
      </c>
      <c r="E1599">
        <v>1</v>
      </c>
      <c r="F1599">
        <v>1</v>
      </c>
      <c r="G1599">
        <v>36</v>
      </c>
      <c r="H1599" s="2">
        <v>44256.636550925927</v>
      </c>
    </row>
    <row r="1600" spans="1:8" ht="14.25" customHeight="1" x14ac:dyDescent="0.3">
      <c r="A1600">
        <v>1343419</v>
      </c>
      <c r="B1600" t="e">
        <f>- saving to a flash drive from a remote session</f>
        <v>#NAME?</v>
      </c>
      <c r="C1600" s="1" t="s">
        <v>6636</v>
      </c>
      <c r="D1600" t="s">
        <v>24</v>
      </c>
      <c r="E1600">
        <v>1</v>
      </c>
      <c r="F1600">
        <v>2</v>
      </c>
      <c r="G1600">
        <v>41</v>
      </c>
      <c r="H1600" s="2">
        <v>44256.636631944442</v>
      </c>
    </row>
    <row r="1601" spans="1:8" ht="14.25" customHeight="1" x14ac:dyDescent="0.3">
      <c r="A1601">
        <v>1343620</v>
      </c>
      <c r="B1601" t="s">
        <v>4690</v>
      </c>
      <c r="C1601" t="s">
        <v>4691</v>
      </c>
      <c r="D1601" t="s">
        <v>1158</v>
      </c>
      <c r="E1601">
        <v>1</v>
      </c>
      <c r="F1601">
        <v>1</v>
      </c>
      <c r="G1601">
        <v>36</v>
      </c>
      <c r="H1601" s="2">
        <v>44256.636678240742</v>
      </c>
    </row>
    <row r="1602" spans="1:8" ht="14.25" customHeight="1" x14ac:dyDescent="0.3">
      <c r="A1602">
        <v>1343757</v>
      </c>
      <c r="B1602" t="s">
        <v>4555</v>
      </c>
      <c r="C1602" s="1" t="s">
        <v>6637</v>
      </c>
      <c r="D1602" t="s">
        <v>11</v>
      </c>
      <c r="E1602">
        <v>1</v>
      </c>
      <c r="F1602">
        <v>1</v>
      </c>
      <c r="G1602">
        <v>41</v>
      </c>
      <c r="H1602" s="2">
        <v>44256.638437499998</v>
      </c>
    </row>
    <row r="1603" spans="1:8" ht="14.25" customHeight="1" x14ac:dyDescent="0.3">
      <c r="A1603">
        <v>1343358</v>
      </c>
      <c r="B1603" t="s">
        <v>6638</v>
      </c>
      <c r="C1603" t="s">
        <v>6639</v>
      </c>
      <c r="D1603" t="s">
        <v>11</v>
      </c>
      <c r="E1603">
        <v>1</v>
      </c>
      <c r="F1603">
        <v>1</v>
      </c>
      <c r="G1603">
        <v>43</v>
      </c>
      <c r="H1603" s="2">
        <v>44256.638506944444</v>
      </c>
    </row>
    <row r="1604" spans="1:8" ht="14.25" customHeight="1" x14ac:dyDescent="0.3">
      <c r="A1604">
        <v>1343618</v>
      </c>
      <c r="B1604" t="s">
        <v>4683</v>
      </c>
      <c r="C1604" t="s">
        <v>4684</v>
      </c>
      <c r="D1604" t="s">
        <v>1158</v>
      </c>
      <c r="E1604">
        <v>1</v>
      </c>
      <c r="F1604">
        <v>1</v>
      </c>
      <c r="G1604">
        <v>36</v>
      </c>
      <c r="H1604" s="2">
        <v>44256.638726851852</v>
      </c>
    </row>
    <row r="1605" spans="1:8" ht="14.25" customHeight="1" x14ac:dyDescent="0.3">
      <c r="A1605">
        <v>1343622</v>
      </c>
      <c r="B1605" t="s">
        <v>4690</v>
      </c>
      <c r="C1605" t="s">
        <v>4691</v>
      </c>
      <c r="D1605" t="s">
        <v>1158</v>
      </c>
      <c r="E1605">
        <v>1</v>
      </c>
      <c r="F1605">
        <v>1</v>
      </c>
      <c r="G1605">
        <v>36</v>
      </c>
      <c r="H1605" s="2">
        <v>44256.638807870368</v>
      </c>
    </row>
    <row r="1606" spans="1:8" ht="14.25" customHeight="1" x14ac:dyDescent="0.3">
      <c r="A1606">
        <v>1343617</v>
      </c>
      <c r="B1606" t="s">
        <v>4683</v>
      </c>
      <c r="C1606" t="s">
        <v>4684</v>
      </c>
      <c r="D1606" t="s">
        <v>1158</v>
      </c>
      <c r="E1606">
        <v>1</v>
      </c>
      <c r="F1606">
        <v>1</v>
      </c>
      <c r="G1606">
        <v>36</v>
      </c>
      <c r="H1606" s="2">
        <v>44256.639027777775</v>
      </c>
    </row>
    <row r="1607" spans="1:8" ht="14.25" customHeight="1" x14ac:dyDescent="0.3">
      <c r="A1607">
        <v>1343626</v>
      </c>
      <c r="B1607" t="s">
        <v>4856</v>
      </c>
      <c r="C1607" t="s">
        <v>4857</v>
      </c>
      <c r="D1607" t="s">
        <v>1158</v>
      </c>
      <c r="E1607">
        <v>1</v>
      </c>
      <c r="F1607">
        <v>1</v>
      </c>
      <c r="G1607">
        <v>36</v>
      </c>
      <c r="H1607" s="2">
        <v>44256.639143518521</v>
      </c>
    </row>
    <row r="1608" spans="1:8" ht="14.25" customHeight="1" x14ac:dyDescent="0.3">
      <c r="A1608">
        <v>1343623</v>
      </c>
      <c r="B1608" t="s">
        <v>4690</v>
      </c>
      <c r="C1608" t="s">
        <v>4691</v>
      </c>
      <c r="D1608" t="s">
        <v>1158</v>
      </c>
      <c r="E1608">
        <v>1</v>
      </c>
      <c r="F1608">
        <v>1</v>
      </c>
      <c r="G1608">
        <v>36</v>
      </c>
      <c r="H1608" s="2">
        <v>44256.640150462961</v>
      </c>
    </row>
    <row r="1609" spans="1:8" ht="14.25" customHeight="1" x14ac:dyDescent="0.3">
      <c r="A1609">
        <v>1343372</v>
      </c>
      <c r="B1609" t="e">
        <f>- issue to open outllook</f>
        <v>#NAME?</v>
      </c>
      <c r="C1609" s="1" t="s">
        <v>6640</v>
      </c>
      <c r="D1609" t="s">
        <v>24</v>
      </c>
      <c r="E1609">
        <v>1</v>
      </c>
      <c r="F1609">
        <v>2</v>
      </c>
      <c r="G1609">
        <v>41</v>
      </c>
      <c r="H1609" s="2">
        <v>44256.640740740739</v>
      </c>
    </row>
    <row r="1610" spans="1:8" ht="14.25" customHeight="1" x14ac:dyDescent="0.3">
      <c r="A1610">
        <v>1343624</v>
      </c>
      <c r="B1610" t="s">
        <v>4690</v>
      </c>
      <c r="C1610" t="s">
        <v>4691</v>
      </c>
      <c r="D1610" t="s">
        <v>1158</v>
      </c>
      <c r="E1610">
        <v>1</v>
      </c>
      <c r="F1610">
        <v>1</v>
      </c>
      <c r="G1610">
        <v>36</v>
      </c>
      <c r="H1610" s="2">
        <v>44256.640983796293</v>
      </c>
    </row>
    <row r="1611" spans="1:8" ht="14.25" customHeight="1" x14ac:dyDescent="0.3">
      <c r="A1611">
        <v>1344618</v>
      </c>
      <c r="B1611" t="s">
        <v>4683</v>
      </c>
      <c r="C1611" t="s">
        <v>4684</v>
      </c>
      <c r="D1611" t="s">
        <v>1158</v>
      </c>
      <c r="E1611">
        <v>1</v>
      </c>
      <c r="F1611">
        <v>1</v>
      </c>
      <c r="G1611">
        <v>36</v>
      </c>
      <c r="H1611" s="2">
        <v>44256.641076388885</v>
      </c>
    </row>
    <row r="1612" spans="1:8" ht="14.25" customHeight="1" x14ac:dyDescent="0.3">
      <c r="A1612">
        <v>1343331</v>
      </c>
      <c r="B1612" t="s">
        <v>6641</v>
      </c>
      <c r="C1612" s="1" t="s">
        <v>6642</v>
      </c>
      <c r="D1612" t="s">
        <v>11</v>
      </c>
      <c r="E1612">
        <v>1</v>
      </c>
      <c r="F1612">
        <v>1</v>
      </c>
      <c r="G1612">
        <v>43</v>
      </c>
      <c r="H1612" s="2">
        <v>44256.641238425924</v>
      </c>
    </row>
    <row r="1613" spans="1:8" ht="14.25" customHeight="1" x14ac:dyDescent="0.3">
      <c r="A1613">
        <v>1343356</v>
      </c>
      <c r="B1613">
        <v>1330905</v>
      </c>
      <c r="C1613" s="1" t="s">
        <v>6643</v>
      </c>
      <c r="D1613" t="s">
        <v>11</v>
      </c>
      <c r="E1613">
        <v>1</v>
      </c>
      <c r="F1613">
        <v>1</v>
      </c>
      <c r="G1613">
        <v>43</v>
      </c>
      <c r="H1613" s="2">
        <v>44256.64135416667</v>
      </c>
    </row>
    <row r="1614" spans="1:8" ht="14.25" customHeight="1" x14ac:dyDescent="0.3">
      <c r="A1614">
        <v>1343919</v>
      </c>
      <c r="B1614" t="s">
        <v>6644</v>
      </c>
      <c r="C1614" s="1" t="s">
        <v>6645</v>
      </c>
      <c r="D1614" t="s">
        <v>24</v>
      </c>
      <c r="E1614">
        <v>1</v>
      </c>
      <c r="F1614">
        <v>1</v>
      </c>
      <c r="G1614">
        <v>36</v>
      </c>
      <c r="H1614" s="2">
        <v>44256.643530092595</v>
      </c>
    </row>
    <row r="1615" spans="1:8" ht="14.25" customHeight="1" x14ac:dyDescent="0.3">
      <c r="A1615">
        <v>1343731</v>
      </c>
      <c r="B1615" t="s">
        <v>6646</v>
      </c>
      <c r="C1615" s="1" t="s">
        <v>6647</v>
      </c>
      <c r="D1615" t="s">
        <v>11</v>
      </c>
      <c r="E1615">
        <v>1</v>
      </c>
      <c r="F1615">
        <v>1</v>
      </c>
      <c r="G1615">
        <v>43</v>
      </c>
      <c r="H1615" s="2">
        <v>44256.64398148148</v>
      </c>
    </row>
    <row r="1616" spans="1:8" ht="14.25" customHeight="1" x14ac:dyDescent="0.3">
      <c r="A1616">
        <v>1343734</v>
      </c>
      <c r="B1616" t="s">
        <v>6648</v>
      </c>
      <c r="C1616" s="1" t="s">
        <v>6649</v>
      </c>
      <c r="D1616" t="s">
        <v>11</v>
      </c>
      <c r="E1616">
        <v>1</v>
      </c>
      <c r="F1616">
        <v>1</v>
      </c>
      <c r="G1616">
        <v>43</v>
      </c>
      <c r="H1616" s="2">
        <v>44256.644085648149</v>
      </c>
    </row>
    <row r="1617" spans="1:8" ht="14.25" customHeight="1" x14ac:dyDescent="0.3">
      <c r="A1617">
        <v>1343875</v>
      </c>
      <c r="B1617" t="s">
        <v>6650</v>
      </c>
      <c r="C1617" s="1" t="s">
        <v>6651</v>
      </c>
      <c r="D1617" t="s">
        <v>11</v>
      </c>
      <c r="E1617">
        <v>1</v>
      </c>
      <c r="F1617">
        <v>1</v>
      </c>
      <c r="G1617">
        <v>43</v>
      </c>
      <c r="H1617" s="2">
        <v>44256.644212962965</v>
      </c>
    </row>
    <row r="1618" spans="1:8" ht="14.25" customHeight="1" x14ac:dyDescent="0.3">
      <c r="A1618">
        <v>1343256</v>
      </c>
      <c r="B1618" t="e">
        <f>- email access for elizabeth frolek</f>
        <v>#NAME?</v>
      </c>
      <c r="C1618" s="1" t="s">
        <v>6652</v>
      </c>
      <c r="D1618" t="s">
        <v>11</v>
      </c>
      <c r="E1618">
        <v>1</v>
      </c>
      <c r="F1618">
        <v>1</v>
      </c>
      <c r="G1618">
        <v>43</v>
      </c>
      <c r="H1618" s="2">
        <v>44256.644560185188</v>
      </c>
    </row>
    <row r="1619" spans="1:8" ht="14.25" customHeight="1" x14ac:dyDescent="0.3">
      <c r="A1619">
        <v>1343296</v>
      </c>
      <c r="B1619" t="s">
        <v>3237</v>
      </c>
      <c r="C1619" s="1" t="s">
        <v>6653</v>
      </c>
      <c r="D1619" t="s">
        <v>11</v>
      </c>
      <c r="E1619">
        <v>1</v>
      </c>
      <c r="F1619">
        <v>1</v>
      </c>
      <c r="G1619">
        <v>43</v>
      </c>
      <c r="H1619" s="2">
        <v>44256.644652777781</v>
      </c>
    </row>
    <row r="1620" spans="1:8" ht="14.25" customHeight="1" x14ac:dyDescent="0.3">
      <c r="A1620">
        <v>1345076</v>
      </c>
      <c r="B1620" t="s">
        <v>4555</v>
      </c>
      <c r="C1620" s="1" t="s">
        <v>6654</v>
      </c>
      <c r="D1620" t="s">
        <v>11</v>
      </c>
      <c r="E1620">
        <v>1</v>
      </c>
      <c r="F1620">
        <v>1</v>
      </c>
      <c r="G1620">
        <v>41</v>
      </c>
      <c r="H1620" s="2">
        <v>44256.644872685189</v>
      </c>
    </row>
    <row r="1621" spans="1:8" ht="14.25" customHeight="1" x14ac:dyDescent="0.3">
      <c r="A1621">
        <v>1343333</v>
      </c>
      <c r="B1621" t="s">
        <v>6582</v>
      </c>
      <c r="C1621" s="1" t="s">
        <v>6655</v>
      </c>
      <c r="D1621" t="s">
        <v>11</v>
      </c>
      <c r="E1621">
        <v>1</v>
      </c>
      <c r="F1621">
        <v>1</v>
      </c>
      <c r="G1621">
        <v>36</v>
      </c>
      <c r="H1621" s="2">
        <v>44256.644999999997</v>
      </c>
    </row>
    <row r="1622" spans="1:8" ht="14.25" customHeight="1" x14ac:dyDescent="0.3">
      <c r="A1622">
        <v>1343619</v>
      </c>
      <c r="B1622" t="s">
        <v>4690</v>
      </c>
      <c r="C1622" t="s">
        <v>4691</v>
      </c>
      <c r="D1622" t="s">
        <v>1158</v>
      </c>
      <c r="E1622">
        <v>1</v>
      </c>
      <c r="F1622">
        <v>1</v>
      </c>
      <c r="G1622">
        <v>36</v>
      </c>
      <c r="H1622" s="2">
        <v>44256.645092592589</v>
      </c>
    </row>
    <row r="1623" spans="1:8" ht="14.25" customHeight="1" x14ac:dyDescent="0.3">
      <c r="A1623">
        <v>1343154</v>
      </c>
      <c r="B1623" t="e">
        <f>- remove email forwarding</f>
        <v>#NAME?</v>
      </c>
      <c r="C1623" s="1" t="s">
        <v>6656</v>
      </c>
      <c r="D1623" t="s">
        <v>11</v>
      </c>
      <c r="E1623">
        <v>1</v>
      </c>
      <c r="F1623">
        <v>1</v>
      </c>
      <c r="G1623">
        <v>43</v>
      </c>
      <c r="H1623" s="2">
        <v>44256.645185185182</v>
      </c>
    </row>
    <row r="1624" spans="1:8" ht="14.25" customHeight="1" x14ac:dyDescent="0.3">
      <c r="A1624">
        <v>1343274</v>
      </c>
      <c r="B1624" t="s">
        <v>6657</v>
      </c>
      <c r="C1624" s="1" t="s">
        <v>6658</v>
      </c>
      <c r="D1624" t="s">
        <v>11</v>
      </c>
      <c r="E1624">
        <v>1</v>
      </c>
      <c r="F1624">
        <v>1</v>
      </c>
      <c r="G1624">
        <v>43</v>
      </c>
      <c r="H1624" s="2">
        <v>44256.645324074074</v>
      </c>
    </row>
    <row r="1625" spans="1:8" ht="14.25" customHeight="1" x14ac:dyDescent="0.3">
      <c r="A1625">
        <v>1343177</v>
      </c>
      <c r="B1625" t="s">
        <v>4555</v>
      </c>
      <c r="C1625" s="1" t="s">
        <v>6659</v>
      </c>
      <c r="D1625" t="s">
        <v>11</v>
      </c>
      <c r="E1625">
        <v>1</v>
      </c>
      <c r="F1625">
        <v>1</v>
      </c>
      <c r="G1625">
        <v>41</v>
      </c>
      <c r="H1625" s="2">
        <v>44256.645590277774</v>
      </c>
    </row>
    <row r="1626" spans="1:8" ht="14.25" customHeight="1" x14ac:dyDescent="0.3">
      <c r="A1626">
        <v>1343153</v>
      </c>
      <c r="B1626" t="e">
        <f>- spam email</f>
        <v>#NAME?</v>
      </c>
      <c r="C1626" s="1" t="s">
        <v>6660</v>
      </c>
      <c r="D1626" t="s">
        <v>24</v>
      </c>
      <c r="E1626">
        <v>1</v>
      </c>
      <c r="F1626">
        <v>1</v>
      </c>
      <c r="G1626">
        <v>41</v>
      </c>
      <c r="H1626" s="2">
        <v>44256.645949074074</v>
      </c>
    </row>
    <row r="1627" spans="1:8" ht="14.25" customHeight="1" x14ac:dyDescent="0.3">
      <c r="A1627">
        <v>1343621</v>
      </c>
      <c r="B1627" t="s">
        <v>4690</v>
      </c>
      <c r="C1627" t="s">
        <v>4691</v>
      </c>
      <c r="D1627" t="s">
        <v>1158</v>
      </c>
      <c r="E1627">
        <v>1</v>
      </c>
      <c r="F1627">
        <v>1</v>
      </c>
      <c r="G1627">
        <v>36</v>
      </c>
      <c r="H1627" s="2">
        <v>44256.65215277778</v>
      </c>
    </row>
    <row r="1628" spans="1:8" ht="14.25" customHeight="1" x14ac:dyDescent="0.3">
      <c r="A1628">
        <v>1343625</v>
      </c>
      <c r="B1628" t="s">
        <v>4690</v>
      </c>
      <c r="C1628" t="s">
        <v>4691</v>
      </c>
      <c r="D1628" t="s">
        <v>1158</v>
      </c>
      <c r="E1628">
        <v>1</v>
      </c>
      <c r="F1628">
        <v>1</v>
      </c>
      <c r="G1628">
        <v>36</v>
      </c>
      <c r="H1628" s="2">
        <v>44256.652199074073</v>
      </c>
    </row>
    <row r="1629" spans="1:8" ht="14.25" customHeight="1" x14ac:dyDescent="0.3">
      <c r="A1629">
        <v>1343179</v>
      </c>
      <c r="B1629" t="s">
        <v>4555</v>
      </c>
      <c r="C1629" s="1" t="s">
        <v>6661</v>
      </c>
      <c r="D1629" t="s">
        <v>11</v>
      </c>
      <c r="E1629">
        <v>1</v>
      </c>
      <c r="F1629">
        <v>1</v>
      </c>
      <c r="G1629">
        <v>41</v>
      </c>
      <c r="H1629" s="2">
        <v>44256.655995370369</v>
      </c>
    </row>
    <row r="1630" spans="1:8" ht="14.25" customHeight="1" x14ac:dyDescent="0.3">
      <c r="A1630">
        <v>1343128</v>
      </c>
      <c r="B1630" t="s">
        <v>6662</v>
      </c>
      <c r="C1630" s="1" t="s">
        <v>6663</v>
      </c>
      <c r="D1630" t="s">
        <v>11</v>
      </c>
      <c r="E1630">
        <v>1</v>
      </c>
      <c r="F1630">
        <v>1</v>
      </c>
      <c r="G1630">
        <v>43</v>
      </c>
      <c r="H1630" s="2">
        <v>44256.661238425928</v>
      </c>
    </row>
    <row r="1631" spans="1:8" ht="14.25" customHeight="1" x14ac:dyDescent="0.3">
      <c r="A1631">
        <v>1343367</v>
      </c>
      <c r="B1631" t="s">
        <v>6664</v>
      </c>
      <c r="C1631" t="s">
        <v>6665</v>
      </c>
      <c r="D1631" t="s">
        <v>11</v>
      </c>
      <c r="E1631">
        <v>1</v>
      </c>
      <c r="F1631">
        <v>1</v>
      </c>
      <c r="G1631">
        <v>41</v>
      </c>
      <c r="H1631" s="2">
        <v>44256.66134259259</v>
      </c>
    </row>
    <row r="1632" spans="1:8" ht="14.25" customHeight="1" x14ac:dyDescent="0.3">
      <c r="A1632">
        <v>1343018</v>
      </c>
      <c r="B1632" t="s">
        <v>6666</v>
      </c>
      <c r="C1632" t="s">
        <v>4832</v>
      </c>
      <c r="D1632" t="s">
        <v>1158</v>
      </c>
      <c r="E1632">
        <v>1</v>
      </c>
      <c r="F1632">
        <v>1</v>
      </c>
      <c r="G1632">
        <v>36</v>
      </c>
      <c r="H1632" s="2">
        <v>44256.661678240744</v>
      </c>
    </row>
    <row r="1633" spans="1:8" ht="14.25" customHeight="1" x14ac:dyDescent="0.3">
      <c r="A1633">
        <v>1343266</v>
      </c>
      <c r="B1633" t="s">
        <v>6667</v>
      </c>
      <c r="C1633" s="1" t="s">
        <v>6668</v>
      </c>
      <c r="D1633" t="s">
        <v>24</v>
      </c>
      <c r="E1633">
        <v>1</v>
      </c>
      <c r="F1633">
        <v>1</v>
      </c>
      <c r="G1633">
        <v>43</v>
      </c>
      <c r="H1633" s="2">
        <v>44256.662048611113</v>
      </c>
    </row>
    <row r="1634" spans="1:8" ht="14.25" customHeight="1" x14ac:dyDescent="0.3">
      <c r="A1634">
        <v>1343016</v>
      </c>
      <c r="B1634" t="s">
        <v>4683</v>
      </c>
      <c r="C1634" t="s">
        <v>4684</v>
      </c>
      <c r="D1634" t="s">
        <v>1158</v>
      </c>
      <c r="E1634">
        <v>1</v>
      </c>
      <c r="F1634">
        <v>1</v>
      </c>
      <c r="G1634">
        <v>36</v>
      </c>
      <c r="H1634" s="2">
        <v>44256.662152777775</v>
      </c>
    </row>
    <row r="1635" spans="1:8" ht="14.25" customHeight="1" x14ac:dyDescent="0.3">
      <c r="A1635">
        <v>1343015</v>
      </c>
      <c r="B1635" t="s">
        <v>4683</v>
      </c>
      <c r="C1635" t="s">
        <v>4684</v>
      </c>
      <c r="D1635" t="s">
        <v>1158</v>
      </c>
      <c r="E1635">
        <v>1</v>
      </c>
      <c r="F1635">
        <v>1</v>
      </c>
      <c r="G1635">
        <v>36</v>
      </c>
      <c r="H1635" s="2">
        <v>44256.689687500002</v>
      </c>
    </row>
    <row r="1636" spans="1:8" ht="14.25" customHeight="1" x14ac:dyDescent="0.3">
      <c r="A1636">
        <v>1343180</v>
      </c>
      <c r="B1636" t="s">
        <v>4555</v>
      </c>
      <c r="C1636" s="1" t="s">
        <v>6669</v>
      </c>
      <c r="D1636" t="s">
        <v>11</v>
      </c>
      <c r="E1636">
        <v>1</v>
      </c>
      <c r="F1636">
        <v>1</v>
      </c>
      <c r="G1636">
        <v>41</v>
      </c>
      <c r="H1636" s="2">
        <v>44256.689756944441</v>
      </c>
    </row>
    <row r="1637" spans="1:8" ht="14.25" customHeight="1" x14ac:dyDescent="0.3">
      <c r="A1637">
        <v>1343088</v>
      </c>
      <c r="B1637" t="s">
        <v>4756</v>
      </c>
      <c r="C1637" s="1" t="s">
        <v>6670</v>
      </c>
      <c r="D1637" t="s">
        <v>11</v>
      </c>
      <c r="E1637">
        <v>1</v>
      </c>
      <c r="F1637">
        <v>1</v>
      </c>
      <c r="G1637">
        <v>36</v>
      </c>
      <c r="H1637" s="2">
        <v>44256.690752314818</v>
      </c>
    </row>
    <row r="1638" spans="1:8" ht="14.25" customHeight="1" x14ac:dyDescent="0.3">
      <c r="A1638">
        <v>1343129</v>
      </c>
      <c r="B1638" t="s">
        <v>6671</v>
      </c>
      <c r="C1638" s="1" t="s">
        <v>6672</v>
      </c>
      <c r="D1638" t="s">
        <v>11</v>
      </c>
      <c r="E1638">
        <v>1</v>
      </c>
      <c r="F1638">
        <v>1</v>
      </c>
      <c r="G1638">
        <v>41</v>
      </c>
      <c r="H1638" s="2">
        <v>44256.704259259262</v>
      </c>
    </row>
    <row r="1639" spans="1:8" ht="14.25" customHeight="1" x14ac:dyDescent="0.3">
      <c r="A1639">
        <v>1343134</v>
      </c>
      <c r="B1639" t="s">
        <v>6673</v>
      </c>
      <c r="C1639" s="1" t="s">
        <v>6674</v>
      </c>
      <c r="D1639" t="s">
        <v>11</v>
      </c>
      <c r="E1639">
        <v>1</v>
      </c>
      <c r="F1639">
        <v>1</v>
      </c>
      <c r="G1639">
        <v>36</v>
      </c>
      <c r="H1639" s="2">
        <v>44256.704699074071</v>
      </c>
    </row>
    <row r="1640" spans="1:8" ht="14.25" customHeight="1" x14ac:dyDescent="0.3">
      <c r="A1640">
        <v>1343114</v>
      </c>
      <c r="B1640" t="s">
        <v>6675</v>
      </c>
      <c r="C1640" s="1" t="s">
        <v>6676</v>
      </c>
      <c r="D1640" t="s">
        <v>11</v>
      </c>
      <c r="E1640">
        <v>1</v>
      </c>
      <c r="F1640">
        <v>1</v>
      </c>
      <c r="G1640">
        <v>41</v>
      </c>
      <c r="H1640" s="2">
        <v>44256.70517361111</v>
      </c>
    </row>
    <row r="1641" spans="1:8" ht="14.25" customHeight="1" x14ac:dyDescent="0.3">
      <c r="A1641">
        <v>1343127</v>
      </c>
      <c r="B1641" t="s">
        <v>6677</v>
      </c>
      <c r="C1641" s="1" t="s">
        <v>6678</v>
      </c>
      <c r="D1641" t="s">
        <v>11</v>
      </c>
      <c r="E1641">
        <v>1</v>
      </c>
      <c r="F1641">
        <v>1</v>
      </c>
      <c r="G1641">
        <v>41</v>
      </c>
      <c r="H1641" s="2">
        <v>44256.705254629633</v>
      </c>
    </row>
    <row r="1642" spans="1:8" ht="14.25" customHeight="1" x14ac:dyDescent="0.3">
      <c r="A1642">
        <v>1342750</v>
      </c>
      <c r="B1642" t="s">
        <v>6679</v>
      </c>
      <c r="C1642" s="1" t="s">
        <v>6680</v>
      </c>
      <c r="D1642" t="s">
        <v>11</v>
      </c>
      <c r="E1642">
        <v>1</v>
      </c>
      <c r="F1642">
        <v>1</v>
      </c>
      <c r="G1642">
        <v>41</v>
      </c>
      <c r="H1642" s="2">
        <v>44256.705439814818</v>
      </c>
    </row>
    <row r="1643" spans="1:8" ht="14.25" customHeight="1" x14ac:dyDescent="0.3">
      <c r="A1643">
        <v>1343354</v>
      </c>
      <c r="B1643" t="s">
        <v>6681</v>
      </c>
      <c r="C1643" s="1" t="s">
        <v>6682</v>
      </c>
      <c r="D1643" t="s">
        <v>11</v>
      </c>
      <c r="E1643">
        <v>1</v>
      </c>
      <c r="F1643">
        <v>1</v>
      </c>
      <c r="G1643">
        <v>41</v>
      </c>
      <c r="H1643" s="2">
        <v>44256.717442129629</v>
      </c>
    </row>
    <row r="1644" spans="1:8" ht="14.25" customHeight="1" x14ac:dyDescent="0.3">
      <c r="A1644">
        <v>1343326</v>
      </c>
      <c r="B1644" t="s">
        <v>6683</v>
      </c>
      <c r="C1644" s="1" t="s">
        <v>6684</v>
      </c>
      <c r="D1644" t="s">
        <v>24</v>
      </c>
      <c r="E1644">
        <v>1</v>
      </c>
      <c r="F1644">
        <v>1</v>
      </c>
      <c r="G1644">
        <v>36</v>
      </c>
      <c r="H1644" s="2">
        <v>44256.717546296299</v>
      </c>
    </row>
    <row r="1645" spans="1:8" ht="14.25" customHeight="1" x14ac:dyDescent="0.3">
      <c r="A1645">
        <v>1342718</v>
      </c>
      <c r="B1645" t="s">
        <v>6685</v>
      </c>
      <c r="C1645" s="1" t="s">
        <v>6686</v>
      </c>
      <c r="D1645" t="s">
        <v>11</v>
      </c>
      <c r="E1645">
        <v>1</v>
      </c>
      <c r="F1645">
        <v>1</v>
      </c>
      <c r="G1645">
        <v>43</v>
      </c>
      <c r="H1645" s="2">
        <v>44256.718506944446</v>
      </c>
    </row>
    <row r="1646" spans="1:8" ht="14.25" customHeight="1" x14ac:dyDescent="0.3">
      <c r="A1646">
        <v>1342704</v>
      </c>
      <c r="B1646" t="s">
        <v>6687</v>
      </c>
      <c r="C1646" s="1" t="s">
        <v>6688</v>
      </c>
      <c r="D1646" t="s">
        <v>11</v>
      </c>
      <c r="E1646">
        <v>1</v>
      </c>
      <c r="F1646">
        <v>1</v>
      </c>
      <c r="G1646">
        <v>43</v>
      </c>
      <c r="H1646" s="2">
        <v>44256.720104166663</v>
      </c>
    </row>
    <row r="1647" spans="1:8" ht="14.25" customHeight="1" x14ac:dyDescent="0.3">
      <c r="A1647">
        <v>1342675</v>
      </c>
      <c r="B1647" t="e">
        <f>- cloud issues</f>
        <v>#NAME?</v>
      </c>
      <c r="C1647" s="1" t="s">
        <v>6689</v>
      </c>
      <c r="D1647" t="s">
        <v>11</v>
      </c>
      <c r="E1647">
        <v>1</v>
      </c>
      <c r="F1647">
        <v>2</v>
      </c>
      <c r="G1647">
        <v>41</v>
      </c>
      <c r="H1647" s="2">
        <v>44256.72078703704</v>
      </c>
    </row>
    <row r="1648" spans="1:8" ht="14.25" customHeight="1" x14ac:dyDescent="0.3">
      <c r="A1648">
        <v>1343336</v>
      </c>
      <c r="B1648" t="s">
        <v>6690</v>
      </c>
      <c r="C1648" s="1" t="s">
        <v>6691</v>
      </c>
      <c r="D1648" t="s">
        <v>11</v>
      </c>
      <c r="E1648">
        <v>1</v>
      </c>
      <c r="F1648">
        <v>1</v>
      </c>
      <c r="G1648">
        <v>43</v>
      </c>
      <c r="H1648" s="2">
        <v>44256.721180555556</v>
      </c>
    </row>
    <row r="1649" spans="1:8" ht="14.25" customHeight="1" x14ac:dyDescent="0.3">
      <c r="A1649">
        <v>1343125</v>
      </c>
      <c r="B1649" t="e">
        <f>- email access on my phone</f>
        <v>#NAME?</v>
      </c>
      <c r="C1649" s="1" t="s">
        <v>6692</v>
      </c>
      <c r="D1649" t="s">
        <v>24</v>
      </c>
      <c r="E1649">
        <v>1</v>
      </c>
      <c r="F1649">
        <v>1</v>
      </c>
      <c r="G1649">
        <v>41</v>
      </c>
      <c r="H1649" s="2">
        <v>44256.721400462964</v>
      </c>
    </row>
    <row r="1650" spans="1:8" ht="14.25" customHeight="1" x14ac:dyDescent="0.3">
      <c r="A1650">
        <v>1342690</v>
      </c>
      <c r="B1650" t="s">
        <v>6693</v>
      </c>
      <c r="C1650" s="1" t="s">
        <v>6694</v>
      </c>
      <c r="D1650" t="s">
        <v>11</v>
      </c>
      <c r="E1650">
        <v>1</v>
      </c>
      <c r="F1650">
        <v>1</v>
      </c>
      <c r="G1650">
        <v>36</v>
      </c>
      <c r="H1650" s="2">
        <v>44256.72146990741</v>
      </c>
    </row>
    <row r="1651" spans="1:8" ht="14.25" customHeight="1" x14ac:dyDescent="0.3">
      <c r="A1651">
        <v>1343063</v>
      </c>
      <c r="B1651" t="s">
        <v>6695</v>
      </c>
      <c r="C1651" s="1" t="s">
        <v>6696</v>
      </c>
      <c r="D1651" t="s">
        <v>11</v>
      </c>
      <c r="E1651">
        <v>1</v>
      </c>
      <c r="F1651">
        <v>1</v>
      </c>
      <c r="G1651">
        <v>36</v>
      </c>
      <c r="H1651" s="2">
        <v>44256.723368055558</v>
      </c>
    </row>
    <row r="1652" spans="1:8" ht="14.25" customHeight="1" x14ac:dyDescent="0.3">
      <c r="A1652">
        <v>1342652</v>
      </c>
      <c r="B1652" t="s">
        <v>2957</v>
      </c>
      <c r="C1652" s="1" t="s">
        <v>6697</v>
      </c>
      <c r="D1652" t="s">
        <v>11</v>
      </c>
      <c r="E1652">
        <v>1</v>
      </c>
      <c r="F1652">
        <v>1</v>
      </c>
      <c r="G1652">
        <v>43</v>
      </c>
      <c r="H1652" s="2">
        <v>44256.723726851851</v>
      </c>
    </row>
    <row r="1653" spans="1:8" ht="14.25" customHeight="1" x14ac:dyDescent="0.3">
      <c r="A1653">
        <v>1342670</v>
      </c>
      <c r="B1653" t="s">
        <v>6698</v>
      </c>
      <c r="C1653" s="1" t="s">
        <v>6699</v>
      </c>
      <c r="D1653" t="s">
        <v>11</v>
      </c>
      <c r="E1653">
        <v>1</v>
      </c>
      <c r="F1653">
        <v>1</v>
      </c>
      <c r="G1653">
        <v>36</v>
      </c>
      <c r="H1653" s="2">
        <v>44256.723807870374</v>
      </c>
    </row>
    <row r="1654" spans="1:8" ht="14.25" customHeight="1" x14ac:dyDescent="0.3">
      <c r="A1654">
        <v>1343253</v>
      </c>
      <c r="B1654" t="e">
        <f>- spam email</f>
        <v>#NAME?</v>
      </c>
      <c r="C1654" t="s">
        <v>6700</v>
      </c>
      <c r="D1654" t="s">
        <v>11</v>
      </c>
      <c r="E1654">
        <v>1</v>
      </c>
      <c r="F1654">
        <v>1</v>
      </c>
      <c r="G1654">
        <v>41</v>
      </c>
      <c r="H1654" s="2">
        <v>44256.724479166667</v>
      </c>
    </row>
    <row r="1655" spans="1:8" ht="14.25" customHeight="1" x14ac:dyDescent="0.3">
      <c r="A1655">
        <v>1342902</v>
      </c>
      <c r="B1655" t="e">
        <f>- setting up new computer</f>
        <v>#NAME?</v>
      </c>
      <c r="C1655" s="1" t="s">
        <v>6701</v>
      </c>
      <c r="D1655" t="s">
        <v>11</v>
      </c>
      <c r="E1655">
        <v>1</v>
      </c>
      <c r="F1655">
        <v>1</v>
      </c>
      <c r="G1655">
        <v>43</v>
      </c>
      <c r="H1655" s="2">
        <v>44256.725821759261</v>
      </c>
    </row>
    <row r="1656" spans="1:8" ht="14.25" customHeight="1" x14ac:dyDescent="0.3">
      <c r="A1656">
        <v>1342646</v>
      </c>
      <c r="B1656" t="s">
        <v>4555</v>
      </c>
      <c r="C1656" s="1" t="s">
        <v>6702</v>
      </c>
      <c r="D1656" t="s">
        <v>11</v>
      </c>
      <c r="E1656">
        <v>1</v>
      </c>
      <c r="F1656">
        <v>1</v>
      </c>
      <c r="G1656">
        <v>41</v>
      </c>
      <c r="H1656" s="2">
        <v>44256.725914351853</v>
      </c>
    </row>
    <row r="1657" spans="1:8" ht="14.25" customHeight="1" x14ac:dyDescent="0.3">
      <c r="A1657">
        <v>1342639</v>
      </c>
      <c r="B1657" t="s">
        <v>6703</v>
      </c>
      <c r="C1657" s="1" t="s">
        <v>6704</v>
      </c>
      <c r="D1657" t="s">
        <v>11</v>
      </c>
      <c r="E1657">
        <v>1</v>
      </c>
      <c r="F1657">
        <v>1</v>
      </c>
      <c r="G1657">
        <v>43</v>
      </c>
      <c r="H1657" s="2">
        <v>44256.726597222223</v>
      </c>
    </row>
    <row r="1658" spans="1:8" ht="14.25" customHeight="1" x14ac:dyDescent="0.3">
      <c r="A1658">
        <v>1342744</v>
      </c>
      <c r="B1658" t="e">
        <f>- add phone number for bruce</f>
        <v>#NAME?</v>
      </c>
      <c r="C1658" s="1" t="s">
        <v>6705</v>
      </c>
      <c r="D1658" t="s">
        <v>11</v>
      </c>
      <c r="E1658">
        <v>1</v>
      </c>
      <c r="F1658">
        <v>1</v>
      </c>
      <c r="G1658">
        <v>43</v>
      </c>
      <c r="H1658" s="2">
        <v>44256.726747685185</v>
      </c>
    </row>
    <row r="1659" spans="1:8" ht="14.25" customHeight="1" x14ac:dyDescent="0.3">
      <c r="A1659">
        <v>1343017</v>
      </c>
      <c r="B1659" t="s">
        <v>4690</v>
      </c>
      <c r="C1659" t="s">
        <v>4691</v>
      </c>
      <c r="D1659" t="s">
        <v>1158</v>
      </c>
      <c r="E1659">
        <v>1</v>
      </c>
      <c r="F1659">
        <v>1</v>
      </c>
      <c r="G1659">
        <v>36</v>
      </c>
      <c r="H1659" s="2">
        <v>44256.726805555554</v>
      </c>
    </row>
    <row r="1660" spans="1:8" ht="14.25" customHeight="1" x14ac:dyDescent="0.3">
      <c r="A1660">
        <v>1342626</v>
      </c>
      <c r="B1660" t="e">
        <f>- unable to access onenote</f>
        <v>#NAME?</v>
      </c>
      <c r="C1660" s="1" t="s">
        <v>6706</v>
      </c>
      <c r="D1660" t="s">
        <v>24</v>
      </c>
      <c r="E1660">
        <v>1</v>
      </c>
      <c r="F1660">
        <v>1</v>
      </c>
      <c r="G1660">
        <v>41</v>
      </c>
      <c r="H1660" s="2">
        <v>44256.728090277778</v>
      </c>
    </row>
    <row r="1661" spans="1:8" ht="14.25" customHeight="1" x14ac:dyDescent="0.3">
      <c r="A1661">
        <v>1342617</v>
      </c>
      <c r="B1661" t="s">
        <v>6707</v>
      </c>
      <c r="C1661" s="1" t="s">
        <v>6708</v>
      </c>
      <c r="D1661" t="s">
        <v>11</v>
      </c>
      <c r="E1661">
        <v>1</v>
      </c>
      <c r="F1661">
        <v>1</v>
      </c>
      <c r="G1661">
        <v>36</v>
      </c>
      <c r="H1661" s="2">
        <v>44256.754120370373</v>
      </c>
    </row>
    <row r="1662" spans="1:8" ht="14.25" customHeight="1" x14ac:dyDescent="0.3">
      <c r="A1662">
        <v>1342637</v>
      </c>
      <c r="B1662" t="s">
        <v>4555</v>
      </c>
      <c r="C1662" s="1" t="s">
        <v>6709</v>
      </c>
      <c r="D1662" t="s">
        <v>11</v>
      </c>
      <c r="E1662">
        <v>1</v>
      </c>
      <c r="F1662">
        <v>1</v>
      </c>
      <c r="G1662">
        <v>41</v>
      </c>
      <c r="H1662" s="2">
        <v>44256.754212962966</v>
      </c>
    </row>
    <row r="1663" spans="1:8" ht="14.25" customHeight="1" x14ac:dyDescent="0.3">
      <c r="A1663">
        <v>1342554</v>
      </c>
      <c r="B1663" t="s">
        <v>6710</v>
      </c>
      <c r="C1663" s="1" t="s">
        <v>6711</v>
      </c>
      <c r="D1663" t="s">
        <v>11</v>
      </c>
      <c r="E1663">
        <v>1</v>
      </c>
      <c r="F1663">
        <v>1</v>
      </c>
      <c r="G1663">
        <v>36</v>
      </c>
      <c r="H1663" s="2">
        <v>44256.75509259259</v>
      </c>
    </row>
    <row r="1664" spans="1:8" ht="14.25" customHeight="1" x14ac:dyDescent="0.3">
      <c r="A1664">
        <v>1342633</v>
      </c>
      <c r="B1664" t="s">
        <v>6712</v>
      </c>
      <c r="C1664" s="1" t="s">
        <v>6713</v>
      </c>
      <c r="D1664" t="s">
        <v>11</v>
      </c>
      <c r="E1664">
        <v>1</v>
      </c>
      <c r="F1664">
        <v>1</v>
      </c>
      <c r="G1664">
        <v>43</v>
      </c>
      <c r="H1664" s="2">
        <v>44256.755162037036</v>
      </c>
    </row>
    <row r="1665" spans="1:8" ht="14.25" customHeight="1" x14ac:dyDescent="0.3">
      <c r="A1665">
        <v>1343178</v>
      </c>
      <c r="B1665" t="s">
        <v>6714</v>
      </c>
      <c r="C1665" s="1" t="s">
        <v>6715</v>
      </c>
      <c r="D1665" t="s">
        <v>11</v>
      </c>
      <c r="E1665">
        <v>1</v>
      </c>
      <c r="F1665">
        <v>1</v>
      </c>
      <c r="G1665">
        <v>41</v>
      </c>
      <c r="H1665" s="2">
        <v>44256.755798611113</v>
      </c>
    </row>
    <row r="1666" spans="1:8" ht="14.25" customHeight="1" x14ac:dyDescent="0.3">
      <c r="A1666">
        <v>1342735</v>
      </c>
      <c r="B1666" t="s">
        <v>6716</v>
      </c>
      <c r="C1666" s="1" t="s">
        <v>6717</v>
      </c>
      <c r="D1666" t="s">
        <v>11</v>
      </c>
      <c r="E1666">
        <v>1</v>
      </c>
      <c r="F1666">
        <v>1</v>
      </c>
      <c r="G1666">
        <v>43</v>
      </c>
      <c r="H1666" s="2">
        <v>44256.758946759262</v>
      </c>
    </row>
    <row r="1667" spans="1:8" ht="14.25" customHeight="1" x14ac:dyDescent="0.3">
      <c r="A1667">
        <v>1343182</v>
      </c>
      <c r="B1667" t="s">
        <v>6718</v>
      </c>
      <c r="C1667" s="1" t="s">
        <v>6719</v>
      </c>
      <c r="D1667" t="s">
        <v>11</v>
      </c>
      <c r="E1667">
        <v>1</v>
      </c>
      <c r="F1667">
        <v>1</v>
      </c>
      <c r="G1667">
        <v>43</v>
      </c>
      <c r="H1667" s="2">
        <v>44256.759155092594</v>
      </c>
    </row>
    <row r="1668" spans="1:8" ht="14.25" customHeight="1" x14ac:dyDescent="0.3">
      <c r="A1668">
        <v>1342480</v>
      </c>
      <c r="B1668" t="s">
        <v>4555</v>
      </c>
      <c r="C1668" s="1" t="s">
        <v>6720</v>
      </c>
      <c r="D1668" t="s">
        <v>11</v>
      </c>
      <c r="E1668">
        <v>1</v>
      </c>
      <c r="F1668">
        <v>1</v>
      </c>
      <c r="G1668">
        <v>41</v>
      </c>
      <c r="H1668" s="2">
        <v>44256.763819444444</v>
      </c>
    </row>
    <row r="1669" spans="1:8" ht="14.25" customHeight="1" x14ac:dyDescent="0.3">
      <c r="A1669">
        <v>1343106</v>
      </c>
      <c r="B1669" t="s">
        <v>4581</v>
      </c>
      <c r="C1669" s="1" t="s">
        <v>6721</v>
      </c>
      <c r="D1669" t="s">
        <v>11</v>
      </c>
      <c r="E1669">
        <v>1</v>
      </c>
      <c r="F1669">
        <v>1</v>
      </c>
      <c r="G1669">
        <v>43</v>
      </c>
      <c r="H1669" s="2">
        <v>44256.76394675926</v>
      </c>
    </row>
    <row r="1670" spans="1:8" ht="14.25" customHeight="1" x14ac:dyDescent="0.3">
      <c r="A1670">
        <v>1342508</v>
      </c>
      <c r="B1670" t="e">
        <f>- email backup and cancellation</f>
        <v>#NAME?</v>
      </c>
      <c r="C1670" s="1" t="s">
        <v>6722</v>
      </c>
      <c r="D1670" t="s">
        <v>11</v>
      </c>
      <c r="E1670">
        <v>1</v>
      </c>
      <c r="F1670">
        <v>1</v>
      </c>
      <c r="G1670">
        <v>43</v>
      </c>
      <c r="H1670" s="2">
        <v>44256.764560185184</v>
      </c>
    </row>
    <row r="1671" spans="1:8" ht="14.25" customHeight="1" x14ac:dyDescent="0.3">
      <c r="A1671">
        <v>1342500</v>
      </c>
      <c r="B1671" t="s">
        <v>6723</v>
      </c>
      <c r="C1671" s="1" t="s">
        <v>6724</v>
      </c>
      <c r="D1671" t="s">
        <v>11</v>
      </c>
      <c r="E1671">
        <v>1</v>
      </c>
      <c r="F1671">
        <v>1</v>
      </c>
      <c r="G1671">
        <v>41</v>
      </c>
      <c r="H1671" s="2">
        <v>44256.765474537038</v>
      </c>
    </row>
    <row r="1672" spans="1:8" ht="14.25" customHeight="1" x14ac:dyDescent="0.3">
      <c r="A1672">
        <v>1342399</v>
      </c>
      <c r="B1672" t="s">
        <v>4555</v>
      </c>
      <c r="C1672" s="1" t="s">
        <v>6725</v>
      </c>
      <c r="D1672" t="s">
        <v>11</v>
      </c>
      <c r="E1672">
        <v>1</v>
      </c>
      <c r="F1672">
        <v>1</v>
      </c>
      <c r="G1672">
        <v>41</v>
      </c>
      <c r="H1672" s="2">
        <v>44256.766944444447</v>
      </c>
    </row>
    <row r="1673" spans="1:8" ht="14.25" customHeight="1" x14ac:dyDescent="0.3">
      <c r="A1673">
        <v>1342419</v>
      </c>
      <c r="B1673" t="s">
        <v>4555</v>
      </c>
      <c r="C1673" s="1" t="s">
        <v>6726</v>
      </c>
      <c r="D1673" t="s">
        <v>11</v>
      </c>
      <c r="E1673">
        <v>1</v>
      </c>
      <c r="F1673">
        <v>1</v>
      </c>
      <c r="G1673">
        <v>41</v>
      </c>
      <c r="H1673" s="2">
        <v>44256.768935185188</v>
      </c>
    </row>
    <row r="1674" spans="1:8" ht="14.25" customHeight="1" x14ac:dyDescent="0.3">
      <c r="A1674">
        <v>1342619</v>
      </c>
      <c r="B1674" t="s">
        <v>6727</v>
      </c>
      <c r="C1674" s="1" t="s">
        <v>6728</v>
      </c>
      <c r="D1674" t="s">
        <v>11</v>
      </c>
      <c r="E1674">
        <v>1</v>
      </c>
      <c r="F1674">
        <v>1</v>
      </c>
      <c r="G1674">
        <v>43</v>
      </c>
      <c r="H1674" s="2">
        <v>44256.770682870374</v>
      </c>
    </row>
    <row r="1675" spans="1:8" ht="14.25" customHeight="1" x14ac:dyDescent="0.3">
      <c r="A1675">
        <v>1342657</v>
      </c>
      <c r="B1675" t="s">
        <v>6729</v>
      </c>
      <c r="C1675" s="1" t="s">
        <v>6730</v>
      </c>
      <c r="D1675" t="s">
        <v>11</v>
      </c>
      <c r="E1675">
        <v>1</v>
      </c>
      <c r="F1675">
        <v>1</v>
      </c>
      <c r="G1675">
        <v>43</v>
      </c>
      <c r="H1675" s="2">
        <v>44256.770821759259</v>
      </c>
    </row>
    <row r="1676" spans="1:8" ht="14.25" customHeight="1" x14ac:dyDescent="0.3">
      <c r="A1676">
        <v>1342402</v>
      </c>
      <c r="B1676" t="s">
        <v>4683</v>
      </c>
      <c r="C1676" t="s">
        <v>4684</v>
      </c>
      <c r="D1676" t="s">
        <v>1158</v>
      </c>
      <c r="E1676">
        <v>1</v>
      </c>
      <c r="F1676">
        <v>1</v>
      </c>
      <c r="G1676">
        <v>36</v>
      </c>
      <c r="H1676" s="2">
        <v>44256.776064814818</v>
      </c>
    </row>
    <row r="1677" spans="1:8" ht="14.25" customHeight="1" x14ac:dyDescent="0.3">
      <c r="A1677">
        <v>1342488</v>
      </c>
      <c r="B1677" t="s">
        <v>4555</v>
      </c>
      <c r="C1677" s="1" t="s">
        <v>6731</v>
      </c>
      <c r="D1677" t="s">
        <v>11</v>
      </c>
      <c r="E1677">
        <v>1</v>
      </c>
      <c r="F1677">
        <v>1</v>
      </c>
      <c r="G1677">
        <v>41</v>
      </c>
      <c r="H1677" s="2">
        <v>44256.777581018519</v>
      </c>
    </row>
    <row r="1678" spans="1:8" ht="14.25" customHeight="1" x14ac:dyDescent="0.3">
      <c r="A1678">
        <v>1342635</v>
      </c>
      <c r="B1678" t="s">
        <v>6732</v>
      </c>
      <c r="C1678" s="1" t="s">
        <v>6733</v>
      </c>
      <c r="D1678" t="s">
        <v>11</v>
      </c>
      <c r="E1678">
        <v>1</v>
      </c>
      <c r="F1678">
        <v>1</v>
      </c>
      <c r="G1678">
        <v>41</v>
      </c>
      <c r="H1678" s="2">
        <v>44256.778680555559</v>
      </c>
    </row>
    <row r="1679" spans="1:8" ht="14.25" customHeight="1" x14ac:dyDescent="0.3">
      <c r="A1679">
        <v>1342403</v>
      </c>
      <c r="B1679" t="s">
        <v>4683</v>
      </c>
      <c r="C1679" t="s">
        <v>4684</v>
      </c>
      <c r="D1679" t="s">
        <v>1158</v>
      </c>
      <c r="E1679">
        <v>1</v>
      </c>
      <c r="F1679">
        <v>1</v>
      </c>
      <c r="G1679">
        <v>36</v>
      </c>
      <c r="H1679" s="2">
        <v>44256.778738425928</v>
      </c>
    </row>
    <row r="1680" spans="1:8" ht="14.25" customHeight="1" x14ac:dyDescent="0.3">
      <c r="A1680">
        <v>1342024</v>
      </c>
      <c r="B1680" t="s">
        <v>6734</v>
      </c>
      <c r="C1680" s="1" t="s">
        <v>6735</v>
      </c>
      <c r="D1680" t="s">
        <v>11</v>
      </c>
      <c r="E1680">
        <v>1</v>
      </c>
      <c r="F1680">
        <v>1</v>
      </c>
      <c r="G1680">
        <v>43</v>
      </c>
      <c r="H1680" s="2">
        <v>44256.778877314813</v>
      </c>
    </row>
    <row r="1681" spans="1:8" ht="14.25" customHeight="1" x14ac:dyDescent="0.3">
      <c r="A1681">
        <v>1342498</v>
      </c>
      <c r="B1681" t="s">
        <v>6736</v>
      </c>
      <c r="C1681" s="1" t="s">
        <v>6737</v>
      </c>
      <c r="D1681" t="s">
        <v>11</v>
      </c>
      <c r="E1681">
        <v>1</v>
      </c>
      <c r="F1681">
        <v>1</v>
      </c>
      <c r="G1681">
        <v>41</v>
      </c>
      <c r="H1681" s="2">
        <v>44256.779027777775</v>
      </c>
    </row>
    <row r="1682" spans="1:8" ht="14.25" customHeight="1" x14ac:dyDescent="0.3">
      <c r="A1682">
        <v>1342645</v>
      </c>
      <c r="B1682" t="s">
        <v>6738</v>
      </c>
      <c r="C1682" s="1" t="s">
        <v>6739</v>
      </c>
      <c r="D1682" t="s">
        <v>11</v>
      </c>
      <c r="E1682">
        <v>1</v>
      </c>
      <c r="F1682">
        <v>1</v>
      </c>
      <c r="G1682">
        <v>43</v>
      </c>
      <c r="H1682" s="2">
        <v>44256.779780092591</v>
      </c>
    </row>
    <row r="1683" spans="1:8" ht="14.25" customHeight="1" x14ac:dyDescent="0.3">
      <c r="A1683">
        <v>1342008</v>
      </c>
      <c r="B1683" t="e">
        <f>- permission to modify activities of others</f>
        <v>#NAME?</v>
      </c>
      <c r="C1683" s="1" t="s">
        <v>6740</v>
      </c>
      <c r="D1683" t="s">
        <v>24</v>
      </c>
      <c r="E1683">
        <v>1</v>
      </c>
      <c r="F1683">
        <v>1</v>
      </c>
      <c r="G1683">
        <v>43</v>
      </c>
      <c r="H1683" s="2">
        <v>44256.785428240742</v>
      </c>
    </row>
    <row r="1684" spans="1:8" ht="14.25" customHeight="1" x14ac:dyDescent="0.3">
      <c r="A1684">
        <v>1342509</v>
      </c>
      <c r="B1684" t="s">
        <v>6741</v>
      </c>
      <c r="C1684" t="s">
        <v>6742</v>
      </c>
      <c r="D1684" t="s">
        <v>11</v>
      </c>
      <c r="E1684">
        <v>1</v>
      </c>
      <c r="F1684">
        <v>1</v>
      </c>
      <c r="G1684">
        <v>43</v>
      </c>
      <c r="H1684" s="2">
        <v>44256.788425925923</v>
      </c>
    </row>
    <row r="1685" spans="1:8" ht="14.25" customHeight="1" x14ac:dyDescent="0.3">
      <c r="A1685">
        <v>1342018</v>
      </c>
      <c r="B1685" t="s">
        <v>6743</v>
      </c>
      <c r="C1685" s="1" t="s">
        <v>6744</v>
      </c>
      <c r="D1685" t="s">
        <v>11</v>
      </c>
      <c r="E1685">
        <v>1</v>
      </c>
      <c r="F1685">
        <v>1</v>
      </c>
      <c r="G1685">
        <v>36</v>
      </c>
      <c r="H1685" s="2">
        <v>44256.788483796299</v>
      </c>
    </row>
    <row r="1686" spans="1:8" ht="14.25" customHeight="1" x14ac:dyDescent="0.3">
      <c r="A1686">
        <v>1341991</v>
      </c>
      <c r="B1686" t="s">
        <v>6745</v>
      </c>
      <c r="C1686" s="1" t="s">
        <v>6746</v>
      </c>
      <c r="D1686" t="s">
        <v>24</v>
      </c>
      <c r="E1686">
        <v>1</v>
      </c>
      <c r="F1686">
        <v>1</v>
      </c>
      <c r="G1686">
        <v>43</v>
      </c>
      <c r="H1686" s="2">
        <v>44256.794004629628</v>
      </c>
    </row>
    <row r="1687" spans="1:8" ht="14.25" customHeight="1" x14ac:dyDescent="0.3">
      <c r="A1687">
        <v>1342015</v>
      </c>
      <c r="B1687" t="s">
        <v>6562</v>
      </c>
      <c r="C1687" s="1" t="s">
        <v>6747</v>
      </c>
      <c r="D1687" t="s">
        <v>24</v>
      </c>
      <c r="E1687">
        <v>1</v>
      </c>
      <c r="F1687">
        <v>1</v>
      </c>
      <c r="G1687">
        <v>36</v>
      </c>
      <c r="H1687" s="2">
        <v>44256.79409722222</v>
      </c>
    </row>
    <row r="1688" spans="1:8" ht="14.25" customHeight="1" x14ac:dyDescent="0.3">
      <c r="A1688">
        <v>1341952</v>
      </c>
      <c r="B1688" t="s">
        <v>6748</v>
      </c>
      <c r="C1688" s="1" t="s">
        <v>6749</v>
      </c>
      <c r="D1688" t="s">
        <v>188</v>
      </c>
      <c r="E1688">
        <v>1</v>
      </c>
      <c r="F1688">
        <v>1</v>
      </c>
      <c r="G1688">
        <v>43</v>
      </c>
      <c r="H1688" s="2">
        <v>44256.795648148145</v>
      </c>
    </row>
    <row r="1689" spans="1:8" ht="14.25" customHeight="1" x14ac:dyDescent="0.3">
      <c r="A1689">
        <v>1342047</v>
      </c>
      <c r="B1689" t="s">
        <v>6750</v>
      </c>
      <c r="C1689" s="1" t="s">
        <v>6532</v>
      </c>
      <c r="D1689" t="s">
        <v>11</v>
      </c>
      <c r="E1689">
        <v>1</v>
      </c>
      <c r="F1689">
        <v>1</v>
      </c>
      <c r="G1689">
        <v>43</v>
      </c>
      <c r="H1689" s="2">
        <v>44256.795706018522</v>
      </c>
    </row>
    <row r="1690" spans="1:8" ht="14.25" customHeight="1" x14ac:dyDescent="0.3">
      <c r="A1690">
        <v>1342000</v>
      </c>
      <c r="B1690" t="s">
        <v>6751</v>
      </c>
      <c r="C1690" s="1" t="s">
        <v>6752</v>
      </c>
      <c r="D1690" t="s">
        <v>24</v>
      </c>
      <c r="E1690">
        <v>1</v>
      </c>
      <c r="F1690">
        <v>1</v>
      </c>
      <c r="G1690">
        <v>36</v>
      </c>
      <c r="H1690" s="2">
        <v>44256.795798611114</v>
      </c>
    </row>
    <row r="1691" spans="1:8" ht="14.25" customHeight="1" x14ac:dyDescent="0.3">
      <c r="A1691">
        <v>1342504</v>
      </c>
      <c r="B1691" t="s">
        <v>6753</v>
      </c>
      <c r="C1691" s="1" t="s">
        <v>6754</v>
      </c>
      <c r="D1691" t="s">
        <v>11</v>
      </c>
      <c r="E1691">
        <v>1</v>
      </c>
      <c r="F1691">
        <v>1</v>
      </c>
      <c r="G1691">
        <v>41</v>
      </c>
      <c r="H1691" s="2">
        <v>44256.795868055553</v>
      </c>
    </row>
    <row r="1692" spans="1:8" ht="14.25" customHeight="1" x14ac:dyDescent="0.3">
      <c r="A1692">
        <v>1341987</v>
      </c>
      <c r="B1692" t="s">
        <v>6755</v>
      </c>
      <c r="C1692" s="1" t="s">
        <v>6756</v>
      </c>
      <c r="D1692" t="s">
        <v>11</v>
      </c>
      <c r="E1692">
        <v>1</v>
      </c>
      <c r="F1692">
        <v>1</v>
      </c>
      <c r="G1692">
        <v>43</v>
      </c>
      <c r="H1692" s="2">
        <v>44256.795949074076</v>
      </c>
    </row>
    <row r="1693" spans="1:8" ht="14.25" customHeight="1" x14ac:dyDescent="0.3">
      <c r="A1693">
        <v>1341912</v>
      </c>
      <c r="B1693" t="s">
        <v>6757</v>
      </c>
      <c r="C1693" s="1" t="s">
        <v>6758</v>
      </c>
      <c r="D1693" t="s">
        <v>11</v>
      </c>
      <c r="E1693">
        <v>1</v>
      </c>
      <c r="F1693">
        <v>1</v>
      </c>
      <c r="G1693">
        <v>36</v>
      </c>
      <c r="H1693" s="2">
        <v>44256.796053240738</v>
      </c>
    </row>
    <row r="1694" spans="1:8" ht="14.25" customHeight="1" x14ac:dyDescent="0.3">
      <c r="A1694">
        <v>1341853</v>
      </c>
      <c r="B1694" t="s">
        <v>6759</v>
      </c>
      <c r="C1694" s="1" t="s">
        <v>6760</v>
      </c>
      <c r="D1694" t="s">
        <v>11</v>
      </c>
      <c r="E1694">
        <v>1</v>
      </c>
      <c r="F1694">
        <v>1</v>
      </c>
      <c r="G1694">
        <v>43</v>
      </c>
      <c r="H1694" s="2">
        <v>44256.797847222224</v>
      </c>
    </row>
    <row r="1695" spans="1:8" ht="14.25" customHeight="1" x14ac:dyDescent="0.3">
      <c r="A1695">
        <v>1342032</v>
      </c>
      <c r="B1695" t="s">
        <v>3018</v>
      </c>
      <c r="C1695" s="1" t="s">
        <v>6761</v>
      </c>
      <c r="D1695" t="s">
        <v>11</v>
      </c>
      <c r="E1695">
        <v>1</v>
      </c>
      <c r="F1695">
        <v>1</v>
      </c>
      <c r="G1695">
        <v>43</v>
      </c>
      <c r="H1695" s="2">
        <v>44256.797939814816</v>
      </c>
    </row>
    <row r="1696" spans="1:8" ht="14.25" customHeight="1" x14ac:dyDescent="0.3">
      <c r="A1696">
        <v>1341959</v>
      </c>
      <c r="B1696" t="s">
        <v>6762</v>
      </c>
      <c r="C1696" s="1" t="s">
        <v>6763</v>
      </c>
      <c r="D1696" t="s">
        <v>11</v>
      </c>
      <c r="E1696">
        <v>1</v>
      </c>
      <c r="F1696">
        <v>1</v>
      </c>
      <c r="G1696">
        <v>43</v>
      </c>
      <c r="H1696" s="2">
        <v>44256.798159722224</v>
      </c>
    </row>
    <row r="1697" spans="1:8" ht="14.25" customHeight="1" x14ac:dyDescent="0.3">
      <c r="A1697">
        <v>1341839</v>
      </c>
      <c r="B1697" t="s">
        <v>6764</v>
      </c>
      <c r="C1697" s="1" t="s">
        <v>6765</v>
      </c>
      <c r="D1697" t="s">
        <v>11</v>
      </c>
      <c r="E1697">
        <v>1</v>
      </c>
      <c r="F1697">
        <v>1</v>
      </c>
      <c r="G1697">
        <v>43</v>
      </c>
      <c r="H1697" s="2">
        <v>44256.826678240737</v>
      </c>
    </row>
    <row r="1698" spans="1:8" ht="14.25" customHeight="1" x14ac:dyDescent="0.3">
      <c r="A1698">
        <v>1342083</v>
      </c>
      <c r="B1698" t="s">
        <v>6766</v>
      </c>
      <c r="C1698" s="1" t="s">
        <v>6767</v>
      </c>
      <c r="D1698" t="s">
        <v>24</v>
      </c>
      <c r="E1698">
        <v>1</v>
      </c>
      <c r="F1698">
        <v>1</v>
      </c>
      <c r="G1698">
        <v>43</v>
      </c>
      <c r="H1698" s="2">
        <v>44256.829351851855</v>
      </c>
    </row>
    <row r="1699" spans="1:8" ht="14.25" customHeight="1" x14ac:dyDescent="0.3">
      <c r="A1699">
        <v>1342404</v>
      </c>
      <c r="B1699" t="s">
        <v>4690</v>
      </c>
      <c r="C1699" t="s">
        <v>4691</v>
      </c>
      <c r="D1699" t="s">
        <v>1158</v>
      </c>
      <c r="E1699">
        <v>1</v>
      </c>
      <c r="F1699">
        <v>1</v>
      </c>
      <c r="G1699">
        <v>36</v>
      </c>
      <c r="H1699" s="2">
        <v>44256.829456018517</v>
      </c>
    </row>
    <row r="1700" spans="1:8" ht="14.25" customHeight="1" x14ac:dyDescent="0.3">
      <c r="A1700">
        <v>1341623</v>
      </c>
      <c r="B1700" t="s">
        <v>4683</v>
      </c>
      <c r="C1700" t="s">
        <v>4684</v>
      </c>
      <c r="D1700" t="s">
        <v>1158</v>
      </c>
      <c r="E1700">
        <v>1</v>
      </c>
      <c r="F1700">
        <v>1</v>
      </c>
      <c r="G1700">
        <v>36</v>
      </c>
      <c r="H1700" s="2">
        <v>44256.829745370371</v>
      </c>
    </row>
    <row r="1701" spans="1:8" ht="14.25" customHeight="1" x14ac:dyDescent="0.3">
      <c r="A1701">
        <v>1341965</v>
      </c>
      <c r="B1701" t="s">
        <v>6768</v>
      </c>
      <c r="C1701" s="1" t="s">
        <v>6769</v>
      </c>
      <c r="D1701" t="s">
        <v>11</v>
      </c>
      <c r="E1701">
        <v>1</v>
      </c>
      <c r="F1701">
        <v>1</v>
      </c>
      <c r="G1701">
        <v>43</v>
      </c>
      <c r="H1701" s="2">
        <v>44256.829861111109</v>
      </c>
    </row>
    <row r="1702" spans="1:8" ht="14.25" customHeight="1" x14ac:dyDescent="0.3">
      <c r="A1702">
        <v>1342518</v>
      </c>
      <c r="B1702" t="s">
        <v>6770</v>
      </c>
      <c r="C1702" s="1" t="s">
        <v>6771</v>
      </c>
      <c r="D1702" t="s">
        <v>11</v>
      </c>
      <c r="E1702">
        <v>1</v>
      </c>
      <c r="F1702">
        <v>1</v>
      </c>
      <c r="G1702">
        <v>36</v>
      </c>
      <c r="H1702" s="2">
        <v>44256.829976851855</v>
      </c>
    </row>
    <row r="1703" spans="1:8" ht="14.25" customHeight="1" x14ac:dyDescent="0.3">
      <c r="A1703">
        <v>1341910</v>
      </c>
      <c r="B1703" t="s">
        <v>6772</v>
      </c>
      <c r="C1703" s="1" t="s">
        <v>6773</v>
      </c>
      <c r="D1703" t="s">
        <v>11</v>
      </c>
      <c r="E1703">
        <v>1</v>
      </c>
      <c r="F1703">
        <v>1</v>
      </c>
      <c r="G1703">
        <v>36</v>
      </c>
      <c r="H1703" s="2">
        <v>44256.831076388888</v>
      </c>
    </row>
    <row r="1704" spans="1:8" ht="14.25" customHeight="1" x14ac:dyDescent="0.3">
      <c r="A1704">
        <v>1341941</v>
      </c>
      <c r="B1704" t="s">
        <v>6774</v>
      </c>
      <c r="C1704" s="1" t="s">
        <v>6775</v>
      </c>
      <c r="D1704" t="s">
        <v>11</v>
      </c>
      <c r="E1704">
        <v>1</v>
      </c>
      <c r="F1704">
        <v>1</v>
      </c>
      <c r="G1704">
        <v>41</v>
      </c>
      <c r="H1704" s="2">
        <v>44256.835694444446</v>
      </c>
    </row>
    <row r="1705" spans="1:8" ht="14.25" customHeight="1" x14ac:dyDescent="0.3">
      <c r="A1705">
        <v>1341997</v>
      </c>
      <c r="B1705" t="e">
        <f>- calgary arts development - missing machines</f>
        <v>#NAME?</v>
      </c>
      <c r="C1705" s="1" t="s">
        <v>6776</v>
      </c>
      <c r="D1705" t="s">
        <v>24</v>
      </c>
      <c r="E1705">
        <v>1</v>
      </c>
      <c r="F1705">
        <v>1</v>
      </c>
      <c r="G1705">
        <v>43</v>
      </c>
      <c r="H1705" s="2">
        <v>44256.835844907408</v>
      </c>
    </row>
    <row r="1706" spans="1:8" ht="14.25" customHeight="1" x14ac:dyDescent="0.3">
      <c r="A1706">
        <v>1341624</v>
      </c>
      <c r="B1706" t="s">
        <v>6777</v>
      </c>
      <c r="C1706" t="s">
        <v>4832</v>
      </c>
      <c r="D1706" t="s">
        <v>1158</v>
      </c>
      <c r="E1706">
        <v>1</v>
      </c>
      <c r="F1706">
        <v>1</v>
      </c>
      <c r="G1706">
        <v>36</v>
      </c>
      <c r="H1706" s="2">
        <v>44256.835995370369</v>
      </c>
    </row>
    <row r="1707" spans="1:8" ht="14.25" customHeight="1" x14ac:dyDescent="0.3">
      <c r="A1707">
        <v>1342405</v>
      </c>
      <c r="B1707" t="s">
        <v>4856</v>
      </c>
      <c r="C1707" t="s">
        <v>4857</v>
      </c>
      <c r="D1707" t="s">
        <v>1158</v>
      </c>
      <c r="E1707">
        <v>1</v>
      </c>
      <c r="F1707">
        <v>1</v>
      </c>
      <c r="G1707">
        <v>36</v>
      </c>
      <c r="H1707" s="2">
        <v>44256.836076388892</v>
      </c>
    </row>
    <row r="1708" spans="1:8" ht="14.25" customHeight="1" x14ac:dyDescent="0.3">
      <c r="A1708">
        <v>1341996</v>
      </c>
      <c r="B1708" t="s">
        <v>6778</v>
      </c>
      <c r="C1708" s="1" t="s">
        <v>6779</v>
      </c>
      <c r="D1708" t="s">
        <v>24</v>
      </c>
      <c r="E1708">
        <v>1</v>
      </c>
      <c r="F1708">
        <v>1</v>
      </c>
      <c r="G1708">
        <v>43</v>
      </c>
      <c r="H1708" s="2">
        <v>44256.836342592593</v>
      </c>
    </row>
    <row r="1709" spans="1:8" ht="14.25" customHeight="1" x14ac:dyDescent="0.3">
      <c r="A1709">
        <v>1341301</v>
      </c>
      <c r="B1709" t="s">
        <v>6780</v>
      </c>
      <c r="C1709" s="1" t="s">
        <v>6781</v>
      </c>
      <c r="D1709" t="s">
        <v>11</v>
      </c>
      <c r="E1709">
        <v>1</v>
      </c>
      <c r="F1709">
        <v>1</v>
      </c>
      <c r="G1709">
        <v>36</v>
      </c>
      <c r="H1709" s="2">
        <v>44256.836539351854</v>
      </c>
    </row>
    <row r="1710" spans="1:8" ht="14.25" customHeight="1" x14ac:dyDescent="0.3">
      <c r="A1710">
        <v>1341977</v>
      </c>
      <c r="B1710" t="s">
        <v>6782</v>
      </c>
      <c r="C1710" s="1" t="s">
        <v>6783</v>
      </c>
      <c r="D1710" t="s">
        <v>24</v>
      </c>
      <c r="E1710">
        <v>1</v>
      </c>
      <c r="F1710">
        <v>1</v>
      </c>
      <c r="G1710">
        <v>43</v>
      </c>
      <c r="H1710" s="2">
        <v>44256.838067129633</v>
      </c>
    </row>
    <row r="1711" spans="1:8" ht="14.25" customHeight="1" x14ac:dyDescent="0.3">
      <c r="A1711">
        <v>1341827</v>
      </c>
      <c r="B1711" t="s">
        <v>6784</v>
      </c>
      <c r="C1711" t="s">
        <v>6785</v>
      </c>
      <c r="D1711" t="s">
        <v>11</v>
      </c>
      <c r="E1711">
        <v>1</v>
      </c>
      <c r="F1711">
        <v>1</v>
      </c>
      <c r="G1711">
        <v>43</v>
      </c>
      <c r="H1711" s="2">
        <v>44256.83834490741</v>
      </c>
    </row>
    <row r="1712" spans="1:8" ht="14.25" customHeight="1" x14ac:dyDescent="0.3">
      <c r="A1712">
        <v>1341318</v>
      </c>
      <c r="B1712" t="e">
        <f>- quickbooks needs updating</f>
        <v>#NAME?</v>
      </c>
      <c r="C1712" s="1" t="s">
        <v>6786</v>
      </c>
      <c r="D1712" t="s">
        <v>24</v>
      </c>
      <c r="E1712">
        <v>1</v>
      </c>
      <c r="F1712">
        <v>1</v>
      </c>
      <c r="G1712">
        <v>43</v>
      </c>
      <c r="H1712" s="2">
        <v>44256.838414351849</v>
      </c>
    </row>
    <row r="1713" spans="1:8" ht="14.25" customHeight="1" x14ac:dyDescent="0.3">
      <c r="A1713">
        <v>1341355</v>
      </c>
      <c r="B1713" t="s">
        <v>4555</v>
      </c>
      <c r="C1713" s="1" t="s">
        <v>6787</v>
      </c>
      <c r="D1713" t="s">
        <v>11</v>
      </c>
      <c r="E1713">
        <v>1</v>
      </c>
      <c r="F1713">
        <v>1</v>
      </c>
      <c r="G1713">
        <v>41</v>
      </c>
      <c r="H1713" s="2">
        <v>44256.838587962964</v>
      </c>
    </row>
    <row r="1714" spans="1:8" ht="14.25" customHeight="1" x14ac:dyDescent="0.3">
      <c r="A1714">
        <v>1342019</v>
      </c>
      <c r="B1714" t="s">
        <v>6788</v>
      </c>
      <c r="C1714" s="1" t="s">
        <v>6789</v>
      </c>
      <c r="D1714" t="s">
        <v>11</v>
      </c>
      <c r="E1714">
        <v>1</v>
      </c>
      <c r="F1714">
        <v>2</v>
      </c>
      <c r="G1714">
        <v>41</v>
      </c>
      <c r="H1714" s="2">
        <v>44256.840914351851</v>
      </c>
    </row>
    <row r="1715" spans="1:8" ht="14.25" customHeight="1" x14ac:dyDescent="0.3">
      <c r="A1715">
        <v>1341199</v>
      </c>
      <c r="B1715" t="s">
        <v>6790</v>
      </c>
      <c r="C1715" s="1" t="s">
        <v>6791</v>
      </c>
      <c r="D1715" t="s">
        <v>11</v>
      </c>
      <c r="E1715">
        <v>1</v>
      </c>
      <c r="F1715">
        <v>1</v>
      </c>
      <c r="G1715">
        <v>36</v>
      </c>
      <c r="H1715" s="2">
        <v>44256.841354166667</v>
      </c>
    </row>
    <row r="1716" spans="1:8" ht="14.25" customHeight="1" x14ac:dyDescent="0.3">
      <c r="A1716">
        <v>1341215</v>
      </c>
      <c r="B1716" t="s">
        <v>6792</v>
      </c>
      <c r="C1716" s="1" t="s">
        <v>6793</v>
      </c>
      <c r="D1716" t="s">
        <v>11</v>
      </c>
      <c r="E1716">
        <v>1</v>
      </c>
      <c r="F1716">
        <v>1</v>
      </c>
      <c r="G1716">
        <v>43</v>
      </c>
      <c r="H1716" s="2">
        <v>44256.841435185182</v>
      </c>
    </row>
    <row r="1717" spans="1:8" ht="14.25" customHeight="1" x14ac:dyDescent="0.3">
      <c r="A1717">
        <v>1341302</v>
      </c>
      <c r="B1717" t="e">
        <f>- u: drive in rds-YK4</f>
        <v>#NAME?</v>
      </c>
      <c r="C1717" s="1" t="s">
        <v>6794</v>
      </c>
      <c r="D1717" t="s">
        <v>24</v>
      </c>
      <c r="E1717">
        <v>1</v>
      </c>
      <c r="F1717">
        <v>2</v>
      </c>
      <c r="G1717">
        <v>41</v>
      </c>
      <c r="H1717" s="2">
        <v>44256.841504629629</v>
      </c>
    </row>
    <row r="1718" spans="1:8" ht="14.25" customHeight="1" x14ac:dyDescent="0.3">
      <c r="A1718">
        <v>1341214</v>
      </c>
      <c r="B1718" t="s">
        <v>6795</v>
      </c>
      <c r="C1718" s="1" t="s">
        <v>6796</v>
      </c>
      <c r="D1718" t="s">
        <v>11</v>
      </c>
      <c r="E1718">
        <v>1</v>
      </c>
      <c r="F1718">
        <v>1</v>
      </c>
      <c r="G1718">
        <v>43</v>
      </c>
      <c r="H1718" s="2">
        <v>44256.841631944444</v>
      </c>
    </row>
    <row r="1719" spans="1:8" ht="14.25" customHeight="1" x14ac:dyDescent="0.3">
      <c r="A1719">
        <v>1341188</v>
      </c>
      <c r="B1719" t="s">
        <v>6797</v>
      </c>
      <c r="C1719" s="1" t="s">
        <v>6798</v>
      </c>
      <c r="D1719" t="s">
        <v>11</v>
      </c>
      <c r="E1719">
        <v>1</v>
      </c>
      <c r="F1719">
        <v>1</v>
      </c>
      <c r="G1719">
        <v>43</v>
      </c>
      <c r="H1719" s="2">
        <v>44256.844606481478</v>
      </c>
    </row>
    <row r="1720" spans="1:8" ht="14.25" customHeight="1" x14ac:dyDescent="0.3">
      <c r="A1720">
        <v>1341262</v>
      </c>
      <c r="B1720" t="s">
        <v>6799</v>
      </c>
      <c r="C1720" s="1" t="s">
        <v>6800</v>
      </c>
      <c r="D1720" t="s">
        <v>24</v>
      </c>
      <c r="E1720">
        <v>1</v>
      </c>
      <c r="F1720">
        <v>1</v>
      </c>
      <c r="G1720">
        <v>43</v>
      </c>
      <c r="H1720" s="2">
        <v>44256.844768518517</v>
      </c>
    </row>
    <row r="1721" spans="1:8" ht="14.25" customHeight="1" x14ac:dyDescent="0.3">
      <c r="A1721">
        <v>1341151</v>
      </c>
      <c r="B1721" t="s">
        <v>4555</v>
      </c>
      <c r="C1721" s="1" t="s">
        <v>6801</v>
      </c>
      <c r="D1721" t="s">
        <v>11</v>
      </c>
      <c r="E1721">
        <v>1</v>
      </c>
      <c r="F1721">
        <v>1</v>
      </c>
      <c r="G1721">
        <v>41</v>
      </c>
      <c r="H1721" s="2">
        <v>44256.845833333333</v>
      </c>
    </row>
    <row r="1722" spans="1:8" ht="14.25" customHeight="1" x14ac:dyDescent="0.3">
      <c r="A1722">
        <v>1341207</v>
      </c>
      <c r="B1722" t="e">
        <f>- unable to login to server</f>
        <v>#NAME?</v>
      </c>
      <c r="C1722" s="1" t="s">
        <v>6802</v>
      </c>
      <c r="D1722" t="s">
        <v>11</v>
      </c>
      <c r="E1722">
        <v>1</v>
      </c>
      <c r="F1722">
        <v>3</v>
      </c>
      <c r="G1722">
        <v>41</v>
      </c>
      <c r="H1722" s="2">
        <v>44256.845925925925</v>
      </c>
    </row>
    <row r="1723" spans="1:8" ht="14.25" customHeight="1" x14ac:dyDescent="0.3">
      <c r="A1723">
        <v>1341150</v>
      </c>
      <c r="B1723" t="s">
        <v>4555</v>
      </c>
      <c r="C1723" s="1" t="s">
        <v>6803</v>
      </c>
      <c r="D1723" t="s">
        <v>11</v>
      </c>
      <c r="E1723">
        <v>1</v>
      </c>
      <c r="F1723">
        <v>1</v>
      </c>
      <c r="G1723">
        <v>41</v>
      </c>
      <c r="H1723" s="2">
        <v>44256.845995370371</v>
      </c>
    </row>
    <row r="1724" spans="1:8" ht="14.25" customHeight="1" x14ac:dyDescent="0.3">
      <c r="A1724">
        <v>1342059</v>
      </c>
      <c r="B1724" t="s">
        <v>3010</v>
      </c>
      <c r="C1724" s="1" t="s">
        <v>6678</v>
      </c>
      <c r="D1724" t="s">
        <v>11</v>
      </c>
      <c r="E1724">
        <v>1</v>
      </c>
      <c r="F1724">
        <v>1</v>
      </c>
      <c r="G1724">
        <v>41</v>
      </c>
      <c r="H1724" s="2">
        <v>44256.846064814818</v>
      </c>
    </row>
    <row r="1725" spans="1:8" ht="14.25" customHeight="1" x14ac:dyDescent="0.3">
      <c r="A1725">
        <v>1341850</v>
      </c>
      <c r="B1725" t="s">
        <v>6804</v>
      </c>
      <c r="C1725" s="1" t="s">
        <v>6805</v>
      </c>
      <c r="D1725" t="s">
        <v>11</v>
      </c>
      <c r="E1725">
        <v>1</v>
      </c>
      <c r="F1725">
        <v>1</v>
      </c>
      <c r="G1725">
        <v>43</v>
      </c>
      <c r="H1725" s="2">
        <v>44256.846261574072</v>
      </c>
    </row>
    <row r="1726" spans="1:8" ht="14.25" customHeight="1" x14ac:dyDescent="0.3">
      <c r="A1726">
        <v>1341132</v>
      </c>
      <c r="B1726" t="s">
        <v>6806</v>
      </c>
      <c r="C1726" s="1" t="s">
        <v>6807</v>
      </c>
      <c r="D1726" t="s">
        <v>11</v>
      </c>
      <c r="E1726">
        <v>1</v>
      </c>
      <c r="F1726">
        <v>1</v>
      </c>
      <c r="G1726">
        <v>36</v>
      </c>
      <c r="H1726" s="2">
        <v>44256.846377314818</v>
      </c>
    </row>
    <row r="1727" spans="1:8" ht="14.25" customHeight="1" x14ac:dyDescent="0.3">
      <c r="A1727">
        <v>1341143</v>
      </c>
      <c r="B1727" t="s">
        <v>3010</v>
      </c>
      <c r="C1727" s="1" t="s">
        <v>6808</v>
      </c>
      <c r="D1727" t="s">
        <v>11</v>
      </c>
      <c r="E1727">
        <v>1</v>
      </c>
      <c r="F1727">
        <v>1</v>
      </c>
      <c r="G1727">
        <v>41</v>
      </c>
      <c r="H1727" s="2">
        <v>44256.846736111111</v>
      </c>
    </row>
    <row r="1728" spans="1:8" ht="14.25" customHeight="1" x14ac:dyDescent="0.3">
      <c r="A1728">
        <v>1341107</v>
      </c>
      <c r="B1728" t="e">
        <f>- new employee</f>
        <v>#NAME?</v>
      </c>
      <c r="C1728" s="1" t="s">
        <v>6809</v>
      </c>
      <c r="D1728" t="s">
        <v>24</v>
      </c>
      <c r="E1728">
        <v>1</v>
      </c>
      <c r="F1728">
        <v>1</v>
      </c>
      <c r="G1728">
        <v>43</v>
      </c>
      <c r="H1728" s="2">
        <v>44256.847060185188</v>
      </c>
    </row>
    <row r="1729" spans="1:8" ht="14.25" customHeight="1" x14ac:dyDescent="0.3">
      <c r="A1729">
        <v>1341152</v>
      </c>
      <c r="B1729" t="s">
        <v>6810</v>
      </c>
      <c r="C1729" s="1" t="s">
        <v>6811</v>
      </c>
      <c r="D1729" t="s">
        <v>11</v>
      </c>
      <c r="E1729">
        <v>1</v>
      </c>
      <c r="F1729">
        <v>1</v>
      </c>
      <c r="G1729">
        <v>43</v>
      </c>
      <c r="H1729" s="2">
        <v>44256.851087962961</v>
      </c>
    </row>
    <row r="1730" spans="1:8" ht="14.25" customHeight="1" x14ac:dyDescent="0.3">
      <c r="A1730">
        <v>1341250</v>
      </c>
      <c r="B1730" t="s">
        <v>6812</v>
      </c>
      <c r="C1730" s="1" t="s">
        <v>6813</v>
      </c>
      <c r="D1730" t="s">
        <v>11</v>
      </c>
      <c r="E1730">
        <v>1</v>
      </c>
      <c r="F1730">
        <v>1</v>
      </c>
      <c r="G1730">
        <v>43</v>
      </c>
      <c r="H1730" s="2">
        <v>44256.851157407407</v>
      </c>
    </row>
    <row r="1731" spans="1:8" ht="14.25" customHeight="1" x14ac:dyDescent="0.3">
      <c r="A1731">
        <v>1342745</v>
      </c>
      <c r="B1731" t="s">
        <v>6814</v>
      </c>
      <c r="C1731" s="1" t="s">
        <v>6815</v>
      </c>
      <c r="D1731" t="s">
        <v>11</v>
      </c>
      <c r="E1731">
        <v>1</v>
      </c>
      <c r="F1731">
        <v>1</v>
      </c>
      <c r="G1731">
        <v>36</v>
      </c>
      <c r="H1731" s="2">
        <v>44256.851354166669</v>
      </c>
    </row>
    <row r="1732" spans="1:8" ht="14.25" customHeight="1" x14ac:dyDescent="0.3">
      <c r="A1732">
        <v>1341041</v>
      </c>
      <c r="B1732" t="s">
        <v>6816</v>
      </c>
      <c r="C1732" s="1" t="s">
        <v>6817</v>
      </c>
      <c r="D1732" t="s">
        <v>11</v>
      </c>
      <c r="E1732">
        <v>1</v>
      </c>
      <c r="F1732">
        <v>3</v>
      </c>
      <c r="G1732">
        <v>41</v>
      </c>
      <c r="H1732" s="2">
        <v>44256.851817129631</v>
      </c>
    </row>
    <row r="1733" spans="1:8" ht="14.25" customHeight="1" x14ac:dyDescent="0.3">
      <c r="A1733">
        <v>1341115</v>
      </c>
      <c r="B1733" t="s">
        <v>6818</v>
      </c>
      <c r="C1733" t="s">
        <v>6819</v>
      </c>
      <c r="D1733" t="s">
        <v>11</v>
      </c>
      <c r="E1733">
        <v>1</v>
      </c>
      <c r="F1733">
        <v>1</v>
      </c>
      <c r="G1733">
        <v>43</v>
      </c>
      <c r="H1733" s="2">
        <v>44256.852187500001</v>
      </c>
    </row>
    <row r="1734" spans="1:8" ht="14.25" customHeight="1" x14ac:dyDescent="0.3">
      <c r="A1734">
        <v>1341244</v>
      </c>
      <c r="B1734" t="s">
        <v>6820</v>
      </c>
      <c r="C1734" s="1" t="s">
        <v>6821</v>
      </c>
      <c r="D1734" t="s">
        <v>11</v>
      </c>
      <c r="E1734">
        <v>1</v>
      </c>
      <c r="F1734">
        <v>1</v>
      </c>
      <c r="G1734">
        <v>41</v>
      </c>
      <c r="H1734" s="2">
        <v>44256.852800925924</v>
      </c>
    </row>
    <row r="1735" spans="1:8" ht="14.25" customHeight="1" x14ac:dyDescent="0.3">
      <c r="A1735">
        <v>1340967</v>
      </c>
      <c r="B1735" t="s">
        <v>6822</v>
      </c>
      <c r="C1735" s="1" t="s">
        <v>6823</v>
      </c>
      <c r="D1735" t="s">
        <v>11</v>
      </c>
      <c r="E1735">
        <v>1</v>
      </c>
      <c r="F1735">
        <v>1</v>
      </c>
      <c r="G1735">
        <v>41</v>
      </c>
      <c r="H1735" s="2">
        <v>44256.853206018517</v>
      </c>
    </row>
    <row r="1736" spans="1:8" ht="14.25" customHeight="1" x14ac:dyDescent="0.3">
      <c r="A1736">
        <v>1340976</v>
      </c>
      <c r="B1736" t="s">
        <v>6824</v>
      </c>
      <c r="C1736" s="1" t="s">
        <v>6825</v>
      </c>
      <c r="D1736" t="s">
        <v>11</v>
      </c>
      <c r="E1736">
        <v>1</v>
      </c>
      <c r="F1736">
        <v>1</v>
      </c>
      <c r="G1736">
        <v>43</v>
      </c>
      <c r="H1736" s="2">
        <v>44256.853414351855</v>
      </c>
    </row>
    <row r="1737" spans="1:8" ht="14.25" customHeight="1" x14ac:dyDescent="0.3">
      <c r="A1737">
        <v>1341242</v>
      </c>
      <c r="B1737" t="s">
        <v>6826</v>
      </c>
      <c r="C1737" t="s">
        <v>6827</v>
      </c>
      <c r="D1737" t="s">
        <v>11</v>
      </c>
      <c r="E1737">
        <v>1</v>
      </c>
      <c r="F1737">
        <v>1</v>
      </c>
      <c r="G1737">
        <v>43</v>
      </c>
      <c r="H1737" s="2">
        <v>44256.858020833337</v>
      </c>
    </row>
    <row r="1738" spans="1:8" ht="14.25" customHeight="1" x14ac:dyDescent="0.3">
      <c r="A1738">
        <v>1340986</v>
      </c>
      <c r="B1738" t="s">
        <v>6828</v>
      </c>
      <c r="C1738" s="1" t="s">
        <v>6829</v>
      </c>
      <c r="D1738" t="s">
        <v>11</v>
      </c>
      <c r="E1738">
        <v>1</v>
      </c>
      <c r="F1738">
        <v>3</v>
      </c>
      <c r="G1738">
        <v>41</v>
      </c>
      <c r="H1738" s="2">
        <v>44256.858136574076</v>
      </c>
    </row>
    <row r="1739" spans="1:8" ht="14.25" customHeight="1" x14ac:dyDescent="0.3">
      <c r="A1739">
        <v>1340977</v>
      </c>
      <c r="B1739" t="s">
        <v>6830</v>
      </c>
      <c r="C1739" s="1" t="s">
        <v>6831</v>
      </c>
      <c r="D1739" t="s">
        <v>11</v>
      </c>
      <c r="E1739">
        <v>1</v>
      </c>
      <c r="F1739">
        <v>1</v>
      </c>
      <c r="G1739">
        <v>43</v>
      </c>
      <c r="H1739" s="2">
        <v>44256.858217592591</v>
      </c>
    </row>
    <row r="1740" spans="1:8" ht="14.25" customHeight="1" x14ac:dyDescent="0.3">
      <c r="A1740">
        <v>1341016</v>
      </c>
      <c r="B1740" t="e">
        <f>- lenovo tiny</f>
        <v>#NAME?</v>
      </c>
      <c r="C1740" s="1" t="s">
        <v>6832</v>
      </c>
      <c r="D1740" t="s">
        <v>11</v>
      </c>
      <c r="E1740">
        <v>1</v>
      </c>
      <c r="F1740">
        <v>1</v>
      </c>
      <c r="G1740">
        <v>36</v>
      </c>
      <c r="H1740" s="2">
        <v>44256.858310185184</v>
      </c>
    </row>
    <row r="1741" spans="1:8" ht="14.25" customHeight="1" x14ac:dyDescent="0.3">
      <c r="A1741">
        <v>1341148</v>
      </c>
      <c r="B1741" t="s">
        <v>4555</v>
      </c>
      <c r="C1741" s="1" t="s">
        <v>6833</v>
      </c>
      <c r="D1741" t="s">
        <v>11</v>
      </c>
      <c r="E1741">
        <v>1</v>
      </c>
      <c r="F1741">
        <v>1</v>
      </c>
      <c r="G1741">
        <v>41</v>
      </c>
      <c r="H1741" s="2">
        <v>44256.858368055553</v>
      </c>
    </row>
    <row r="1742" spans="1:8" ht="14.25" customHeight="1" x14ac:dyDescent="0.3">
      <c r="A1742">
        <v>1340876</v>
      </c>
      <c r="B1742" t="e">
        <f>- softphone will not register</f>
        <v>#NAME?</v>
      </c>
      <c r="C1742" s="1" t="s">
        <v>6834</v>
      </c>
      <c r="D1742" t="s">
        <v>24</v>
      </c>
      <c r="E1742">
        <v>1</v>
      </c>
      <c r="F1742">
        <v>2</v>
      </c>
      <c r="G1742">
        <v>41</v>
      </c>
      <c r="H1742" s="2">
        <v>44256.858437499999</v>
      </c>
    </row>
    <row r="1743" spans="1:8" ht="14.25" customHeight="1" x14ac:dyDescent="0.3">
      <c r="A1743">
        <v>1340702</v>
      </c>
      <c r="B1743" t="s">
        <v>4683</v>
      </c>
      <c r="C1743" t="s">
        <v>4684</v>
      </c>
      <c r="D1743" t="s">
        <v>1158</v>
      </c>
      <c r="E1743">
        <v>1</v>
      </c>
      <c r="F1743">
        <v>1</v>
      </c>
      <c r="G1743">
        <v>36</v>
      </c>
      <c r="H1743" s="2">
        <v>44256.858530092592</v>
      </c>
    </row>
    <row r="1744" spans="1:8" ht="14.25" customHeight="1" x14ac:dyDescent="0.3">
      <c r="A1744">
        <v>1340705</v>
      </c>
      <c r="B1744" t="s">
        <v>4831</v>
      </c>
      <c r="C1744" t="s">
        <v>4832</v>
      </c>
      <c r="D1744" t="s">
        <v>1158</v>
      </c>
      <c r="E1744">
        <v>1</v>
      </c>
      <c r="F1744">
        <v>1</v>
      </c>
      <c r="G1744">
        <v>36</v>
      </c>
      <c r="H1744" s="2">
        <v>44256.858715277776</v>
      </c>
    </row>
    <row r="1745" spans="1:8" ht="14.25" customHeight="1" x14ac:dyDescent="0.3">
      <c r="A1745">
        <v>1341175</v>
      </c>
      <c r="B1745" t="s">
        <v>6835</v>
      </c>
      <c r="C1745" s="1" t="s">
        <v>6836</v>
      </c>
      <c r="D1745" t="s">
        <v>11</v>
      </c>
      <c r="E1745">
        <v>1</v>
      </c>
      <c r="F1745">
        <v>3</v>
      </c>
      <c r="G1745">
        <v>41</v>
      </c>
      <c r="H1745" s="2">
        <v>44256.858819444446</v>
      </c>
    </row>
    <row r="1746" spans="1:8" ht="14.25" customHeight="1" x14ac:dyDescent="0.3">
      <c r="A1746">
        <v>1340187</v>
      </c>
      <c r="B1746" t="s">
        <v>6837</v>
      </c>
      <c r="C1746" t="s">
        <v>4832</v>
      </c>
      <c r="D1746" t="s">
        <v>1158</v>
      </c>
      <c r="E1746">
        <v>1</v>
      </c>
      <c r="F1746">
        <v>1</v>
      </c>
      <c r="G1746">
        <v>36</v>
      </c>
      <c r="H1746" s="2">
        <v>44256.859212962961</v>
      </c>
    </row>
    <row r="1747" spans="1:8" ht="14.25" customHeight="1" x14ac:dyDescent="0.3">
      <c r="A1747">
        <v>1340185</v>
      </c>
      <c r="B1747" t="s">
        <v>4856</v>
      </c>
      <c r="C1747" t="s">
        <v>4857</v>
      </c>
      <c r="D1747" t="s">
        <v>1158</v>
      </c>
      <c r="E1747">
        <v>1</v>
      </c>
      <c r="F1747">
        <v>1</v>
      </c>
      <c r="G1747">
        <v>36</v>
      </c>
      <c r="H1747" s="2">
        <v>44256.859270833331</v>
      </c>
    </row>
    <row r="1748" spans="1:8" ht="14.25" customHeight="1" x14ac:dyDescent="0.3">
      <c r="A1748">
        <v>1341154</v>
      </c>
      <c r="B1748" t="s">
        <v>6838</v>
      </c>
      <c r="C1748" s="1" t="s">
        <v>6839</v>
      </c>
      <c r="D1748" t="s">
        <v>11</v>
      </c>
      <c r="E1748">
        <v>1</v>
      </c>
      <c r="F1748">
        <v>2</v>
      </c>
      <c r="G1748">
        <v>41</v>
      </c>
      <c r="H1748" s="2">
        <v>44256.859652777777</v>
      </c>
    </row>
    <row r="1749" spans="1:8" ht="14.25" customHeight="1" x14ac:dyDescent="0.3">
      <c r="A1749">
        <v>1340704</v>
      </c>
      <c r="B1749" t="s">
        <v>6840</v>
      </c>
      <c r="C1749" t="s">
        <v>4857</v>
      </c>
      <c r="D1749" t="s">
        <v>1158</v>
      </c>
      <c r="E1749">
        <v>1</v>
      </c>
      <c r="F1749">
        <v>1</v>
      </c>
      <c r="G1749">
        <v>36</v>
      </c>
      <c r="H1749" s="2">
        <v>44256.859918981485</v>
      </c>
    </row>
    <row r="1750" spans="1:8" ht="14.25" customHeight="1" x14ac:dyDescent="0.3">
      <c r="A1750">
        <v>1340178</v>
      </c>
      <c r="B1750" t="s">
        <v>4856</v>
      </c>
      <c r="C1750" t="s">
        <v>4857</v>
      </c>
      <c r="D1750" t="s">
        <v>1158</v>
      </c>
      <c r="E1750">
        <v>1</v>
      </c>
      <c r="F1750">
        <v>1</v>
      </c>
      <c r="G1750">
        <v>36</v>
      </c>
      <c r="H1750" s="2">
        <v>44256.86010416667</v>
      </c>
    </row>
    <row r="1751" spans="1:8" ht="14.25" customHeight="1" x14ac:dyDescent="0.3">
      <c r="A1751">
        <v>1340863</v>
      </c>
      <c r="B1751" t="e">
        <f>- remove emails from my outlook</f>
        <v>#NAME?</v>
      </c>
      <c r="C1751" s="1" t="s">
        <v>6841</v>
      </c>
      <c r="D1751" t="s">
        <v>24</v>
      </c>
      <c r="E1751">
        <v>1</v>
      </c>
      <c r="F1751">
        <v>1</v>
      </c>
      <c r="G1751">
        <v>43</v>
      </c>
      <c r="H1751" s="2">
        <v>44256.860208333332</v>
      </c>
    </row>
    <row r="1752" spans="1:8" ht="14.25" customHeight="1" x14ac:dyDescent="0.3">
      <c r="A1752">
        <v>1340176</v>
      </c>
      <c r="B1752" t="s">
        <v>4856</v>
      </c>
      <c r="C1752" t="s">
        <v>4857</v>
      </c>
      <c r="D1752" t="s">
        <v>1158</v>
      </c>
      <c r="E1752">
        <v>1</v>
      </c>
      <c r="F1752">
        <v>1</v>
      </c>
      <c r="G1752">
        <v>36</v>
      </c>
      <c r="H1752" s="2">
        <v>44256.860266203701</v>
      </c>
    </row>
    <row r="1753" spans="1:8" ht="14.25" customHeight="1" x14ac:dyDescent="0.3">
      <c r="A1753">
        <v>1340174</v>
      </c>
      <c r="B1753" t="s">
        <v>4856</v>
      </c>
      <c r="C1753" t="s">
        <v>4857</v>
      </c>
      <c r="D1753" t="s">
        <v>1158</v>
      </c>
      <c r="E1753">
        <v>1</v>
      </c>
      <c r="F1753">
        <v>1</v>
      </c>
      <c r="G1753">
        <v>36</v>
      </c>
      <c r="H1753" s="2">
        <v>44256.860358796293</v>
      </c>
    </row>
    <row r="1754" spans="1:8" ht="14.25" customHeight="1" x14ac:dyDescent="0.3">
      <c r="A1754">
        <v>1340186</v>
      </c>
      <c r="B1754" t="s">
        <v>4856</v>
      </c>
      <c r="C1754" t="s">
        <v>4857</v>
      </c>
      <c r="D1754" t="s">
        <v>1158</v>
      </c>
      <c r="E1754">
        <v>1</v>
      </c>
      <c r="F1754">
        <v>1</v>
      </c>
      <c r="G1754">
        <v>36</v>
      </c>
      <c r="H1754" s="2">
        <v>44256.86041666667</v>
      </c>
    </row>
    <row r="1755" spans="1:8" ht="14.25" customHeight="1" x14ac:dyDescent="0.3">
      <c r="A1755">
        <v>1340183</v>
      </c>
      <c r="B1755" t="s">
        <v>4856</v>
      </c>
      <c r="C1755" t="s">
        <v>4857</v>
      </c>
      <c r="D1755" t="s">
        <v>1158</v>
      </c>
      <c r="E1755">
        <v>1</v>
      </c>
      <c r="F1755">
        <v>1</v>
      </c>
      <c r="G1755">
        <v>36</v>
      </c>
      <c r="H1755" s="2">
        <v>44256.860486111109</v>
      </c>
    </row>
    <row r="1756" spans="1:8" ht="14.25" customHeight="1" x14ac:dyDescent="0.3">
      <c r="A1756">
        <v>1340177</v>
      </c>
      <c r="B1756" t="s">
        <v>4856</v>
      </c>
      <c r="C1756" t="s">
        <v>4857</v>
      </c>
      <c r="D1756" t="s">
        <v>1158</v>
      </c>
      <c r="E1756">
        <v>1</v>
      </c>
      <c r="F1756">
        <v>1</v>
      </c>
      <c r="G1756">
        <v>36</v>
      </c>
      <c r="H1756" s="2">
        <v>44256.860543981478</v>
      </c>
    </row>
    <row r="1757" spans="1:8" ht="14.25" customHeight="1" x14ac:dyDescent="0.3">
      <c r="A1757">
        <v>1341017</v>
      </c>
      <c r="B1757" t="e">
        <f>- working remotely, abroad</f>
        <v>#NAME?</v>
      </c>
      <c r="C1757" s="1" t="s">
        <v>6842</v>
      </c>
      <c r="D1757" t="s">
        <v>11</v>
      </c>
      <c r="E1757">
        <v>1</v>
      </c>
      <c r="F1757">
        <v>2</v>
      </c>
      <c r="G1757">
        <v>43</v>
      </c>
      <c r="H1757" s="2">
        <v>44256.869085648148</v>
      </c>
    </row>
    <row r="1758" spans="1:8" ht="14.25" customHeight="1" x14ac:dyDescent="0.3">
      <c r="A1758">
        <v>1340172</v>
      </c>
      <c r="B1758" t="s">
        <v>4856</v>
      </c>
      <c r="C1758" t="s">
        <v>4857</v>
      </c>
      <c r="D1758" t="s">
        <v>1158</v>
      </c>
      <c r="E1758">
        <v>1</v>
      </c>
      <c r="F1758">
        <v>1</v>
      </c>
      <c r="G1758">
        <v>36</v>
      </c>
      <c r="H1758" s="2">
        <v>44256.869328703702</v>
      </c>
    </row>
    <row r="1759" spans="1:8" ht="14.25" customHeight="1" x14ac:dyDescent="0.3">
      <c r="A1759">
        <v>1340173</v>
      </c>
      <c r="B1759" t="s">
        <v>4856</v>
      </c>
      <c r="C1759" t="s">
        <v>4857</v>
      </c>
      <c r="D1759" t="s">
        <v>1158</v>
      </c>
      <c r="E1759">
        <v>1</v>
      </c>
      <c r="F1759">
        <v>1</v>
      </c>
      <c r="G1759">
        <v>36</v>
      </c>
      <c r="H1759" s="2">
        <v>44256.869513888887</v>
      </c>
    </row>
    <row r="1760" spans="1:8" ht="14.25" customHeight="1" x14ac:dyDescent="0.3">
      <c r="A1760">
        <v>1340703</v>
      </c>
      <c r="B1760" t="s">
        <v>4690</v>
      </c>
      <c r="C1760" t="s">
        <v>4691</v>
      </c>
      <c r="D1760" t="s">
        <v>1158</v>
      </c>
      <c r="E1760">
        <v>1</v>
      </c>
      <c r="F1760">
        <v>1</v>
      </c>
      <c r="G1760">
        <v>36</v>
      </c>
      <c r="H1760" s="2">
        <v>44256.871157407404</v>
      </c>
    </row>
    <row r="1761" spans="1:8" ht="14.25" customHeight="1" x14ac:dyDescent="0.3">
      <c r="A1761">
        <v>1340860</v>
      </c>
      <c r="B1761" t="e">
        <f>- uninstall flash</f>
        <v>#NAME?</v>
      </c>
      <c r="C1761" s="1" t="s">
        <v>6843</v>
      </c>
      <c r="D1761" t="s">
        <v>24</v>
      </c>
      <c r="E1761">
        <v>1</v>
      </c>
      <c r="F1761">
        <v>1</v>
      </c>
      <c r="G1761">
        <v>43</v>
      </c>
      <c r="H1761" s="2">
        <v>44256.87122685185</v>
      </c>
    </row>
    <row r="1762" spans="1:8" ht="14.25" customHeight="1" x14ac:dyDescent="0.3">
      <c r="A1762">
        <v>1340410</v>
      </c>
      <c r="B1762" t="s">
        <v>6844</v>
      </c>
      <c r="C1762" s="1" t="s">
        <v>6845</v>
      </c>
      <c r="D1762" t="s">
        <v>11</v>
      </c>
      <c r="E1762">
        <v>1</v>
      </c>
      <c r="F1762">
        <v>1</v>
      </c>
      <c r="G1762">
        <v>41</v>
      </c>
      <c r="H1762" s="2">
        <v>44256.871331018519</v>
      </c>
    </row>
    <row r="1763" spans="1:8" ht="14.25" customHeight="1" x14ac:dyDescent="0.3">
      <c r="A1763">
        <v>1340168</v>
      </c>
      <c r="B1763" t="s">
        <v>4856</v>
      </c>
      <c r="C1763" t="s">
        <v>4857</v>
      </c>
      <c r="D1763" t="s">
        <v>1158</v>
      </c>
      <c r="E1763">
        <v>1</v>
      </c>
      <c r="F1763">
        <v>1</v>
      </c>
      <c r="G1763">
        <v>36</v>
      </c>
      <c r="H1763" s="2">
        <v>44256.87228009259</v>
      </c>
    </row>
    <row r="1764" spans="1:8" ht="14.25" customHeight="1" x14ac:dyDescent="0.3">
      <c r="A1764">
        <v>1340161</v>
      </c>
      <c r="B1764" t="s">
        <v>4683</v>
      </c>
      <c r="C1764" t="s">
        <v>4684</v>
      </c>
      <c r="D1764" t="s">
        <v>1158</v>
      </c>
      <c r="E1764">
        <v>1</v>
      </c>
      <c r="F1764">
        <v>1</v>
      </c>
      <c r="G1764">
        <v>36</v>
      </c>
      <c r="H1764" s="2">
        <v>44256.872349537036</v>
      </c>
    </row>
    <row r="1765" spans="1:8" ht="14.25" customHeight="1" x14ac:dyDescent="0.3">
      <c r="A1765">
        <v>1340162</v>
      </c>
      <c r="B1765" t="s">
        <v>4683</v>
      </c>
      <c r="C1765" t="s">
        <v>4684</v>
      </c>
      <c r="D1765" t="s">
        <v>1158</v>
      </c>
      <c r="E1765">
        <v>1</v>
      </c>
      <c r="F1765">
        <v>1</v>
      </c>
      <c r="G1765">
        <v>36</v>
      </c>
      <c r="H1765" s="2">
        <v>44256.872476851851</v>
      </c>
    </row>
    <row r="1766" spans="1:8" ht="14.25" customHeight="1" x14ac:dyDescent="0.3">
      <c r="A1766">
        <v>1342065</v>
      </c>
      <c r="B1766" t="e">
        <f>- docking station</f>
        <v>#NAME?</v>
      </c>
      <c r="C1766" s="1" t="s">
        <v>6846</v>
      </c>
      <c r="D1766" t="s">
        <v>24</v>
      </c>
      <c r="E1766">
        <v>1</v>
      </c>
      <c r="F1766">
        <v>2</v>
      </c>
      <c r="G1766">
        <v>41</v>
      </c>
      <c r="H1766" s="2">
        <v>44256.873124999998</v>
      </c>
    </row>
    <row r="1767" spans="1:8" ht="14.25" customHeight="1" x14ac:dyDescent="0.3">
      <c r="A1767">
        <v>1340167</v>
      </c>
      <c r="B1767" t="s">
        <v>4856</v>
      </c>
      <c r="C1767" t="s">
        <v>4857</v>
      </c>
      <c r="D1767" t="s">
        <v>1158</v>
      </c>
      <c r="E1767">
        <v>1</v>
      </c>
      <c r="F1767">
        <v>1</v>
      </c>
      <c r="G1767">
        <v>36</v>
      </c>
      <c r="H1767" s="2">
        <v>44256.873171296298</v>
      </c>
    </row>
    <row r="1768" spans="1:8" ht="14.25" customHeight="1" x14ac:dyDescent="0.3">
      <c r="A1768">
        <v>1340170</v>
      </c>
      <c r="B1768" t="s">
        <v>4856</v>
      </c>
      <c r="C1768" t="s">
        <v>4857</v>
      </c>
      <c r="D1768" t="s">
        <v>1158</v>
      </c>
      <c r="E1768">
        <v>1</v>
      </c>
      <c r="F1768">
        <v>1</v>
      </c>
      <c r="G1768">
        <v>36</v>
      </c>
      <c r="H1768" s="2">
        <v>44256.873252314814</v>
      </c>
    </row>
    <row r="1769" spans="1:8" ht="14.25" customHeight="1" x14ac:dyDescent="0.3">
      <c r="A1769">
        <v>1339713</v>
      </c>
      <c r="B1769" t="s">
        <v>4831</v>
      </c>
      <c r="C1769" t="s">
        <v>4832</v>
      </c>
      <c r="D1769" t="s">
        <v>1158</v>
      </c>
      <c r="E1769">
        <v>1</v>
      </c>
      <c r="F1769">
        <v>1</v>
      </c>
      <c r="G1769">
        <v>36</v>
      </c>
      <c r="H1769" s="2">
        <v>44256.873298611114</v>
      </c>
    </row>
    <row r="1770" spans="1:8" ht="14.25" customHeight="1" x14ac:dyDescent="0.3">
      <c r="A1770">
        <v>1340169</v>
      </c>
      <c r="B1770" t="s">
        <v>4856</v>
      </c>
      <c r="C1770" t="s">
        <v>4857</v>
      </c>
      <c r="D1770" t="s">
        <v>1158</v>
      </c>
      <c r="E1770">
        <v>1</v>
      </c>
      <c r="F1770">
        <v>1</v>
      </c>
      <c r="G1770">
        <v>36</v>
      </c>
      <c r="H1770" s="2">
        <v>44256.874143518522</v>
      </c>
    </row>
    <row r="1771" spans="1:8" ht="14.25" customHeight="1" x14ac:dyDescent="0.3">
      <c r="A1771">
        <v>1340165</v>
      </c>
      <c r="B1771" t="s">
        <v>4856</v>
      </c>
      <c r="C1771" t="s">
        <v>4857</v>
      </c>
      <c r="D1771" t="s">
        <v>1158</v>
      </c>
      <c r="E1771">
        <v>1</v>
      </c>
      <c r="F1771">
        <v>1</v>
      </c>
      <c r="G1771">
        <v>36</v>
      </c>
      <c r="H1771" s="2">
        <v>44256.874201388891</v>
      </c>
    </row>
    <row r="1772" spans="1:8" ht="14.25" customHeight="1" x14ac:dyDescent="0.3">
      <c r="A1772">
        <v>1340179</v>
      </c>
      <c r="B1772" t="s">
        <v>4856</v>
      </c>
      <c r="C1772" t="s">
        <v>4857</v>
      </c>
      <c r="D1772" t="s">
        <v>1158</v>
      </c>
      <c r="E1772">
        <v>1</v>
      </c>
      <c r="F1772">
        <v>1</v>
      </c>
      <c r="G1772">
        <v>36</v>
      </c>
      <c r="H1772" s="2">
        <v>44256.874259259261</v>
      </c>
    </row>
    <row r="1773" spans="1:8" ht="14.25" customHeight="1" x14ac:dyDescent="0.3">
      <c r="A1773">
        <v>1340182</v>
      </c>
      <c r="B1773" t="s">
        <v>4856</v>
      </c>
      <c r="C1773" t="s">
        <v>4857</v>
      </c>
      <c r="D1773" t="s">
        <v>1158</v>
      </c>
      <c r="E1773">
        <v>1</v>
      </c>
      <c r="F1773">
        <v>1</v>
      </c>
      <c r="G1773">
        <v>36</v>
      </c>
      <c r="H1773" s="2">
        <v>44256.875011574077</v>
      </c>
    </row>
    <row r="1774" spans="1:8" ht="14.25" customHeight="1" x14ac:dyDescent="0.3">
      <c r="A1774">
        <v>1340166</v>
      </c>
      <c r="B1774" t="s">
        <v>4856</v>
      </c>
      <c r="C1774" t="s">
        <v>4857</v>
      </c>
      <c r="D1774" t="s">
        <v>1158</v>
      </c>
      <c r="E1774">
        <v>1</v>
      </c>
      <c r="F1774">
        <v>1</v>
      </c>
      <c r="G1774">
        <v>36</v>
      </c>
      <c r="H1774" s="2">
        <v>44256.875775462962</v>
      </c>
    </row>
    <row r="1775" spans="1:8" ht="14.25" customHeight="1" x14ac:dyDescent="0.3">
      <c r="A1775">
        <v>1340181</v>
      </c>
      <c r="B1775" t="s">
        <v>4856</v>
      </c>
      <c r="C1775" t="s">
        <v>4857</v>
      </c>
      <c r="D1775" t="s">
        <v>1158</v>
      </c>
      <c r="E1775">
        <v>1</v>
      </c>
      <c r="F1775">
        <v>1</v>
      </c>
      <c r="G1775">
        <v>36</v>
      </c>
      <c r="H1775" s="2">
        <v>44256.875879629632</v>
      </c>
    </row>
    <row r="1776" spans="1:8" ht="14.25" customHeight="1" x14ac:dyDescent="0.3">
      <c r="A1776">
        <v>1340171</v>
      </c>
      <c r="B1776" t="s">
        <v>4856</v>
      </c>
      <c r="C1776" t="s">
        <v>4857</v>
      </c>
      <c r="D1776" t="s">
        <v>1158</v>
      </c>
      <c r="E1776">
        <v>1</v>
      </c>
      <c r="F1776">
        <v>1</v>
      </c>
      <c r="G1776">
        <v>36</v>
      </c>
      <c r="H1776" s="2">
        <v>44256.876076388886</v>
      </c>
    </row>
    <row r="1777" spans="1:8" ht="14.25" customHeight="1" x14ac:dyDescent="0.3">
      <c r="A1777">
        <v>1339186</v>
      </c>
      <c r="B1777" t="s">
        <v>4690</v>
      </c>
      <c r="C1777" t="s">
        <v>4691</v>
      </c>
      <c r="D1777" t="s">
        <v>1158</v>
      </c>
      <c r="E1777">
        <v>1</v>
      </c>
      <c r="F1777">
        <v>1</v>
      </c>
      <c r="G1777">
        <v>36</v>
      </c>
      <c r="H1777" s="2">
        <v>44256.876157407409</v>
      </c>
    </row>
    <row r="1778" spans="1:8" ht="14.25" customHeight="1" x14ac:dyDescent="0.3">
      <c r="A1778">
        <v>1340175</v>
      </c>
      <c r="B1778" t="s">
        <v>4856</v>
      </c>
      <c r="C1778" t="s">
        <v>4857</v>
      </c>
      <c r="D1778" t="s">
        <v>1158</v>
      </c>
      <c r="E1778">
        <v>1</v>
      </c>
      <c r="F1778">
        <v>1</v>
      </c>
      <c r="G1778">
        <v>36</v>
      </c>
      <c r="H1778" s="2">
        <v>44256.876574074071</v>
      </c>
    </row>
    <row r="1779" spans="1:8" ht="14.25" customHeight="1" x14ac:dyDescent="0.3">
      <c r="A1779">
        <v>1338678</v>
      </c>
      <c r="B1779" t="s">
        <v>4583</v>
      </c>
      <c r="C1779" s="1" t="s">
        <v>6847</v>
      </c>
      <c r="D1779" t="s">
        <v>11</v>
      </c>
      <c r="E1779">
        <v>1</v>
      </c>
      <c r="F1779">
        <v>1</v>
      </c>
      <c r="G1779">
        <v>43</v>
      </c>
      <c r="H1779" s="2">
        <v>44256.878310185188</v>
      </c>
    </row>
    <row r="1780" spans="1:8" ht="14.25" customHeight="1" x14ac:dyDescent="0.3">
      <c r="A1780">
        <v>1338875</v>
      </c>
      <c r="B1780" t="s">
        <v>4555</v>
      </c>
      <c r="C1780" s="1" t="s">
        <v>6848</v>
      </c>
      <c r="D1780" t="s">
        <v>11</v>
      </c>
      <c r="E1780">
        <v>1</v>
      </c>
      <c r="F1780">
        <v>1</v>
      </c>
      <c r="G1780">
        <v>41</v>
      </c>
      <c r="H1780" s="2">
        <v>44256.878888888888</v>
      </c>
    </row>
    <row r="1781" spans="1:8" ht="14.25" customHeight="1" x14ac:dyDescent="0.3">
      <c r="A1781">
        <v>1338830</v>
      </c>
      <c r="B1781" t="s">
        <v>6849</v>
      </c>
      <c r="C1781" s="1" t="s">
        <v>6850</v>
      </c>
      <c r="D1781" t="s">
        <v>11</v>
      </c>
      <c r="E1781">
        <v>1</v>
      </c>
      <c r="F1781">
        <v>1</v>
      </c>
      <c r="G1781">
        <v>43</v>
      </c>
      <c r="H1781" s="2">
        <v>44256.878958333335</v>
      </c>
    </row>
    <row r="1782" spans="1:8" ht="14.25" customHeight="1" x14ac:dyDescent="0.3">
      <c r="A1782">
        <v>1338892</v>
      </c>
      <c r="B1782" t="s">
        <v>6851</v>
      </c>
      <c r="C1782" s="1" t="s">
        <v>6852</v>
      </c>
      <c r="D1782" t="s">
        <v>11</v>
      </c>
      <c r="E1782">
        <v>1</v>
      </c>
      <c r="F1782">
        <v>1</v>
      </c>
      <c r="G1782">
        <v>43</v>
      </c>
      <c r="H1782" s="2">
        <v>44256.879432870373</v>
      </c>
    </row>
    <row r="1783" spans="1:8" ht="14.25" customHeight="1" x14ac:dyDescent="0.3">
      <c r="A1783">
        <v>1340164</v>
      </c>
      <c r="B1783" t="s">
        <v>4856</v>
      </c>
      <c r="C1783" t="s">
        <v>4857</v>
      </c>
      <c r="D1783" t="s">
        <v>1158</v>
      </c>
      <c r="E1783">
        <v>1</v>
      </c>
      <c r="F1783">
        <v>1</v>
      </c>
      <c r="G1783">
        <v>36</v>
      </c>
      <c r="H1783" s="2">
        <v>44256.879525462966</v>
      </c>
    </row>
    <row r="1784" spans="1:8" ht="14.25" customHeight="1" x14ac:dyDescent="0.3">
      <c r="A1784">
        <v>1340163</v>
      </c>
      <c r="B1784" t="s">
        <v>4690</v>
      </c>
      <c r="C1784" t="s">
        <v>4691</v>
      </c>
      <c r="D1784" t="s">
        <v>1158</v>
      </c>
      <c r="E1784">
        <v>1</v>
      </c>
      <c r="F1784">
        <v>1</v>
      </c>
      <c r="G1784">
        <v>36</v>
      </c>
      <c r="H1784" s="2">
        <v>44256.879571759258</v>
      </c>
    </row>
    <row r="1785" spans="1:8" ht="14.25" customHeight="1" x14ac:dyDescent="0.3">
      <c r="A1785">
        <v>1338581</v>
      </c>
      <c r="B1785" t="s">
        <v>4831</v>
      </c>
      <c r="C1785" t="s">
        <v>4832</v>
      </c>
      <c r="D1785" t="s">
        <v>1158</v>
      </c>
      <c r="E1785">
        <v>1</v>
      </c>
      <c r="F1785">
        <v>1</v>
      </c>
      <c r="G1785">
        <v>36</v>
      </c>
      <c r="H1785" s="2">
        <v>44256.881516203706</v>
      </c>
    </row>
    <row r="1786" spans="1:8" ht="14.25" customHeight="1" x14ac:dyDescent="0.3">
      <c r="A1786">
        <v>1338638</v>
      </c>
      <c r="B1786" t="s">
        <v>4555</v>
      </c>
      <c r="C1786" s="1" t="s">
        <v>6853</v>
      </c>
      <c r="D1786" t="s">
        <v>11</v>
      </c>
      <c r="E1786">
        <v>1</v>
      </c>
      <c r="F1786">
        <v>1</v>
      </c>
      <c r="G1786">
        <v>41</v>
      </c>
      <c r="H1786" s="2">
        <v>44256.882789351854</v>
      </c>
    </row>
    <row r="1787" spans="1:8" ht="14.25" customHeight="1" x14ac:dyDescent="0.3">
      <c r="A1787">
        <v>1338580</v>
      </c>
      <c r="B1787" t="s">
        <v>4831</v>
      </c>
      <c r="C1787" t="s">
        <v>4832</v>
      </c>
      <c r="D1787" t="s">
        <v>1158</v>
      </c>
      <c r="E1787">
        <v>1</v>
      </c>
      <c r="F1787">
        <v>1</v>
      </c>
      <c r="G1787">
        <v>36</v>
      </c>
      <c r="H1787" s="2">
        <v>44256.884236111109</v>
      </c>
    </row>
    <row r="1788" spans="1:8" ht="14.25" customHeight="1" x14ac:dyDescent="0.3">
      <c r="A1788">
        <v>1338312</v>
      </c>
      <c r="B1788" t="s">
        <v>6854</v>
      </c>
      <c r="C1788" s="1" t="s">
        <v>6855</v>
      </c>
      <c r="D1788" t="s">
        <v>11</v>
      </c>
      <c r="E1788">
        <v>1</v>
      </c>
      <c r="F1788">
        <v>1</v>
      </c>
      <c r="G1788">
        <v>43</v>
      </c>
      <c r="H1788" s="2">
        <v>44256.884687500002</v>
      </c>
    </row>
    <row r="1789" spans="1:8" ht="14.25" customHeight="1" x14ac:dyDescent="0.3">
      <c r="A1789">
        <v>1338578</v>
      </c>
      <c r="B1789" t="s">
        <v>4690</v>
      </c>
      <c r="C1789" t="s">
        <v>4691</v>
      </c>
      <c r="D1789" t="s">
        <v>1158</v>
      </c>
      <c r="E1789">
        <v>1</v>
      </c>
      <c r="F1789">
        <v>1</v>
      </c>
      <c r="G1789">
        <v>36</v>
      </c>
      <c r="H1789" s="2">
        <v>44256.886446759258</v>
      </c>
    </row>
    <row r="1790" spans="1:8" ht="14.25" customHeight="1" x14ac:dyDescent="0.3">
      <c r="A1790">
        <v>1338275</v>
      </c>
      <c r="B1790" t="s">
        <v>6856</v>
      </c>
      <c r="C1790" s="1" t="s">
        <v>6857</v>
      </c>
      <c r="D1790" t="s">
        <v>11</v>
      </c>
      <c r="E1790">
        <v>1</v>
      </c>
      <c r="F1790">
        <v>1</v>
      </c>
      <c r="G1790">
        <v>43</v>
      </c>
      <c r="H1790" s="2">
        <v>44256.886516203704</v>
      </c>
    </row>
    <row r="1791" spans="1:8" ht="14.25" customHeight="1" x14ac:dyDescent="0.3">
      <c r="A1791">
        <v>1338296</v>
      </c>
      <c r="B1791" t="s">
        <v>4555</v>
      </c>
      <c r="C1791" s="1" t="s">
        <v>6858</v>
      </c>
      <c r="D1791" t="s">
        <v>11</v>
      </c>
      <c r="E1791">
        <v>1</v>
      </c>
      <c r="F1791">
        <v>1</v>
      </c>
      <c r="G1791">
        <v>41</v>
      </c>
      <c r="H1791" s="2">
        <v>44256.886608796296</v>
      </c>
    </row>
    <row r="1792" spans="1:8" ht="14.25" customHeight="1" x14ac:dyDescent="0.3">
      <c r="A1792">
        <v>1338577</v>
      </c>
      <c r="B1792" t="s">
        <v>6859</v>
      </c>
      <c r="C1792" t="s">
        <v>4691</v>
      </c>
      <c r="D1792" t="s">
        <v>1158</v>
      </c>
      <c r="E1792">
        <v>1</v>
      </c>
      <c r="F1792">
        <v>1</v>
      </c>
      <c r="G1792">
        <v>36</v>
      </c>
      <c r="H1792" s="2">
        <v>44256.886666666665</v>
      </c>
    </row>
    <row r="1793" spans="1:8" ht="14.25" customHeight="1" x14ac:dyDescent="0.3">
      <c r="A1793">
        <v>1341025</v>
      </c>
      <c r="B1793" t="s">
        <v>6860</v>
      </c>
      <c r="C1793" s="1" t="s">
        <v>6861</v>
      </c>
      <c r="D1793" t="s">
        <v>11</v>
      </c>
      <c r="E1793">
        <v>1</v>
      </c>
      <c r="F1793">
        <v>2</v>
      </c>
      <c r="G1793">
        <v>41</v>
      </c>
      <c r="H1793" s="2">
        <v>44256.887002314812</v>
      </c>
    </row>
    <row r="1794" spans="1:8" ht="14.25" customHeight="1" x14ac:dyDescent="0.3">
      <c r="A1794">
        <v>1346576</v>
      </c>
      <c r="B1794" t="s">
        <v>6862</v>
      </c>
      <c r="C1794" s="1" t="s">
        <v>6863</v>
      </c>
      <c r="D1794" t="s">
        <v>24</v>
      </c>
      <c r="E1794">
        <v>1</v>
      </c>
      <c r="F1794">
        <v>1</v>
      </c>
      <c r="G1794">
        <v>41</v>
      </c>
      <c r="H1794" s="2">
        <v>44256.887037037035</v>
      </c>
    </row>
    <row r="1795" spans="1:8" ht="14.25" customHeight="1" x14ac:dyDescent="0.3">
      <c r="A1795">
        <v>1338847</v>
      </c>
      <c r="B1795" t="s">
        <v>6864</v>
      </c>
      <c r="C1795" s="1" t="s">
        <v>6865</v>
      </c>
      <c r="D1795" t="s">
        <v>11</v>
      </c>
      <c r="E1795">
        <v>1</v>
      </c>
      <c r="F1795">
        <v>1</v>
      </c>
      <c r="G1795">
        <v>43</v>
      </c>
      <c r="H1795" s="2">
        <v>44256.887326388889</v>
      </c>
    </row>
    <row r="1796" spans="1:8" ht="14.25" customHeight="1" x14ac:dyDescent="0.3">
      <c r="A1796">
        <v>1340184</v>
      </c>
      <c r="B1796" t="s">
        <v>4856</v>
      </c>
      <c r="C1796" t="s">
        <v>4857</v>
      </c>
      <c r="D1796" t="s">
        <v>1158</v>
      </c>
      <c r="E1796">
        <v>1</v>
      </c>
      <c r="F1796">
        <v>1</v>
      </c>
      <c r="G1796">
        <v>36</v>
      </c>
      <c r="H1796" s="2">
        <v>44256.887384259258</v>
      </c>
    </row>
    <row r="1797" spans="1:8" ht="14.25" customHeight="1" x14ac:dyDescent="0.3">
      <c r="A1797">
        <v>1340180</v>
      </c>
      <c r="B1797" t="s">
        <v>4856</v>
      </c>
      <c r="C1797" t="s">
        <v>4857</v>
      </c>
      <c r="D1797" t="s">
        <v>1158</v>
      </c>
      <c r="E1797">
        <v>1</v>
      </c>
      <c r="F1797">
        <v>1</v>
      </c>
      <c r="G1797">
        <v>36</v>
      </c>
      <c r="H1797" s="2">
        <v>44256.887430555558</v>
      </c>
    </row>
    <row r="1798" spans="1:8" ht="14.25" customHeight="1" x14ac:dyDescent="0.3">
      <c r="A1798">
        <v>1338186</v>
      </c>
      <c r="B1798" t="s">
        <v>6866</v>
      </c>
      <c r="C1798" s="1" t="s">
        <v>6867</v>
      </c>
      <c r="D1798" t="s">
        <v>24</v>
      </c>
      <c r="E1798">
        <v>1</v>
      </c>
      <c r="F1798">
        <v>1</v>
      </c>
      <c r="G1798">
        <v>43</v>
      </c>
      <c r="H1798" s="2">
        <v>44256.887523148151</v>
      </c>
    </row>
    <row r="1799" spans="1:8" ht="14.25" customHeight="1" x14ac:dyDescent="0.3">
      <c r="A1799">
        <v>1338263</v>
      </c>
      <c r="B1799" t="s">
        <v>6868</v>
      </c>
      <c r="C1799" s="1" t="s">
        <v>6869</v>
      </c>
      <c r="D1799" t="s">
        <v>11</v>
      </c>
      <c r="E1799">
        <v>1</v>
      </c>
      <c r="F1799">
        <v>1</v>
      </c>
      <c r="G1799">
        <v>43</v>
      </c>
      <c r="H1799" s="2">
        <v>44256.887673611112</v>
      </c>
    </row>
    <row r="1800" spans="1:8" ht="14.25" customHeight="1" x14ac:dyDescent="0.3">
      <c r="A1800">
        <v>1338185</v>
      </c>
      <c r="B1800" t="s">
        <v>6870</v>
      </c>
      <c r="C1800" s="1" t="s">
        <v>6871</v>
      </c>
      <c r="D1800" t="s">
        <v>11</v>
      </c>
      <c r="E1800">
        <v>1</v>
      </c>
      <c r="F1800">
        <v>1</v>
      </c>
      <c r="G1800">
        <v>43</v>
      </c>
      <c r="H1800" s="2">
        <v>44256.887800925928</v>
      </c>
    </row>
    <row r="1801" spans="1:8" ht="14.25" customHeight="1" x14ac:dyDescent="0.3">
      <c r="A1801">
        <v>1338182</v>
      </c>
      <c r="B1801" t="s">
        <v>6872</v>
      </c>
      <c r="C1801" s="1" t="s">
        <v>6873</v>
      </c>
      <c r="D1801" t="s">
        <v>11</v>
      </c>
      <c r="E1801">
        <v>1</v>
      </c>
      <c r="F1801">
        <v>1</v>
      </c>
      <c r="G1801">
        <v>43</v>
      </c>
      <c r="H1801" s="2">
        <v>44256.887974537036</v>
      </c>
    </row>
    <row r="1802" spans="1:8" ht="14.25" customHeight="1" x14ac:dyDescent="0.3">
      <c r="A1802">
        <v>1346967</v>
      </c>
      <c r="B1802" t="e">
        <f>- webcams</f>
        <v>#NAME?</v>
      </c>
      <c r="C1802" s="1" t="s">
        <v>6874</v>
      </c>
      <c r="D1802" t="s">
        <v>11</v>
      </c>
      <c r="E1802">
        <v>1</v>
      </c>
      <c r="F1802">
        <v>1</v>
      </c>
      <c r="G1802">
        <v>36</v>
      </c>
      <c r="H1802" s="2">
        <v>44256.889155092591</v>
      </c>
    </row>
    <row r="1803" spans="1:8" ht="14.25" customHeight="1" x14ac:dyDescent="0.3">
      <c r="A1803">
        <v>1347032</v>
      </c>
      <c r="B1803" t="e">
        <f>- password not working</f>
        <v>#NAME?</v>
      </c>
      <c r="C1803" s="1" t="s">
        <v>6875</v>
      </c>
      <c r="D1803" t="s">
        <v>11</v>
      </c>
      <c r="E1803">
        <v>1</v>
      </c>
      <c r="F1803">
        <v>1</v>
      </c>
      <c r="G1803">
        <v>41</v>
      </c>
      <c r="H1803" s="2">
        <v>44256.891076388885</v>
      </c>
    </row>
    <row r="1804" spans="1:8" ht="14.25" customHeight="1" x14ac:dyDescent="0.3">
      <c r="A1804">
        <v>1338290</v>
      </c>
      <c r="B1804" t="s">
        <v>6876</v>
      </c>
      <c r="C1804" s="1" t="s">
        <v>6877</v>
      </c>
      <c r="D1804" t="s">
        <v>11</v>
      </c>
      <c r="E1804">
        <v>1</v>
      </c>
      <c r="F1804">
        <v>1</v>
      </c>
      <c r="G1804">
        <v>43</v>
      </c>
      <c r="H1804" s="2">
        <v>44256.895428240743</v>
      </c>
    </row>
    <row r="1805" spans="1:8" ht="14.25" customHeight="1" x14ac:dyDescent="0.3">
      <c r="A1805">
        <v>1338183</v>
      </c>
      <c r="B1805" t="s">
        <v>6878</v>
      </c>
      <c r="C1805" s="1" t="s">
        <v>6879</v>
      </c>
      <c r="D1805" t="s">
        <v>24</v>
      </c>
      <c r="E1805">
        <v>1</v>
      </c>
      <c r="F1805">
        <v>2</v>
      </c>
      <c r="G1805">
        <v>41</v>
      </c>
      <c r="H1805" s="2">
        <v>44256.895555555559</v>
      </c>
    </row>
    <row r="1806" spans="1:8" ht="14.25" customHeight="1" x14ac:dyDescent="0.3">
      <c r="A1806">
        <v>1339189</v>
      </c>
      <c r="B1806" t="s">
        <v>6555</v>
      </c>
      <c r="C1806" t="s">
        <v>6556</v>
      </c>
      <c r="D1806" t="s">
        <v>1158</v>
      </c>
      <c r="E1806">
        <v>1</v>
      </c>
      <c r="F1806">
        <v>1</v>
      </c>
      <c r="G1806">
        <v>36</v>
      </c>
      <c r="H1806" s="2">
        <v>44256.895636574074</v>
      </c>
    </row>
    <row r="1807" spans="1:8" ht="14.25" customHeight="1" x14ac:dyDescent="0.3">
      <c r="A1807">
        <v>1338249</v>
      </c>
      <c r="B1807" t="s">
        <v>6880</v>
      </c>
      <c r="C1807" s="1" t="s">
        <v>6881</v>
      </c>
      <c r="D1807" t="s">
        <v>11</v>
      </c>
      <c r="E1807">
        <v>1</v>
      </c>
      <c r="F1807">
        <v>1</v>
      </c>
      <c r="G1807">
        <v>43</v>
      </c>
      <c r="H1807" s="2">
        <v>44256.896817129629</v>
      </c>
    </row>
    <row r="1808" spans="1:8" ht="14.25" customHeight="1" x14ac:dyDescent="0.3">
      <c r="A1808">
        <v>1338247</v>
      </c>
      <c r="B1808" t="s">
        <v>6882</v>
      </c>
      <c r="C1808" s="1" t="s">
        <v>6883</v>
      </c>
      <c r="D1808" t="s">
        <v>11</v>
      </c>
      <c r="E1808">
        <v>1</v>
      </c>
      <c r="F1808">
        <v>1</v>
      </c>
      <c r="G1808">
        <v>43</v>
      </c>
      <c r="H1808" s="2">
        <v>44256.896886574075</v>
      </c>
    </row>
    <row r="1809" spans="1:8" ht="14.25" customHeight="1" x14ac:dyDescent="0.3">
      <c r="A1809">
        <v>1337652</v>
      </c>
      <c r="B1809" t="s">
        <v>6884</v>
      </c>
      <c r="C1809" s="1" t="s">
        <v>6885</v>
      </c>
      <c r="D1809" t="s">
        <v>11</v>
      </c>
      <c r="E1809">
        <v>1</v>
      </c>
      <c r="F1809">
        <v>1</v>
      </c>
      <c r="G1809">
        <v>43</v>
      </c>
      <c r="H1809" s="2">
        <v>44256.897037037037</v>
      </c>
    </row>
    <row r="1810" spans="1:8" ht="14.25" customHeight="1" x14ac:dyDescent="0.3">
      <c r="A1810">
        <v>1337683</v>
      </c>
      <c r="B1810" t="s">
        <v>6886</v>
      </c>
      <c r="C1810" t="s">
        <v>6887</v>
      </c>
      <c r="D1810" t="s">
        <v>11</v>
      </c>
      <c r="E1810">
        <v>1</v>
      </c>
      <c r="F1810">
        <v>1</v>
      </c>
      <c r="G1810">
        <v>41</v>
      </c>
      <c r="H1810" s="2">
        <v>44256.897222222222</v>
      </c>
    </row>
    <row r="1811" spans="1:8" ht="14.25" customHeight="1" x14ac:dyDescent="0.3">
      <c r="A1811">
        <v>1337662</v>
      </c>
      <c r="B1811" t="s">
        <v>3237</v>
      </c>
      <c r="C1811" s="1" t="s">
        <v>6888</v>
      </c>
      <c r="D1811" t="s">
        <v>11</v>
      </c>
      <c r="E1811">
        <v>1</v>
      </c>
      <c r="F1811">
        <v>1</v>
      </c>
      <c r="G1811">
        <v>43</v>
      </c>
      <c r="H1811" s="2">
        <v>44256.898275462961</v>
      </c>
    </row>
    <row r="1812" spans="1:8" ht="14.25" customHeight="1" x14ac:dyDescent="0.3">
      <c r="A1812">
        <v>1338268</v>
      </c>
      <c r="B1812" t="e">
        <f>- install microsoft office on my laptop</f>
        <v>#NAME?</v>
      </c>
      <c r="C1812" s="1" t="s">
        <v>6889</v>
      </c>
      <c r="D1812" t="s">
        <v>24</v>
      </c>
      <c r="E1812">
        <v>1</v>
      </c>
      <c r="F1812">
        <v>1</v>
      </c>
      <c r="G1812">
        <v>43</v>
      </c>
      <c r="H1812" s="2">
        <v>44256.898356481484</v>
      </c>
    </row>
    <row r="1813" spans="1:8" ht="14.25" customHeight="1" x14ac:dyDescent="0.3">
      <c r="A1813">
        <v>1338640</v>
      </c>
      <c r="B1813" t="s">
        <v>6890</v>
      </c>
      <c r="C1813" s="1" t="s">
        <v>6891</v>
      </c>
      <c r="D1813" t="s">
        <v>11</v>
      </c>
      <c r="E1813">
        <v>1</v>
      </c>
      <c r="F1813">
        <v>1</v>
      </c>
      <c r="G1813">
        <v>41</v>
      </c>
      <c r="H1813" s="2">
        <v>44256.898993055554</v>
      </c>
    </row>
    <row r="1814" spans="1:8" ht="14.25" customHeight="1" x14ac:dyDescent="0.3">
      <c r="A1814">
        <v>1339188</v>
      </c>
      <c r="B1814" t="s">
        <v>6892</v>
      </c>
      <c r="C1814" t="s">
        <v>6556</v>
      </c>
      <c r="D1814" t="s">
        <v>1158</v>
      </c>
      <c r="E1814">
        <v>1</v>
      </c>
      <c r="F1814">
        <v>1</v>
      </c>
      <c r="G1814">
        <v>36</v>
      </c>
      <c r="H1814" s="2">
        <v>44256.899247685185</v>
      </c>
    </row>
    <row r="1815" spans="1:8" ht="14.25" customHeight="1" x14ac:dyDescent="0.3">
      <c r="A1815">
        <v>1337987</v>
      </c>
      <c r="B1815" t="s">
        <v>6893</v>
      </c>
      <c r="C1815" t="s">
        <v>4857</v>
      </c>
      <c r="D1815" t="s">
        <v>1158</v>
      </c>
      <c r="E1815">
        <v>1</v>
      </c>
      <c r="F1815">
        <v>1</v>
      </c>
      <c r="G1815">
        <v>36</v>
      </c>
      <c r="H1815" s="2">
        <v>44256.899305555555</v>
      </c>
    </row>
    <row r="1816" spans="1:8" ht="14.25" customHeight="1" x14ac:dyDescent="0.3">
      <c r="A1816">
        <v>1338579</v>
      </c>
      <c r="B1816" t="s">
        <v>6894</v>
      </c>
      <c r="C1816" t="s">
        <v>4857</v>
      </c>
      <c r="D1816" t="s">
        <v>1158</v>
      </c>
      <c r="E1816">
        <v>1</v>
      </c>
      <c r="F1816">
        <v>1</v>
      </c>
      <c r="G1816">
        <v>36</v>
      </c>
      <c r="H1816" s="2">
        <v>44256.899363425924</v>
      </c>
    </row>
    <row r="1817" spans="1:8" ht="14.25" customHeight="1" x14ac:dyDescent="0.3">
      <c r="A1817">
        <v>1337410</v>
      </c>
      <c r="B1817" t="s">
        <v>4555</v>
      </c>
      <c r="C1817" s="1" t="s">
        <v>6895</v>
      </c>
      <c r="D1817" t="s">
        <v>11</v>
      </c>
      <c r="E1817">
        <v>1</v>
      </c>
      <c r="F1817">
        <v>1</v>
      </c>
      <c r="G1817">
        <v>41</v>
      </c>
      <c r="H1817" s="2">
        <v>44256.899421296293</v>
      </c>
    </row>
    <row r="1818" spans="1:8" ht="14.25" customHeight="1" x14ac:dyDescent="0.3">
      <c r="A1818">
        <v>1338763</v>
      </c>
      <c r="B1818" t="s">
        <v>6896</v>
      </c>
      <c r="C1818" s="1" t="s">
        <v>6897</v>
      </c>
      <c r="D1818" t="s">
        <v>11</v>
      </c>
      <c r="E1818">
        <v>1</v>
      </c>
      <c r="F1818">
        <v>1</v>
      </c>
      <c r="G1818">
        <v>43</v>
      </c>
      <c r="H1818" s="2">
        <v>44256.900578703702</v>
      </c>
    </row>
    <row r="1819" spans="1:8" ht="14.25" customHeight="1" x14ac:dyDescent="0.3">
      <c r="A1819">
        <v>1339185</v>
      </c>
      <c r="B1819" t="s">
        <v>4690</v>
      </c>
      <c r="C1819" t="s">
        <v>4691</v>
      </c>
      <c r="D1819" t="s">
        <v>1158</v>
      </c>
      <c r="E1819">
        <v>1</v>
      </c>
      <c r="F1819">
        <v>1</v>
      </c>
      <c r="G1819">
        <v>36</v>
      </c>
      <c r="H1819" s="2">
        <v>44256.900729166664</v>
      </c>
    </row>
    <row r="1820" spans="1:8" ht="14.25" customHeight="1" x14ac:dyDescent="0.3">
      <c r="A1820">
        <v>1337341</v>
      </c>
      <c r="B1820" t="s">
        <v>4683</v>
      </c>
      <c r="C1820" t="s">
        <v>4684</v>
      </c>
      <c r="D1820" t="s">
        <v>1158</v>
      </c>
      <c r="E1820">
        <v>1</v>
      </c>
      <c r="F1820">
        <v>1</v>
      </c>
      <c r="G1820">
        <v>36</v>
      </c>
      <c r="H1820" s="2">
        <v>44256.902303240742</v>
      </c>
    </row>
    <row r="1821" spans="1:8" ht="14.25" customHeight="1" x14ac:dyDescent="0.3">
      <c r="A1821">
        <v>1337343</v>
      </c>
      <c r="B1821" t="s">
        <v>4690</v>
      </c>
      <c r="C1821" t="s">
        <v>4691</v>
      </c>
      <c r="D1821" t="s">
        <v>1158</v>
      </c>
      <c r="E1821">
        <v>1</v>
      </c>
      <c r="F1821">
        <v>1</v>
      </c>
      <c r="G1821">
        <v>36</v>
      </c>
      <c r="H1821" s="2">
        <v>44256.902361111112</v>
      </c>
    </row>
    <row r="1822" spans="1:8" ht="14.25" customHeight="1" x14ac:dyDescent="0.3">
      <c r="A1822">
        <v>1338180</v>
      </c>
      <c r="B1822" t="s">
        <v>6898</v>
      </c>
      <c r="C1822" t="s">
        <v>6899</v>
      </c>
      <c r="D1822" t="s">
        <v>11</v>
      </c>
      <c r="E1822">
        <v>1</v>
      </c>
      <c r="F1822">
        <v>1</v>
      </c>
      <c r="G1822">
        <v>43</v>
      </c>
      <c r="H1822" s="2">
        <v>44256.902418981481</v>
      </c>
    </row>
    <row r="1823" spans="1:8" ht="14.25" customHeight="1" x14ac:dyDescent="0.3">
      <c r="A1823">
        <v>1337398</v>
      </c>
      <c r="B1823" t="s">
        <v>4555</v>
      </c>
      <c r="C1823" s="1" t="s">
        <v>6900</v>
      </c>
      <c r="D1823" t="s">
        <v>11</v>
      </c>
      <c r="E1823">
        <v>1</v>
      </c>
      <c r="F1823">
        <v>1</v>
      </c>
      <c r="G1823">
        <v>41</v>
      </c>
      <c r="H1823" s="2">
        <v>44256.90253472222</v>
      </c>
    </row>
    <row r="1824" spans="1:8" ht="14.25" customHeight="1" x14ac:dyDescent="0.3">
      <c r="A1824">
        <v>1337017</v>
      </c>
      <c r="B1824" t="e">
        <f>- computer technology services going forward</f>
        <v>#NAME?</v>
      </c>
      <c r="C1824" s="1" t="s">
        <v>6901</v>
      </c>
      <c r="D1824" t="s">
        <v>11</v>
      </c>
      <c r="E1824">
        <v>1</v>
      </c>
      <c r="F1824">
        <v>1</v>
      </c>
      <c r="G1824">
        <v>43</v>
      </c>
      <c r="H1824" s="2">
        <v>44256.903865740744</v>
      </c>
    </row>
    <row r="1825" spans="1:8" ht="14.25" customHeight="1" x14ac:dyDescent="0.3">
      <c r="A1825">
        <v>1337035</v>
      </c>
      <c r="B1825" t="s">
        <v>6902</v>
      </c>
      <c r="C1825" s="1" t="s">
        <v>6903</v>
      </c>
      <c r="D1825" t="s">
        <v>11</v>
      </c>
      <c r="E1825">
        <v>1</v>
      </c>
      <c r="F1825">
        <v>1</v>
      </c>
      <c r="G1825">
        <v>41</v>
      </c>
      <c r="H1825" s="2">
        <v>44256.903969907406</v>
      </c>
    </row>
    <row r="1826" spans="1:8" ht="14.25" customHeight="1" x14ac:dyDescent="0.3">
      <c r="A1826">
        <v>1337004</v>
      </c>
      <c r="B1826" t="s">
        <v>4555</v>
      </c>
      <c r="C1826" s="1" t="s">
        <v>6904</v>
      </c>
      <c r="D1826" t="s">
        <v>11</v>
      </c>
      <c r="E1826">
        <v>1</v>
      </c>
      <c r="F1826">
        <v>1</v>
      </c>
      <c r="G1826">
        <v>41</v>
      </c>
      <c r="H1826" s="2">
        <v>44256.904768518521</v>
      </c>
    </row>
    <row r="1827" spans="1:8" ht="14.25" customHeight="1" x14ac:dyDescent="0.3">
      <c r="A1827">
        <v>1337340</v>
      </c>
      <c r="B1827" t="s">
        <v>4683</v>
      </c>
      <c r="C1827" t="s">
        <v>4684</v>
      </c>
      <c r="D1827" t="s">
        <v>1158</v>
      </c>
      <c r="E1827">
        <v>1</v>
      </c>
      <c r="F1827">
        <v>1</v>
      </c>
      <c r="G1827">
        <v>36</v>
      </c>
      <c r="H1827" s="2">
        <v>44256.916018518517</v>
      </c>
    </row>
    <row r="1828" spans="1:8" ht="14.25" customHeight="1" x14ac:dyDescent="0.3">
      <c r="A1828">
        <v>1337342</v>
      </c>
      <c r="B1828" t="s">
        <v>4690</v>
      </c>
      <c r="C1828" t="s">
        <v>4691</v>
      </c>
      <c r="D1828" t="s">
        <v>1158</v>
      </c>
      <c r="E1828">
        <v>1</v>
      </c>
      <c r="F1828">
        <v>1</v>
      </c>
      <c r="G1828">
        <v>36</v>
      </c>
      <c r="H1828" s="2">
        <v>44256.916331018518</v>
      </c>
    </row>
    <row r="1829" spans="1:8" ht="14.25" customHeight="1" x14ac:dyDescent="0.3">
      <c r="A1829">
        <v>1336992</v>
      </c>
      <c r="B1829" t="e">
        <f>- are you able to adjust my email signature and signature within a pdf.</f>
        <v>#NAME?</v>
      </c>
      <c r="C1829" s="1" t="s">
        <v>6905</v>
      </c>
      <c r="D1829" t="s">
        <v>24</v>
      </c>
      <c r="E1829">
        <v>1</v>
      </c>
      <c r="F1829">
        <v>1</v>
      </c>
      <c r="G1829">
        <v>43</v>
      </c>
      <c r="H1829" s="2">
        <v>44256.916539351849</v>
      </c>
    </row>
    <row r="1830" spans="1:8" ht="14.25" customHeight="1" x14ac:dyDescent="0.3">
      <c r="A1830">
        <v>1337002</v>
      </c>
      <c r="B1830" t="s">
        <v>4555</v>
      </c>
      <c r="C1830" s="1" t="s">
        <v>6906</v>
      </c>
      <c r="D1830" t="s">
        <v>11</v>
      </c>
      <c r="E1830">
        <v>1</v>
      </c>
      <c r="F1830">
        <v>1</v>
      </c>
      <c r="G1830">
        <v>41</v>
      </c>
      <c r="H1830" s="2">
        <v>44256.916851851849</v>
      </c>
    </row>
    <row r="1831" spans="1:8" ht="14.25" customHeight="1" x14ac:dyDescent="0.3">
      <c r="A1831">
        <v>1338762</v>
      </c>
      <c r="B1831" t="s">
        <v>6907</v>
      </c>
      <c r="C1831" s="1" t="s">
        <v>6908</v>
      </c>
      <c r="D1831" t="s">
        <v>11</v>
      </c>
      <c r="E1831">
        <v>1</v>
      </c>
      <c r="F1831">
        <v>1</v>
      </c>
      <c r="G1831">
        <v>43</v>
      </c>
      <c r="H1831" s="2">
        <v>44256.918113425927</v>
      </c>
    </row>
    <row r="1832" spans="1:8" ht="14.25" customHeight="1" x14ac:dyDescent="0.3">
      <c r="A1832">
        <v>1337022</v>
      </c>
      <c r="B1832" t="e">
        <f>- external monitor issues</f>
        <v>#NAME?</v>
      </c>
      <c r="C1832" s="1" t="s">
        <v>6909</v>
      </c>
      <c r="D1832" t="s">
        <v>11</v>
      </c>
      <c r="E1832">
        <v>1</v>
      </c>
      <c r="F1832">
        <v>2</v>
      </c>
      <c r="G1832">
        <v>41</v>
      </c>
      <c r="H1832" s="2">
        <v>44256.918553240743</v>
      </c>
    </row>
    <row r="1833" spans="1:8" ht="14.25" customHeight="1" x14ac:dyDescent="0.3">
      <c r="A1833">
        <v>1337657</v>
      </c>
      <c r="B1833" t="s">
        <v>4555</v>
      </c>
      <c r="C1833" s="1" t="s">
        <v>6910</v>
      </c>
      <c r="D1833" t="s">
        <v>11</v>
      </c>
      <c r="E1833">
        <v>1</v>
      </c>
      <c r="F1833">
        <v>1</v>
      </c>
      <c r="G1833">
        <v>41</v>
      </c>
      <c r="H1833" s="2">
        <v>44256.918611111112</v>
      </c>
    </row>
    <row r="1834" spans="1:8" ht="14.25" customHeight="1" x14ac:dyDescent="0.3">
      <c r="A1834">
        <v>1336035</v>
      </c>
      <c r="B1834" t="s">
        <v>4683</v>
      </c>
      <c r="C1834" t="s">
        <v>4684</v>
      </c>
      <c r="D1834" t="s">
        <v>1158</v>
      </c>
      <c r="E1834">
        <v>1</v>
      </c>
      <c r="F1834">
        <v>1</v>
      </c>
      <c r="G1834">
        <v>36</v>
      </c>
      <c r="H1834" s="2">
        <v>44256.918726851851</v>
      </c>
    </row>
    <row r="1835" spans="1:8" ht="14.25" customHeight="1" x14ac:dyDescent="0.3">
      <c r="A1835">
        <v>1336991</v>
      </c>
      <c r="B1835" t="s">
        <v>6911</v>
      </c>
      <c r="C1835" s="1" t="s">
        <v>6912</v>
      </c>
      <c r="D1835" t="s">
        <v>11</v>
      </c>
      <c r="E1835">
        <v>1</v>
      </c>
      <c r="F1835">
        <v>1</v>
      </c>
      <c r="G1835">
        <v>41</v>
      </c>
      <c r="H1835" s="2">
        <v>44256.91920138889</v>
      </c>
    </row>
    <row r="1836" spans="1:8" ht="14.25" customHeight="1" x14ac:dyDescent="0.3">
      <c r="A1836">
        <v>1337653</v>
      </c>
      <c r="B1836" t="s">
        <v>6913</v>
      </c>
      <c r="C1836" s="1" t="s">
        <v>6914</v>
      </c>
      <c r="D1836" t="s">
        <v>24</v>
      </c>
      <c r="E1836">
        <v>1</v>
      </c>
      <c r="F1836">
        <v>2</v>
      </c>
      <c r="G1836">
        <v>41</v>
      </c>
      <c r="H1836" s="2">
        <v>44256.919270833336</v>
      </c>
    </row>
    <row r="1837" spans="1:8" ht="14.25" customHeight="1" x14ac:dyDescent="0.3">
      <c r="A1837">
        <v>1336579</v>
      </c>
      <c r="B1837" t="s">
        <v>4690</v>
      </c>
      <c r="C1837" t="s">
        <v>4691</v>
      </c>
      <c r="D1837" t="s">
        <v>1158</v>
      </c>
      <c r="E1837">
        <v>1</v>
      </c>
      <c r="F1837">
        <v>1</v>
      </c>
      <c r="G1837">
        <v>36</v>
      </c>
      <c r="H1837" s="2">
        <v>44256.919328703705</v>
      </c>
    </row>
    <row r="1838" spans="1:8" ht="14.25" customHeight="1" x14ac:dyDescent="0.3">
      <c r="A1838">
        <v>1337026</v>
      </c>
      <c r="B1838" t="s">
        <v>6915</v>
      </c>
      <c r="C1838" s="1" t="s">
        <v>6916</v>
      </c>
      <c r="D1838" t="s">
        <v>11</v>
      </c>
      <c r="E1838">
        <v>1</v>
      </c>
      <c r="F1838">
        <v>1</v>
      </c>
      <c r="G1838">
        <v>41</v>
      </c>
      <c r="H1838" s="2">
        <v>44256.919537037036</v>
      </c>
    </row>
    <row r="1839" spans="1:8" ht="14.25" customHeight="1" x14ac:dyDescent="0.3">
      <c r="A1839">
        <v>1335157</v>
      </c>
      <c r="B1839" t="s">
        <v>6917</v>
      </c>
      <c r="C1839" t="s">
        <v>4857</v>
      </c>
      <c r="D1839" t="s">
        <v>1158</v>
      </c>
      <c r="E1839">
        <v>1</v>
      </c>
      <c r="F1839">
        <v>1</v>
      </c>
      <c r="G1839">
        <v>36</v>
      </c>
      <c r="H1839" s="2">
        <v>44256.919606481482</v>
      </c>
    </row>
    <row r="1840" spans="1:8" ht="14.25" customHeight="1" x14ac:dyDescent="0.3">
      <c r="A1840">
        <v>1336910</v>
      </c>
      <c r="B1840" t="e">
        <f>- i need help logging on to the carya cloud.</f>
        <v>#NAME?</v>
      </c>
      <c r="C1840" t="s">
        <v>6918</v>
      </c>
      <c r="D1840" t="s">
        <v>24</v>
      </c>
      <c r="E1840">
        <v>1</v>
      </c>
      <c r="F1840">
        <v>2</v>
      </c>
      <c r="G1840">
        <v>41</v>
      </c>
      <c r="H1840" s="2">
        <v>44256.920011574075</v>
      </c>
    </row>
    <row r="1841" spans="1:8" ht="14.25" customHeight="1" x14ac:dyDescent="0.3">
      <c r="A1841">
        <v>1336580</v>
      </c>
      <c r="B1841" t="s">
        <v>4690</v>
      </c>
      <c r="C1841" t="s">
        <v>4691</v>
      </c>
      <c r="D1841" t="s">
        <v>1158</v>
      </c>
      <c r="E1841">
        <v>1</v>
      </c>
      <c r="F1841">
        <v>1</v>
      </c>
      <c r="G1841">
        <v>36</v>
      </c>
      <c r="H1841" s="2">
        <v>44256.920208333337</v>
      </c>
    </row>
    <row r="1842" spans="1:8" ht="14.25" customHeight="1" x14ac:dyDescent="0.3">
      <c r="A1842">
        <v>1335156</v>
      </c>
      <c r="B1842" t="s">
        <v>4856</v>
      </c>
      <c r="C1842" t="s">
        <v>4857</v>
      </c>
      <c r="D1842" t="s">
        <v>1158</v>
      </c>
      <c r="E1842">
        <v>1</v>
      </c>
      <c r="F1842">
        <v>1</v>
      </c>
      <c r="G1842">
        <v>36</v>
      </c>
      <c r="H1842" s="2">
        <v>44256.920289351852</v>
      </c>
    </row>
    <row r="1843" spans="1:8" ht="14.25" customHeight="1" x14ac:dyDescent="0.3">
      <c r="A1843">
        <v>1334754</v>
      </c>
      <c r="B1843" t="s">
        <v>6919</v>
      </c>
      <c r="C1843" s="1" t="s">
        <v>6920</v>
      </c>
      <c r="D1843" t="s">
        <v>11</v>
      </c>
      <c r="E1843">
        <v>1</v>
      </c>
      <c r="F1843">
        <v>1</v>
      </c>
      <c r="G1843">
        <v>41</v>
      </c>
      <c r="H1843" s="2">
        <v>44256.922835648147</v>
      </c>
    </row>
    <row r="1844" spans="1:8" ht="14.25" customHeight="1" x14ac:dyDescent="0.3">
      <c r="A1844">
        <v>1336953</v>
      </c>
      <c r="B1844" t="s">
        <v>4555</v>
      </c>
      <c r="C1844" s="1" t="s">
        <v>6921</v>
      </c>
      <c r="D1844" t="s">
        <v>11</v>
      </c>
      <c r="E1844">
        <v>1</v>
      </c>
      <c r="F1844">
        <v>1</v>
      </c>
      <c r="G1844">
        <v>41</v>
      </c>
      <c r="H1844" s="2">
        <v>44256.923344907409</v>
      </c>
    </row>
    <row r="1845" spans="1:8" ht="14.25" customHeight="1" x14ac:dyDescent="0.3">
      <c r="A1845">
        <v>1337648</v>
      </c>
      <c r="B1845" t="s">
        <v>6922</v>
      </c>
      <c r="C1845" s="1" t="s">
        <v>6923</v>
      </c>
      <c r="D1845" t="s">
        <v>24</v>
      </c>
      <c r="E1845">
        <v>1</v>
      </c>
      <c r="F1845">
        <v>1</v>
      </c>
      <c r="G1845">
        <v>36</v>
      </c>
      <c r="H1845" s="2">
        <v>44256.923437500001</v>
      </c>
    </row>
    <row r="1846" spans="1:8" ht="14.25" customHeight="1" x14ac:dyDescent="0.3">
      <c r="A1846">
        <v>1336715</v>
      </c>
      <c r="B1846" t="s">
        <v>6924</v>
      </c>
      <c r="C1846" s="1" t="s">
        <v>6925</v>
      </c>
      <c r="D1846" t="s">
        <v>11</v>
      </c>
      <c r="E1846">
        <v>1</v>
      </c>
      <c r="F1846">
        <v>1</v>
      </c>
      <c r="G1846">
        <v>41</v>
      </c>
      <c r="H1846" s="2">
        <v>44256.923564814817</v>
      </c>
    </row>
    <row r="1847" spans="1:8" ht="14.25" customHeight="1" x14ac:dyDescent="0.3">
      <c r="A1847">
        <v>1334740</v>
      </c>
      <c r="B1847" t="s">
        <v>4555</v>
      </c>
      <c r="C1847" s="1" t="s">
        <v>6926</v>
      </c>
      <c r="D1847" t="s">
        <v>11</v>
      </c>
      <c r="E1847">
        <v>1</v>
      </c>
      <c r="F1847">
        <v>1</v>
      </c>
      <c r="G1847">
        <v>41</v>
      </c>
      <c r="H1847" s="2">
        <v>44256.923645833333</v>
      </c>
    </row>
    <row r="1848" spans="1:8" ht="14.25" customHeight="1" x14ac:dyDescent="0.3">
      <c r="A1848">
        <v>1334690</v>
      </c>
      <c r="B1848" t="s">
        <v>4555</v>
      </c>
      <c r="C1848" s="1" t="s">
        <v>6927</v>
      </c>
      <c r="D1848" t="s">
        <v>11</v>
      </c>
      <c r="E1848">
        <v>1</v>
      </c>
      <c r="F1848">
        <v>1</v>
      </c>
      <c r="G1848">
        <v>41</v>
      </c>
      <c r="H1848" s="2">
        <v>44256.924305555556</v>
      </c>
    </row>
    <row r="1849" spans="1:8" ht="14.25" customHeight="1" x14ac:dyDescent="0.3">
      <c r="A1849">
        <v>1334704</v>
      </c>
      <c r="B1849" t="s">
        <v>4690</v>
      </c>
      <c r="C1849" t="s">
        <v>4691</v>
      </c>
      <c r="D1849" t="s">
        <v>1158</v>
      </c>
      <c r="E1849">
        <v>1</v>
      </c>
      <c r="F1849">
        <v>1</v>
      </c>
      <c r="G1849">
        <v>36</v>
      </c>
      <c r="H1849" s="2">
        <v>44256.924363425926</v>
      </c>
    </row>
    <row r="1850" spans="1:8" ht="14.25" customHeight="1" x14ac:dyDescent="0.3">
      <c r="A1850">
        <v>1335839</v>
      </c>
      <c r="B1850" t="e">
        <f>- outlook app on my phone</f>
        <v>#NAME?</v>
      </c>
      <c r="C1850" s="1" t="s">
        <v>6928</v>
      </c>
      <c r="D1850" t="s">
        <v>11</v>
      </c>
      <c r="E1850">
        <v>1</v>
      </c>
      <c r="F1850">
        <v>1</v>
      </c>
      <c r="G1850">
        <v>41</v>
      </c>
      <c r="H1850" s="2">
        <v>44256.924560185187</v>
      </c>
    </row>
    <row r="1851" spans="1:8" ht="14.25" customHeight="1" x14ac:dyDescent="0.3">
      <c r="A1851">
        <v>1334739</v>
      </c>
      <c r="B1851" t="s">
        <v>4555</v>
      </c>
      <c r="C1851" s="1" t="s">
        <v>6929</v>
      </c>
      <c r="D1851" t="s">
        <v>11</v>
      </c>
      <c r="E1851">
        <v>1</v>
      </c>
      <c r="F1851">
        <v>1</v>
      </c>
      <c r="G1851">
        <v>41</v>
      </c>
      <c r="H1851" s="2">
        <v>44256.92465277778</v>
      </c>
    </row>
    <row r="1852" spans="1:8" ht="14.25" customHeight="1" x14ac:dyDescent="0.3">
      <c r="A1852">
        <v>1336578</v>
      </c>
      <c r="B1852" t="s">
        <v>4690</v>
      </c>
      <c r="C1852" t="s">
        <v>4691</v>
      </c>
      <c r="D1852" t="s">
        <v>1158</v>
      </c>
      <c r="E1852">
        <v>1</v>
      </c>
      <c r="F1852">
        <v>1</v>
      </c>
      <c r="G1852">
        <v>36</v>
      </c>
      <c r="H1852" s="2">
        <v>44256.925115740742</v>
      </c>
    </row>
    <row r="1853" spans="1:8" ht="14.25" customHeight="1" x14ac:dyDescent="0.3">
      <c r="A1853">
        <v>1335153</v>
      </c>
      <c r="B1853" t="s">
        <v>4683</v>
      </c>
      <c r="C1853" t="s">
        <v>4684</v>
      </c>
      <c r="D1853" t="s">
        <v>1158</v>
      </c>
      <c r="E1853">
        <v>1</v>
      </c>
      <c r="F1853">
        <v>1</v>
      </c>
      <c r="G1853">
        <v>36</v>
      </c>
      <c r="H1853" s="2">
        <v>44256.925439814811</v>
      </c>
    </row>
    <row r="1854" spans="1:8" ht="14.25" customHeight="1" x14ac:dyDescent="0.3">
      <c r="A1854">
        <v>1334688</v>
      </c>
      <c r="B1854" t="s">
        <v>4555</v>
      </c>
      <c r="C1854" s="1" t="s">
        <v>6920</v>
      </c>
      <c r="D1854" t="s">
        <v>11</v>
      </c>
      <c r="E1854">
        <v>1</v>
      </c>
      <c r="F1854">
        <v>1</v>
      </c>
      <c r="G1854">
        <v>41</v>
      </c>
      <c r="H1854" s="2">
        <v>44256.925567129627</v>
      </c>
    </row>
    <row r="1855" spans="1:8" ht="14.25" customHeight="1" x14ac:dyDescent="0.3">
      <c r="A1855">
        <v>1335154</v>
      </c>
      <c r="B1855" t="s">
        <v>4683</v>
      </c>
      <c r="C1855" t="s">
        <v>4684</v>
      </c>
      <c r="D1855" t="s">
        <v>1158</v>
      </c>
      <c r="E1855">
        <v>1</v>
      </c>
      <c r="F1855">
        <v>1</v>
      </c>
      <c r="G1855">
        <v>36</v>
      </c>
      <c r="H1855" s="2">
        <v>44256.925636574073</v>
      </c>
    </row>
    <row r="1856" spans="1:8" ht="14.25" customHeight="1" x14ac:dyDescent="0.3">
      <c r="A1856">
        <v>1334738</v>
      </c>
      <c r="B1856" t="s">
        <v>4555</v>
      </c>
      <c r="C1856" s="1" t="s">
        <v>6930</v>
      </c>
      <c r="D1856" t="s">
        <v>11</v>
      </c>
      <c r="E1856">
        <v>1</v>
      </c>
      <c r="F1856">
        <v>1</v>
      </c>
      <c r="G1856">
        <v>41</v>
      </c>
      <c r="H1856" s="2">
        <v>44256.925694444442</v>
      </c>
    </row>
    <row r="1857" spans="1:8" ht="14.25" customHeight="1" x14ac:dyDescent="0.3">
      <c r="A1857">
        <v>1334349</v>
      </c>
      <c r="B1857" t="s">
        <v>6931</v>
      </c>
      <c r="C1857" s="1" t="s">
        <v>6932</v>
      </c>
      <c r="D1857" t="s">
        <v>11</v>
      </c>
      <c r="E1857">
        <v>1</v>
      </c>
      <c r="F1857">
        <v>1</v>
      </c>
      <c r="G1857">
        <v>43</v>
      </c>
      <c r="H1857" s="2">
        <v>44256.925902777781</v>
      </c>
    </row>
    <row r="1858" spans="1:8" ht="14.25" customHeight="1" x14ac:dyDescent="0.3">
      <c r="A1858">
        <v>1335564</v>
      </c>
      <c r="B1858" t="s">
        <v>6933</v>
      </c>
      <c r="C1858" t="s">
        <v>4832</v>
      </c>
      <c r="D1858" t="s">
        <v>1158</v>
      </c>
      <c r="E1858">
        <v>1</v>
      </c>
      <c r="F1858">
        <v>1</v>
      </c>
      <c r="G1858">
        <v>36</v>
      </c>
      <c r="H1858" s="2">
        <v>44256.926064814812</v>
      </c>
    </row>
    <row r="1859" spans="1:8" ht="14.25" customHeight="1" x14ac:dyDescent="0.3">
      <c r="A1859">
        <v>1334373</v>
      </c>
      <c r="B1859" t="s">
        <v>6934</v>
      </c>
      <c r="C1859" s="1" t="s">
        <v>6935</v>
      </c>
      <c r="D1859" t="s">
        <v>11</v>
      </c>
      <c r="E1859">
        <v>1</v>
      </c>
      <c r="F1859">
        <v>1</v>
      </c>
      <c r="G1859">
        <v>43</v>
      </c>
      <c r="H1859" s="2">
        <v>44256.93246527778</v>
      </c>
    </row>
    <row r="1860" spans="1:8" ht="14.25" customHeight="1" x14ac:dyDescent="0.3">
      <c r="A1860">
        <v>1334380</v>
      </c>
      <c r="B1860" t="s">
        <v>6936</v>
      </c>
      <c r="C1860" s="1" t="s">
        <v>6937</v>
      </c>
      <c r="D1860" t="s">
        <v>11</v>
      </c>
      <c r="E1860">
        <v>1</v>
      </c>
      <c r="F1860">
        <v>1</v>
      </c>
      <c r="G1860">
        <v>43</v>
      </c>
      <c r="H1860" s="2">
        <v>44256.932835648149</v>
      </c>
    </row>
    <row r="1861" spans="1:8" ht="14.25" customHeight="1" x14ac:dyDescent="0.3">
      <c r="A1861">
        <v>1334384</v>
      </c>
      <c r="B1861" t="s">
        <v>6938</v>
      </c>
      <c r="C1861" s="1" t="s">
        <v>6939</v>
      </c>
      <c r="D1861" t="s">
        <v>11</v>
      </c>
      <c r="E1861">
        <v>1</v>
      </c>
      <c r="F1861">
        <v>1</v>
      </c>
      <c r="G1861">
        <v>43</v>
      </c>
      <c r="H1861" s="2">
        <v>44256.933472222219</v>
      </c>
    </row>
    <row r="1862" spans="1:8" ht="14.25" customHeight="1" x14ac:dyDescent="0.3">
      <c r="A1862">
        <v>1334706</v>
      </c>
      <c r="B1862" t="s">
        <v>4555</v>
      </c>
      <c r="C1862" s="1" t="s">
        <v>6940</v>
      </c>
      <c r="D1862" t="s">
        <v>11</v>
      </c>
      <c r="E1862">
        <v>1</v>
      </c>
      <c r="F1862">
        <v>1</v>
      </c>
      <c r="G1862">
        <v>41</v>
      </c>
      <c r="H1862" s="2">
        <v>44256.933530092596</v>
      </c>
    </row>
    <row r="1863" spans="1:8" ht="14.25" customHeight="1" x14ac:dyDescent="0.3">
      <c r="A1863">
        <v>1335155</v>
      </c>
      <c r="B1863" t="s">
        <v>4856</v>
      </c>
      <c r="C1863" t="s">
        <v>4857</v>
      </c>
      <c r="D1863" t="s">
        <v>1158</v>
      </c>
      <c r="E1863">
        <v>1</v>
      </c>
      <c r="F1863">
        <v>1</v>
      </c>
      <c r="G1863">
        <v>36</v>
      </c>
      <c r="H1863" s="2">
        <v>44256.933611111112</v>
      </c>
    </row>
    <row r="1864" spans="1:8" ht="14.25" customHeight="1" x14ac:dyDescent="0.3">
      <c r="A1864">
        <v>1334269</v>
      </c>
      <c r="B1864" t="s">
        <v>3010</v>
      </c>
      <c r="C1864" t="s">
        <v>6941</v>
      </c>
      <c r="D1864" t="s">
        <v>11</v>
      </c>
      <c r="E1864">
        <v>1</v>
      </c>
      <c r="F1864">
        <v>1</v>
      </c>
      <c r="G1864">
        <v>43</v>
      </c>
      <c r="H1864" s="2">
        <v>44256.933668981481</v>
      </c>
    </row>
    <row r="1865" spans="1:8" ht="14.25" customHeight="1" x14ac:dyDescent="0.3">
      <c r="A1865">
        <v>1334389</v>
      </c>
      <c r="B1865" t="s">
        <v>6942</v>
      </c>
      <c r="C1865" s="1" t="s">
        <v>6943</v>
      </c>
      <c r="D1865" t="s">
        <v>11</v>
      </c>
      <c r="E1865">
        <v>1</v>
      </c>
      <c r="F1865">
        <v>1</v>
      </c>
      <c r="G1865">
        <v>43</v>
      </c>
      <c r="H1865" s="2">
        <v>44256.933877314812</v>
      </c>
    </row>
    <row r="1866" spans="1:8" ht="14.25" customHeight="1" x14ac:dyDescent="0.3">
      <c r="A1866">
        <v>1334262</v>
      </c>
      <c r="B1866" t="s">
        <v>4555</v>
      </c>
      <c r="C1866" s="1" t="s">
        <v>6944</v>
      </c>
      <c r="D1866" t="s">
        <v>11</v>
      </c>
      <c r="E1866">
        <v>1</v>
      </c>
      <c r="F1866">
        <v>1</v>
      </c>
      <c r="G1866">
        <v>41</v>
      </c>
      <c r="H1866" s="2">
        <v>44256.933946759258</v>
      </c>
    </row>
    <row r="1867" spans="1:8" ht="14.25" customHeight="1" x14ac:dyDescent="0.3">
      <c r="A1867">
        <v>1334167</v>
      </c>
      <c r="B1867" t="s">
        <v>4683</v>
      </c>
      <c r="C1867" t="s">
        <v>4684</v>
      </c>
      <c r="D1867" t="s">
        <v>1158</v>
      </c>
      <c r="E1867">
        <v>1</v>
      </c>
      <c r="F1867">
        <v>1</v>
      </c>
      <c r="G1867">
        <v>36</v>
      </c>
      <c r="H1867" s="2">
        <v>44256.934606481482</v>
      </c>
    </row>
    <row r="1868" spans="1:8" ht="14.25" customHeight="1" x14ac:dyDescent="0.3">
      <c r="A1868">
        <v>1334251</v>
      </c>
      <c r="B1868" t="s">
        <v>4555</v>
      </c>
      <c r="C1868" s="1" t="s">
        <v>6945</v>
      </c>
      <c r="D1868" t="s">
        <v>11</v>
      </c>
      <c r="E1868">
        <v>1</v>
      </c>
      <c r="F1868">
        <v>1</v>
      </c>
      <c r="G1868">
        <v>41</v>
      </c>
      <c r="H1868" s="2">
        <v>44256.93476851852</v>
      </c>
    </row>
    <row r="1869" spans="1:8" ht="14.25" customHeight="1" x14ac:dyDescent="0.3">
      <c r="A1869">
        <v>1334012</v>
      </c>
      <c r="B1869" t="e">
        <f>- disable account - emily oneil</f>
        <v>#NAME?</v>
      </c>
      <c r="C1869" s="1" t="s">
        <v>6946</v>
      </c>
      <c r="D1869" t="s">
        <v>24</v>
      </c>
      <c r="E1869">
        <v>1</v>
      </c>
      <c r="F1869">
        <v>1</v>
      </c>
      <c r="G1869">
        <v>43</v>
      </c>
      <c r="H1869" s="2">
        <v>44256.934884259259</v>
      </c>
    </row>
    <row r="1870" spans="1:8" ht="14.25" customHeight="1" x14ac:dyDescent="0.3">
      <c r="A1870">
        <v>1334284</v>
      </c>
      <c r="B1870" t="s">
        <v>6947</v>
      </c>
      <c r="C1870" s="1" t="s">
        <v>6948</v>
      </c>
      <c r="D1870" t="s">
        <v>11</v>
      </c>
      <c r="E1870">
        <v>1</v>
      </c>
      <c r="F1870">
        <v>1</v>
      </c>
      <c r="G1870">
        <v>43</v>
      </c>
      <c r="H1870" s="2">
        <v>44256.940601851849</v>
      </c>
    </row>
    <row r="1871" spans="1:8" ht="14.25" customHeight="1" x14ac:dyDescent="0.3">
      <c r="A1871">
        <v>1336577</v>
      </c>
      <c r="B1871" t="s">
        <v>4683</v>
      </c>
      <c r="C1871" t="s">
        <v>4684</v>
      </c>
      <c r="D1871" t="s">
        <v>1158</v>
      </c>
      <c r="E1871">
        <v>1</v>
      </c>
      <c r="F1871">
        <v>1</v>
      </c>
      <c r="G1871">
        <v>36</v>
      </c>
      <c r="H1871" s="2">
        <v>44256.940891203703</v>
      </c>
    </row>
    <row r="1872" spans="1:8" ht="14.25" customHeight="1" x14ac:dyDescent="0.3">
      <c r="A1872">
        <v>1334326</v>
      </c>
      <c r="B1872" t="s">
        <v>3010</v>
      </c>
      <c r="C1872" s="1" t="s">
        <v>6949</v>
      </c>
      <c r="D1872" t="s">
        <v>11</v>
      </c>
      <c r="E1872">
        <v>1</v>
      </c>
      <c r="F1872">
        <v>1</v>
      </c>
      <c r="G1872">
        <v>41</v>
      </c>
      <c r="H1872" s="2">
        <v>44256.940972222219</v>
      </c>
    </row>
    <row r="1873" spans="1:8" ht="14.25" customHeight="1" x14ac:dyDescent="0.3">
      <c r="A1873">
        <v>1334414</v>
      </c>
      <c r="B1873" t="s">
        <v>6950</v>
      </c>
      <c r="C1873" s="1" t="s">
        <v>6951</v>
      </c>
      <c r="D1873" t="s">
        <v>24</v>
      </c>
      <c r="E1873">
        <v>1</v>
      </c>
      <c r="F1873">
        <v>1</v>
      </c>
      <c r="G1873">
        <v>36</v>
      </c>
      <c r="H1873" s="2">
        <v>44256.941041666665</v>
      </c>
    </row>
    <row r="1874" spans="1:8" ht="14.25" customHeight="1" x14ac:dyDescent="0.3">
      <c r="A1874">
        <v>1334359</v>
      </c>
      <c r="B1874" t="s">
        <v>6952</v>
      </c>
      <c r="C1874" s="1" t="s">
        <v>6953</v>
      </c>
      <c r="D1874" t="s">
        <v>24</v>
      </c>
      <c r="E1874">
        <v>1</v>
      </c>
      <c r="F1874">
        <v>1</v>
      </c>
      <c r="G1874">
        <v>36</v>
      </c>
      <c r="H1874" s="2">
        <v>44256.941354166665</v>
      </c>
    </row>
    <row r="1875" spans="1:8" ht="14.25" customHeight="1" x14ac:dyDescent="0.3">
      <c r="A1875">
        <v>1334169</v>
      </c>
      <c r="B1875" t="s">
        <v>4831</v>
      </c>
      <c r="C1875" t="s">
        <v>4832</v>
      </c>
      <c r="D1875" t="s">
        <v>1158</v>
      </c>
      <c r="E1875">
        <v>1</v>
      </c>
      <c r="F1875">
        <v>1</v>
      </c>
      <c r="G1875">
        <v>36</v>
      </c>
      <c r="H1875" s="2">
        <v>44256.942824074074</v>
      </c>
    </row>
    <row r="1876" spans="1:8" ht="14.25" customHeight="1" x14ac:dyDescent="0.3">
      <c r="A1876">
        <v>1336036</v>
      </c>
      <c r="B1876" t="s">
        <v>4683</v>
      </c>
      <c r="C1876" t="s">
        <v>4684</v>
      </c>
      <c r="D1876" t="s">
        <v>1158</v>
      </c>
      <c r="E1876">
        <v>1</v>
      </c>
      <c r="F1876">
        <v>1</v>
      </c>
      <c r="G1876">
        <v>36</v>
      </c>
      <c r="H1876" s="2">
        <v>44256.942893518521</v>
      </c>
    </row>
    <row r="1877" spans="1:8" ht="14.25" customHeight="1" x14ac:dyDescent="0.3">
      <c r="A1877">
        <v>1334207</v>
      </c>
      <c r="B1877" t="s">
        <v>4555</v>
      </c>
      <c r="C1877" s="1" t="s">
        <v>6954</v>
      </c>
      <c r="D1877" t="s">
        <v>11</v>
      </c>
      <c r="E1877">
        <v>1</v>
      </c>
      <c r="F1877">
        <v>1</v>
      </c>
      <c r="G1877">
        <v>41</v>
      </c>
      <c r="H1877" s="2">
        <v>44256.942939814813</v>
      </c>
    </row>
    <row r="1878" spans="1:8" ht="14.25" customHeight="1" x14ac:dyDescent="0.3">
      <c r="A1878">
        <v>1333825</v>
      </c>
      <c r="B1878" t="s">
        <v>4555</v>
      </c>
      <c r="C1878" s="1" t="s">
        <v>6955</v>
      </c>
      <c r="D1878" t="s">
        <v>11</v>
      </c>
      <c r="E1878">
        <v>1</v>
      </c>
      <c r="F1878">
        <v>1</v>
      </c>
      <c r="G1878">
        <v>41</v>
      </c>
      <c r="H1878" s="2">
        <v>44256.943518518521</v>
      </c>
    </row>
    <row r="1879" spans="1:8" ht="14.25" customHeight="1" x14ac:dyDescent="0.3">
      <c r="A1879">
        <v>1334010</v>
      </c>
      <c r="B1879" t="e">
        <f>- disable account - talia</f>
        <v>#NAME?</v>
      </c>
      <c r="C1879" s="1" t="s">
        <v>6956</v>
      </c>
      <c r="D1879" t="s">
        <v>24</v>
      </c>
      <c r="E1879">
        <v>1</v>
      </c>
      <c r="F1879">
        <v>1</v>
      </c>
      <c r="G1879">
        <v>43</v>
      </c>
      <c r="H1879" s="2">
        <v>44256.943622685183</v>
      </c>
    </row>
    <row r="1880" spans="1:8" ht="14.25" customHeight="1" x14ac:dyDescent="0.3">
      <c r="A1880">
        <v>1334383</v>
      </c>
      <c r="B1880" t="s">
        <v>6957</v>
      </c>
      <c r="C1880" s="1" t="s">
        <v>6958</v>
      </c>
      <c r="D1880" t="s">
        <v>11</v>
      </c>
      <c r="E1880">
        <v>1</v>
      </c>
      <c r="F1880">
        <v>1</v>
      </c>
      <c r="G1880">
        <v>43</v>
      </c>
      <c r="H1880" s="2">
        <v>44256.944803240738</v>
      </c>
    </row>
    <row r="1881" spans="1:8" ht="14.25" customHeight="1" x14ac:dyDescent="0.3">
      <c r="A1881">
        <v>1334330</v>
      </c>
      <c r="B1881" t="s">
        <v>6959</v>
      </c>
      <c r="C1881" s="1" t="s">
        <v>6960</v>
      </c>
      <c r="D1881" t="s">
        <v>11</v>
      </c>
      <c r="E1881">
        <v>1</v>
      </c>
      <c r="F1881">
        <v>1</v>
      </c>
      <c r="G1881">
        <v>43</v>
      </c>
      <c r="H1881" s="2">
        <v>44256.945104166669</v>
      </c>
    </row>
    <row r="1882" spans="1:8" ht="14.25" customHeight="1" x14ac:dyDescent="0.3">
      <c r="A1882">
        <v>1334703</v>
      </c>
      <c r="B1882" t="s">
        <v>4690</v>
      </c>
      <c r="C1882" t="s">
        <v>4691</v>
      </c>
      <c r="D1882" t="s">
        <v>1158</v>
      </c>
      <c r="E1882">
        <v>1</v>
      </c>
      <c r="F1882">
        <v>1</v>
      </c>
      <c r="G1882">
        <v>36</v>
      </c>
      <c r="H1882" s="2">
        <v>44256.94840277778</v>
      </c>
    </row>
    <row r="1883" spans="1:8" ht="14.25" customHeight="1" x14ac:dyDescent="0.3">
      <c r="A1883">
        <v>1334011</v>
      </c>
      <c r="B1883" t="e">
        <f>- disable account - angelika</f>
        <v>#NAME?</v>
      </c>
      <c r="C1883" s="1" t="s">
        <v>6961</v>
      </c>
      <c r="D1883" t="s">
        <v>24</v>
      </c>
      <c r="E1883">
        <v>1</v>
      </c>
      <c r="F1883">
        <v>1</v>
      </c>
      <c r="G1883">
        <v>43</v>
      </c>
      <c r="H1883" s="2">
        <v>44256.960011574076</v>
      </c>
    </row>
    <row r="1884" spans="1:8" ht="14.25" customHeight="1" x14ac:dyDescent="0.3">
      <c r="A1884">
        <v>1333818</v>
      </c>
      <c r="B1884" t="s">
        <v>6962</v>
      </c>
      <c r="C1884" s="1" t="s">
        <v>6963</v>
      </c>
      <c r="D1884" t="s">
        <v>11</v>
      </c>
      <c r="E1884">
        <v>1</v>
      </c>
      <c r="F1884">
        <v>1</v>
      </c>
      <c r="G1884">
        <v>36</v>
      </c>
      <c r="H1884" s="2">
        <v>44256.960833333331</v>
      </c>
    </row>
    <row r="1885" spans="1:8" ht="14.25" customHeight="1" x14ac:dyDescent="0.3">
      <c r="A1885">
        <v>1333372</v>
      </c>
      <c r="B1885" t="s">
        <v>6964</v>
      </c>
      <c r="C1885" s="1" t="s">
        <v>6965</v>
      </c>
      <c r="D1885" t="s">
        <v>11</v>
      </c>
      <c r="E1885">
        <v>1</v>
      </c>
      <c r="F1885">
        <v>1</v>
      </c>
      <c r="G1885">
        <v>43</v>
      </c>
      <c r="H1885" s="2">
        <v>44256.961064814815</v>
      </c>
    </row>
    <row r="1886" spans="1:8" ht="14.25" customHeight="1" x14ac:dyDescent="0.3">
      <c r="A1886">
        <v>1333776</v>
      </c>
      <c r="B1886" t="s">
        <v>4555</v>
      </c>
      <c r="C1886" s="1" t="s">
        <v>6966</v>
      </c>
      <c r="D1886" t="s">
        <v>11</v>
      </c>
      <c r="E1886">
        <v>1</v>
      </c>
      <c r="F1886">
        <v>1</v>
      </c>
      <c r="G1886">
        <v>41</v>
      </c>
      <c r="H1886" s="2">
        <v>44256.961122685185</v>
      </c>
    </row>
    <row r="1887" spans="1:8" ht="14.25" customHeight="1" x14ac:dyDescent="0.3">
      <c r="A1887">
        <v>1333351</v>
      </c>
      <c r="B1887" t="s">
        <v>6967</v>
      </c>
      <c r="C1887" s="1" t="s">
        <v>6968</v>
      </c>
      <c r="D1887" t="s">
        <v>11</v>
      </c>
      <c r="E1887">
        <v>1</v>
      </c>
      <c r="F1887">
        <v>1</v>
      </c>
      <c r="G1887">
        <v>43</v>
      </c>
      <c r="H1887" s="2">
        <v>44256.961354166669</v>
      </c>
    </row>
    <row r="1888" spans="1:8" ht="14.25" customHeight="1" x14ac:dyDescent="0.3">
      <c r="A1888">
        <v>1333324</v>
      </c>
      <c r="B1888" t="s">
        <v>6969</v>
      </c>
      <c r="C1888" s="1" t="s">
        <v>6970</v>
      </c>
      <c r="D1888" t="s">
        <v>24</v>
      </c>
      <c r="E1888">
        <v>1</v>
      </c>
      <c r="F1888">
        <v>1</v>
      </c>
      <c r="G1888">
        <v>43</v>
      </c>
      <c r="H1888" s="2">
        <v>44256.962685185186</v>
      </c>
    </row>
    <row r="1889" spans="1:8" ht="14.25" customHeight="1" x14ac:dyDescent="0.3">
      <c r="A1889">
        <v>1347043</v>
      </c>
      <c r="B1889" t="s">
        <v>6971</v>
      </c>
      <c r="C1889" s="1" t="s">
        <v>6972</v>
      </c>
      <c r="D1889" t="s">
        <v>24</v>
      </c>
      <c r="E1889">
        <v>1</v>
      </c>
      <c r="F1889">
        <v>1</v>
      </c>
      <c r="G1889">
        <v>43</v>
      </c>
      <c r="H1889" s="2">
        <v>44257.163541666669</v>
      </c>
    </row>
    <row r="1890" spans="1:8" ht="14.25" customHeight="1" x14ac:dyDescent="0.3">
      <c r="A1890">
        <v>1347061</v>
      </c>
      <c r="B1890" t="s">
        <v>6973</v>
      </c>
      <c r="C1890" s="1" t="s">
        <v>6974</v>
      </c>
      <c r="D1890" t="s">
        <v>24</v>
      </c>
      <c r="E1890">
        <v>1</v>
      </c>
      <c r="F1890">
        <v>1</v>
      </c>
      <c r="G1890">
        <v>36</v>
      </c>
      <c r="H1890" s="2">
        <v>44257.163819444446</v>
      </c>
    </row>
    <row r="1891" spans="1:8" ht="14.25" customHeight="1" x14ac:dyDescent="0.3">
      <c r="A1891">
        <v>1333828</v>
      </c>
      <c r="B1891" t="s">
        <v>6975</v>
      </c>
      <c r="C1891" s="1" t="s">
        <v>6976</v>
      </c>
      <c r="D1891" t="s">
        <v>11</v>
      </c>
      <c r="E1891">
        <v>1</v>
      </c>
      <c r="F1891">
        <v>1</v>
      </c>
      <c r="G1891">
        <v>43</v>
      </c>
      <c r="H1891" s="2">
        <v>44257.630671296298</v>
      </c>
    </row>
    <row r="1892" spans="1:8" ht="14.25" customHeight="1" x14ac:dyDescent="0.3">
      <c r="A1892">
        <v>1333431</v>
      </c>
      <c r="B1892" t="s">
        <v>6977</v>
      </c>
      <c r="C1892" s="1" t="s">
        <v>6978</v>
      </c>
      <c r="D1892" t="s">
        <v>11</v>
      </c>
      <c r="E1892">
        <v>1</v>
      </c>
      <c r="F1892">
        <v>1</v>
      </c>
      <c r="G1892">
        <v>36</v>
      </c>
      <c r="H1892" s="2">
        <v>44257.63077546296</v>
      </c>
    </row>
    <row r="1893" spans="1:8" ht="14.25" customHeight="1" x14ac:dyDescent="0.3">
      <c r="A1893">
        <v>1333758</v>
      </c>
      <c r="B1893" t="s">
        <v>6979</v>
      </c>
      <c r="C1893" s="1" t="s">
        <v>6980</v>
      </c>
      <c r="D1893" t="s">
        <v>11</v>
      </c>
      <c r="E1893">
        <v>1</v>
      </c>
      <c r="F1893">
        <v>1</v>
      </c>
      <c r="G1893">
        <v>43</v>
      </c>
      <c r="H1893" s="2">
        <v>44257.630972222221</v>
      </c>
    </row>
    <row r="1894" spans="1:8" ht="14.25" customHeight="1" x14ac:dyDescent="0.3">
      <c r="A1894">
        <v>1332648</v>
      </c>
      <c r="B1894" t="s">
        <v>4690</v>
      </c>
      <c r="C1894" t="s">
        <v>4691</v>
      </c>
      <c r="D1894" t="s">
        <v>1158</v>
      </c>
      <c r="E1894">
        <v>1</v>
      </c>
      <c r="F1894">
        <v>1</v>
      </c>
      <c r="G1894">
        <v>36</v>
      </c>
      <c r="H1894" s="2">
        <v>44257.631099537037</v>
      </c>
    </row>
    <row r="1895" spans="1:8" ht="14.25" customHeight="1" x14ac:dyDescent="0.3">
      <c r="A1895">
        <v>1333194</v>
      </c>
      <c r="B1895" t="s">
        <v>6981</v>
      </c>
      <c r="C1895" s="1" t="s">
        <v>6982</v>
      </c>
      <c r="D1895" t="s">
        <v>11</v>
      </c>
      <c r="E1895">
        <v>1</v>
      </c>
      <c r="F1895">
        <v>1</v>
      </c>
      <c r="G1895">
        <v>41</v>
      </c>
      <c r="H1895" s="2">
        <v>44257.631377314814</v>
      </c>
    </row>
    <row r="1896" spans="1:8" ht="14.25" customHeight="1" x14ac:dyDescent="0.3">
      <c r="A1896">
        <v>1333262</v>
      </c>
      <c r="B1896" t="s">
        <v>6983</v>
      </c>
      <c r="C1896" s="1" t="s">
        <v>6984</v>
      </c>
      <c r="D1896" t="s">
        <v>11</v>
      </c>
      <c r="E1896">
        <v>1</v>
      </c>
      <c r="F1896">
        <v>1</v>
      </c>
      <c r="G1896">
        <v>41</v>
      </c>
      <c r="H1896" s="2">
        <v>44257.632256944446</v>
      </c>
    </row>
    <row r="1897" spans="1:8" ht="14.25" customHeight="1" x14ac:dyDescent="0.3">
      <c r="A1897">
        <v>1333778</v>
      </c>
      <c r="B1897" t="s">
        <v>6985</v>
      </c>
      <c r="C1897" s="1" t="s">
        <v>6986</v>
      </c>
      <c r="D1897" t="s">
        <v>11</v>
      </c>
      <c r="E1897">
        <v>1</v>
      </c>
      <c r="F1897">
        <v>1</v>
      </c>
      <c r="G1897">
        <v>43</v>
      </c>
      <c r="H1897" s="2">
        <v>44257.632881944446</v>
      </c>
    </row>
    <row r="1898" spans="1:8" ht="14.25" customHeight="1" x14ac:dyDescent="0.3">
      <c r="A1898">
        <v>1332319</v>
      </c>
      <c r="B1898" t="s">
        <v>4683</v>
      </c>
      <c r="C1898" t="s">
        <v>4684</v>
      </c>
      <c r="D1898" t="s">
        <v>1158</v>
      </c>
      <c r="E1898">
        <v>1</v>
      </c>
      <c r="F1898">
        <v>1</v>
      </c>
      <c r="G1898">
        <v>36</v>
      </c>
      <c r="H1898" s="2">
        <v>44257.633692129632</v>
      </c>
    </row>
    <row r="1899" spans="1:8" ht="14.25" customHeight="1" x14ac:dyDescent="0.3">
      <c r="A1899">
        <v>1333273</v>
      </c>
      <c r="B1899" t="s">
        <v>6987</v>
      </c>
      <c r="C1899" s="1" t="s">
        <v>6988</v>
      </c>
      <c r="D1899" t="s">
        <v>11</v>
      </c>
      <c r="E1899">
        <v>1</v>
      </c>
      <c r="F1899">
        <v>1</v>
      </c>
      <c r="G1899">
        <v>41</v>
      </c>
      <c r="H1899" s="2">
        <v>44257.633773148147</v>
      </c>
    </row>
    <row r="1900" spans="1:8" ht="14.25" customHeight="1" x14ac:dyDescent="0.3">
      <c r="A1900">
        <v>1333700</v>
      </c>
      <c r="B1900" t="s">
        <v>6989</v>
      </c>
      <c r="C1900" s="1" t="s">
        <v>6990</v>
      </c>
      <c r="D1900" t="s">
        <v>11</v>
      </c>
      <c r="E1900">
        <v>1</v>
      </c>
      <c r="F1900">
        <v>1</v>
      </c>
      <c r="G1900">
        <v>36</v>
      </c>
      <c r="H1900" s="2">
        <v>44257.634953703702</v>
      </c>
    </row>
    <row r="1901" spans="1:8" ht="14.25" customHeight="1" x14ac:dyDescent="0.3">
      <c r="A1901">
        <v>1333195</v>
      </c>
      <c r="B1901" t="s">
        <v>6991</v>
      </c>
      <c r="C1901" s="1" t="s">
        <v>6992</v>
      </c>
      <c r="D1901" t="s">
        <v>11</v>
      </c>
      <c r="E1901">
        <v>1</v>
      </c>
      <c r="F1901">
        <v>1</v>
      </c>
      <c r="G1901">
        <v>41</v>
      </c>
      <c r="H1901" s="2">
        <v>44257.635636574072</v>
      </c>
    </row>
    <row r="1902" spans="1:8" ht="14.25" customHeight="1" x14ac:dyDescent="0.3">
      <c r="A1902">
        <v>1332647</v>
      </c>
      <c r="B1902" t="s">
        <v>4683</v>
      </c>
      <c r="C1902" t="s">
        <v>4684</v>
      </c>
      <c r="D1902" t="s">
        <v>1158</v>
      </c>
      <c r="E1902">
        <v>1</v>
      </c>
      <c r="F1902">
        <v>1</v>
      </c>
      <c r="G1902">
        <v>36</v>
      </c>
      <c r="H1902" s="2">
        <v>44257.635821759257</v>
      </c>
    </row>
    <row r="1903" spans="1:8" ht="14.25" customHeight="1" x14ac:dyDescent="0.3">
      <c r="A1903">
        <v>1332320</v>
      </c>
      <c r="B1903" t="s">
        <v>4690</v>
      </c>
      <c r="C1903" t="s">
        <v>4691</v>
      </c>
      <c r="D1903" t="s">
        <v>1158</v>
      </c>
      <c r="E1903">
        <v>1</v>
      </c>
      <c r="F1903">
        <v>1</v>
      </c>
      <c r="G1903">
        <v>36</v>
      </c>
      <c r="H1903" s="2">
        <v>44257.635879629626</v>
      </c>
    </row>
    <row r="1904" spans="1:8" ht="14.25" customHeight="1" x14ac:dyDescent="0.3">
      <c r="A1904">
        <v>1347107</v>
      </c>
      <c r="B1904" t="s">
        <v>6993</v>
      </c>
      <c r="C1904" s="1" t="s">
        <v>6994</v>
      </c>
      <c r="D1904" t="s">
        <v>11</v>
      </c>
      <c r="E1904">
        <v>1</v>
      </c>
      <c r="F1904">
        <v>2</v>
      </c>
      <c r="G1904">
        <v>41</v>
      </c>
      <c r="H1904" s="2">
        <v>44264.95994212963</v>
      </c>
    </row>
    <row r="1905" spans="1:8" ht="14.25" customHeight="1" x14ac:dyDescent="0.3">
      <c r="A1905">
        <v>1346457</v>
      </c>
      <c r="B1905" t="e">
        <f>- office phone</f>
        <v>#NAME?</v>
      </c>
      <c r="C1905" s="1" t="s">
        <v>6995</v>
      </c>
      <c r="D1905" t="s">
        <v>11</v>
      </c>
      <c r="E1905">
        <v>1</v>
      </c>
      <c r="F1905">
        <v>1</v>
      </c>
      <c r="G1905">
        <v>41</v>
      </c>
      <c r="H1905" s="2">
        <v>44264.960266203707</v>
      </c>
    </row>
    <row r="1906" spans="1:8" ht="14.25" customHeight="1" x14ac:dyDescent="0.3">
      <c r="A1906">
        <v>1346573</v>
      </c>
      <c r="B1906" t="s">
        <v>6996</v>
      </c>
      <c r="C1906" s="1" t="s">
        <v>6997</v>
      </c>
      <c r="D1906" t="s">
        <v>24</v>
      </c>
      <c r="E1906">
        <v>1</v>
      </c>
      <c r="F1906">
        <v>1</v>
      </c>
      <c r="G1906">
        <v>36</v>
      </c>
      <c r="H1906" s="2">
        <v>44264.960555555554</v>
      </c>
    </row>
    <row r="1907" spans="1:8" ht="14.25" customHeight="1" x14ac:dyDescent="0.3">
      <c r="A1907">
        <v>1209148</v>
      </c>
      <c r="B1907" t="s">
        <v>6998</v>
      </c>
      <c r="C1907" t="s">
        <v>6999</v>
      </c>
      <c r="D1907" t="s">
        <v>11</v>
      </c>
      <c r="E1907">
        <v>3</v>
      </c>
      <c r="F1907">
        <v>3</v>
      </c>
      <c r="G1907">
        <v>41</v>
      </c>
      <c r="H1907" s="2">
        <v>44265.766435185185</v>
      </c>
    </row>
    <row r="1908" spans="1:8" ht="14.25" customHeight="1" x14ac:dyDescent="0.3">
      <c r="A1908">
        <v>1252608</v>
      </c>
      <c r="B1908" t="s">
        <v>7000</v>
      </c>
      <c r="C1908" s="1" t="s">
        <v>7001</v>
      </c>
      <c r="D1908" t="s">
        <v>11</v>
      </c>
      <c r="E1908">
        <v>2</v>
      </c>
      <c r="F1908">
        <v>3</v>
      </c>
      <c r="G1908">
        <v>41</v>
      </c>
      <c r="H1908" s="2">
        <v>44265.772766203707</v>
      </c>
    </row>
    <row r="1909" spans="1:8" ht="14.25" customHeight="1" x14ac:dyDescent="0.3">
      <c r="A1909">
        <v>1248363</v>
      </c>
      <c r="B1909" t="s">
        <v>7002</v>
      </c>
      <c r="C1909" s="1" t="s">
        <v>7003</v>
      </c>
      <c r="D1909" t="s">
        <v>11</v>
      </c>
      <c r="E1909">
        <v>2</v>
      </c>
      <c r="F1909">
        <v>3</v>
      </c>
      <c r="G1909">
        <v>41</v>
      </c>
      <c r="H1909" s="2">
        <v>44265.773321759261</v>
      </c>
    </row>
    <row r="1910" spans="1:8" ht="14.25" customHeight="1" x14ac:dyDescent="0.3">
      <c r="A1910">
        <v>1271930</v>
      </c>
      <c r="B1910" t="s">
        <v>7004</v>
      </c>
      <c r="C1910" s="1" t="s">
        <v>7005</v>
      </c>
      <c r="D1910" t="s">
        <v>11</v>
      </c>
      <c r="E1910">
        <v>3</v>
      </c>
      <c r="F1910">
        <v>3</v>
      </c>
      <c r="G1910">
        <v>41</v>
      </c>
      <c r="H1910" s="2">
        <v>44265.773842592593</v>
      </c>
    </row>
    <row r="1911" spans="1:8" ht="14.25" customHeight="1" x14ac:dyDescent="0.3">
      <c r="A1911">
        <v>1259432</v>
      </c>
      <c r="B1911" t="s">
        <v>7006</v>
      </c>
      <c r="C1911" s="1" t="s">
        <v>7007</v>
      </c>
      <c r="D1911" t="s">
        <v>11</v>
      </c>
      <c r="E1911">
        <v>3</v>
      </c>
      <c r="F1911">
        <v>2</v>
      </c>
      <c r="G1911">
        <v>41</v>
      </c>
      <c r="H1911" s="2">
        <v>44265.776076388887</v>
      </c>
    </row>
    <row r="1912" spans="1:8" ht="14.25" customHeight="1" x14ac:dyDescent="0.3">
      <c r="A1912">
        <v>1234138</v>
      </c>
      <c r="B1912" t="s">
        <v>7008</v>
      </c>
      <c r="C1912" s="1" t="s">
        <v>7009</v>
      </c>
      <c r="D1912" t="s">
        <v>11</v>
      </c>
      <c r="E1912">
        <v>2</v>
      </c>
      <c r="F1912">
        <v>3</v>
      </c>
      <c r="G1912">
        <v>41</v>
      </c>
      <c r="H1912" s="2">
        <v>44265.777118055557</v>
      </c>
    </row>
    <row r="1913" spans="1:8" ht="14.25" customHeight="1" x14ac:dyDescent="0.3">
      <c r="A1913">
        <v>1254400</v>
      </c>
      <c r="B1913" t="s">
        <v>7010</v>
      </c>
      <c r="C1913" s="1" t="s">
        <v>7011</v>
      </c>
      <c r="D1913" t="s">
        <v>11</v>
      </c>
      <c r="E1913">
        <v>3</v>
      </c>
      <c r="F1913">
        <v>3</v>
      </c>
      <c r="G1913">
        <v>41</v>
      </c>
      <c r="H1913" s="2">
        <v>44265.777349537035</v>
      </c>
    </row>
    <row r="1914" spans="1:8" ht="14.25" customHeight="1" x14ac:dyDescent="0.3">
      <c r="A1914">
        <v>1238829</v>
      </c>
      <c r="B1914" t="s">
        <v>7012</v>
      </c>
      <c r="C1914" s="1" t="s">
        <v>7013</v>
      </c>
      <c r="D1914" t="s">
        <v>11</v>
      </c>
      <c r="E1914">
        <v>3</v>
      </c>
      <c r="F1914">
        <v>3</v>
      </c>
      <c r="G1914">
        <v>41</v>
      </c>
      <c r="H1914" s="2">
        <v>44265.779953703706</v>
      </c>
    </row>
    <row r="1915" spans="1:8" ht="14.25" customHeight="1" x14ac:dyDescent="0.3">
      <c r="A1915">
        <v>1273684</v>
      </c>
      <c r="B1915" t="e">
        <f>- nexcenter configuration on the rds servers</f>
        <v>#NAME?</v>
      </c>
      <c r="C1915" t="s">
        <v>7014</v>
      </c>
      <c r="D1915" t="s">
        <v>11</v>
      </c>
      <c r="E1915">
        <v>1</v>
      </c>
      <c r="F1915">
        <v>2</v>
      </c>
      <c r="G1915">
        <v>41</v>
      </c>
      <c r="H1915" s="2">
        <v>44265.888703703706</v>
      </c>
    </row>
    <row r="1916" spans="1:8" ht="14.25" customHeight="1" x14ac:dyDescent="0.3">
      <c r="A1916">
        <v>1260599</v>
      </c>
      <c r="B1916" t="s">
        <v>7015</v>
      </c>
      <c r="C1916" s="1" t="s">
        <v>7016</v>
      </c>
      <c r="D1916" t="s">
        <v>11</v>
      </c>
      <c r="E1916">
        <v>2</v>
      </c>
      <c r="F1916">
        <v>2</v>
      </c>
      <c r="G1916">
        <v>41</v>
      </c>
      <c r="H1916" s="2">
        <v>44265.88890046296</v>
      </c>
    </row>
    <row r="1917" spans="1:8" ht="14.25" customHeight="1" x14ac:dyDescent="0.3">
      <c r="A1917">
        <v>1255143</v>
      </c>
      <c r="B1917" t="s">
        <v>7017</v>
      </c>
      <c r="C1917" s="1" t="s">
        <v>7018</v>
      </c>
      <c r="D1917" t="s">
        <v>24</v>
      </c>
      <c r="E1917">
        <v>1</v>
      </c>
      <c r="F1917">
        <v>2</v>
      </c>
      <c r="G1917">
        <v>41</v>
      </c>
      <c r="H1917" s="2">
        <v>44266.679930555554</v>
      </c>
    </row>
    <row r="1918" spans="1:8" ht="14.25" customHeight="1" x14ac:dyDescent="0.3">
      <c r="A1918">
        <v>1270170</v>
      </c>
      <c r="B1918" t="s">
        <v>7019</v>
      </c>
      <c r="C1918" s="1" t="s">
        <v>7020</v>
      </c>
      <c r="D1918" t="s">
        <v>11</v>
      </c>
      <c r="E1918">
        <v>1</v>
      </c>
      <c r="F1918">
        <v>1</v>
      </c>
      <c r="G1918">
        <v>43</v>
      </c>
      <c r="H1918" s="2">
        <v>44266.680821759262</v>
      </c>
    </row>
    <row r="1919" spans="1:8" ht="14.25" customHeight="1" x14ac:dyDescent="0.3">
      <c r="A1919">
        <v>1248877</v>
      </c>
      <c r="B1919" t="e">
        <f>- security issue with control and rdss</f>
        <v>#NAME?</v>
      </c>
      <c r="C1919" s="1" t="s">
        <v>7021</v>
      </c>
      <c r="D1919" t="s">
        <v>24</v>
      </c>
      <c r="E1919">
        <v>3</v>
      </c>
      <c r="F1919">
        <v>2</v>
      </c>
      <c r="G1919">
        <v>43</v>
      </c>
      <c r="H1919" s="2">
        <v>44266.681435185186</v>
      </c>
    </row>
    <row r="1920" spans="1:8" ht="14.25" customHeight="1" x14ac:dyDescent="0.3">
      <c r="A1920">
        <v>1268781</v>
      </c>
      <c r="B1920" t="s">
        <v>7022</v>
      </c>
      <c r="C1920" s="1" t="s">
        <v>7023</v>
      </c>
      <c r="D1920" t="s">
        <v>11</v>
      </c>
      <c r="E1920">
        <v>1</v>
      </c>
      <c r="F1920">
        <v>2</v>
      </c>
      <c r="G1920">
        <v>41</v>
      </c>
      <c r="H1920" s="2">
        <v>44266.682372685187</v>
      </c>
    </row>
    <row r="1921" spans="1:8" ht="14.25" customHeight="1" x14ac:dyDescent="0.3">
      <c r="A1921">
        <v>1256068</v>
      </c>
      <c r="B1921" t="s">
        <v>7024</v>
      </c>
      <c r="C1921" s="1" t="s">
        <v>7025</v>
      </c>
      <c r="D1921" t="s">
        <v>11</v>
      </c>
      <c r="E1921">
        <v>3</v>
      </c>
      <c r="F1921">
        <v>2</v>
      </c>
      <c r="G1921">
        <v>41</v>
      </c>
      <c r="H1921" s="2">
        <v>44271.617673611108</v>
      </c>
    </row>
    <row r="1922" spans="1:8" ht="14.25" customHeight="1" x14ac:dyDescent="0.3">
      <c r="A1922">
        <v>1268012</v>
      </c>
      <c r="B1922" t="e">
        <f>- scan to email not working</f>
        <v>#NAME?</v>
      </c>
      <c r="C1922" s="1" t="s">
        <v>7026</v>
      </c>
      <c r="D1922" t="s">
        <v>11</v>
      </c>
      <c r="E1922">
        <v>1</v>
      </c>
      <c r="F1922">
        <v>2</v>
      </c>
      <c r="G1922">
        <v>41</v>
      </c>
      <c r="H1922" s="2">
        <v>44271.619375000002</v>
      </c>
    </row>
    <row r="1923" spans="1:8" ht="14.25" customHeight="1" x14ac:dyDescent="0.3">
      <c r="A1923">
        <v>1242283</v>
      </c>
      <c r="B1923" t="e">
        <f>- printing problem</f>
        <v>#NAME?</v>
      </c>
      <c r="C1923" t="s">
        <v>7027</v>
      </c>
      <c r="D1923" t="s">
        <v>11</v>
      </c>
      <c r="E1923">
        <v>2</v>
      </c>
      <c r="F1923">
        <v>2</v>
      </c>
      <c r="G1923">
        <v>41</v>
      </c>
      <c r="H1923" s="2">
        <v>44271.620428240742</v>
      </c>
    </row>
    <row r="1924" spans="1:8" ht="14.25" customHeight="1" x14ac:dyDescent="0.3">
      <c r="A1924">
        <v>1272347</v>
      </c>
      <c r="B1924" t="e">
        <f>- copitrak down</f>
        <v>#NAME?</v>
      </c>
      <c r="C1924" s="1" t="s">
        <v>7028</v>
      </c>
      <c r="D1924" t="s">
        <v>11</v>
      </c>
      <c r="E1924">
        <v>3</v>
      </c>
      <c r="F1924">
        <v>2</v>
      </c>
      <c r="G1924">
        <v>41</v>
      </c>
      <c r="H1924" s="2">
        <v>44271.621145833335</v>
      </c>
    </row>
    <row r="1925" spans="1:8" ht="14.25" customHeight="1" x14ac:dyDescent="0.3">
      <c r="A1925">
        <v>1258886</v>
      </c>
      <c r="B1925" t="s">
        <v>7029</v>
      </c>
      <c r="C1925" s="1" t="s">
        <v>7030</v>
      </c>
      <c r="D1925" t="s">
        <v>24</v>
      </c>
      <c r="E1925">
        <v>2</v>
      </c>
      <c r="F1925">
        <v>1</v>
      </c>
      <c r="G1925">
        <v>41</v>
      </c>
      <c r="H1925" s="2">
        <v>44271.622372685182</v>
      </c>
    </row>
    <row r="1926" spans="1:8" ht="14.25" customHeight="1" x14ac:dyDescent="0.3">
      <c r="A1926">
        <v>1234535</v>
      </c>
      <c r="B1926" t="s">
        <v>7031</v>
      </c>
      <c r="C1926" s="1" t="s">
        <v>7032</v>
      </c>
      <c r="D1926" t="s">
        <v>11</v>
      </c>
      <c r="E1926">
        <v>3</v>
      </c>
      <c r="F1926">
        <v>2</v>
      </c>
      <c r="G1926">
        <v>41</v>
      </c>
      <c r="H1926" s="2">
        <v>44271.630983796298</v>
      </c>
    </row>
    <row r="1927" spans="1:8" ht="14.25" customHeight="1" x14ac:dyDescent="0.3">
      <c r="A1927">
        <v>1236638</v>
      </c>
      <c r="B1927" t="s">
        <v>7033</v>
      </c>
      <c r="C1927" s="1" t="s">
        <v>7034</v>
      </c>
      <c r="D1927" t="s">
        <v>11</v>
      </c>
      <c r="E1927">
        <v>3</v>
      </c>
      <c r="F1927">
        <v>2</v>
      </c>
      <c r="G1927">
        <v>41</v>
      </c>
      <c r="H1927" s="2">
        <v>44271.63212962963</v>
      </c>
    </row>
    <row r="1928" spans="1:8" ht="14.25" customHeight="1" x14ac:dyDescent="0.3">
      <c r="A1928">
        <v>1258715</v>
      </c>
      <c r="B1928" t="s">
        <v>7035</v>
      </c>
      <c r="C1928" s="1" t="s">
        <v>7036</v>
      </c>
      <c r="D1928" t="s">
        <v>11</v>
      </c>
      <c r="E1928">
        <v>1</v>
      </c>
      <c r="F1928">
        <v>2</v>
      </c>
      <c r="G1928">
        <v>43</v>
      </c>
      <c r="H1928" s="2">
        <v>44271.632638888892</v>
      </c>
    </row>
    <row r="1929" spans="1:8" ht="14.25" customHeight="1" x14ac:dyDescent="0.3">
      <c r="A1929">
        <v>1264396</v>
      </c>
      <c r="B1929" t="s">
        <v>7037</v>
      </c>
      <c r="C1929" s="1" t="s">
        <v>7038</v>
      </c>
      <c r="D1929" t="s">
        <v>11</v>
      </c>
      <c r="E1929">
        <v>2</v>
      </c>
      <c r="F1929">
        <v>2</v>
      </c>
      <c r="G1929">
        <v>41</v>
      </c>
      <c r="H1929" s="2">
        <v>44271.634039351855</v>
      </c>
    </row>
    <row r="1930" spans="1:8" ht="14.25" customHeight="1" x14ac:dyDescent="0.3">
      <c r="A1930">
        <v>1251884</v>
      </c>
      <c r="B1930" t="e">
        <f>- no internet</f>
        <v>#NAME?</v>
      </c>
      <c r="C1930" s="1" t="s">
        <v>7039</v>
      </c>
      <c r="D1930" t="s">
        <v>11</v>
      </c>
      <c r="E1930">
        <v>1</v>
      </c>
      <c r="F1930">
        <v>3</v>
      </c>
      <c r="G1930">
        <v>41</v>
      </c>
      <c r="H1930" s="2">
        <v>44271.634398148148</v>
      </c>
    </row>
    <row r="1931" spans="1:8" ht="14.25" customHeight="1" x14ac:dyDescent="0.3">
      <c r="A1931">
        <v>1234919</v>
      </c>
      <c r="B1931" t="s">
        <v>7040</v>
      </c>
      <c r="C1931" s="1" t="s">
        <v>7041</v>
      </c>
      <c r="D1931" t="s">
        <v>11</v>
      </c>
      <c r="E1931">
        <v>3</v>
      </c>
      <c r="F1931">
        <v>2</v>
      </c>
      <c r="G1931">
        <v>41</v>
      </c>
      <c r="H1931" s="2">
        <v>44271.634513888886</v>
      </c>
    </row>
    <row r="1932" spans="1:8" ht="14.25" customHeight="1" x14ac:dyDescent="0.3">
      <c r="A1932">
        <v>1242149</v>
      </c>
      <c r="B1932" t="s">
        <v>7042</v>
      </c>
      <c r="C1932" s="1" t="s">
        <v>7043</v>
      </c>
      <c r="D1932" t="s">
        <v>11</v>
      </c>
      <c r="E1932">
        <v>3</v>
      </c>
      <c r="F1932">
        <v>2</v>
      </c>
      <c r="G1932">
        <v>41</v>
      </c>
      <c r="H1932" s="2">
        <v>44271.635821759257</v>
      </c>
    </row>
    <row r="1933" spans="1:8" ht="14.25" customHeight="1" x14ac:dyDescent="0.3">
      <c r="A1933">
        <v>1250787</v>
      </c>
      <c r="B1933" t="s">
        <v>7044</v>
      </c>
      <c r="C1933" s="1" t="s">
        <v>7045</v>
      </c>
      <c r="D1933" t="s">
        <v>11</v>
      </c>
      <c r="E1933">
        <v>3</v>
      </c>
      <c r="F1933">
        <v>2</v>
      </c>
      <c r="G1933">
        <v>41</v>
      </c>
      <c r="H1933" s="2">
        <v>44271.974490740744</v>
      </c>
    </row>
    <row r="1934" spans="1:8" ht="14.25" customHeight="1" x14ac:dyDescent="0.3">
      <c r="A1934">
        <v>1246667</v>
      </c>
      <c r="B1934" t="s">
        <v>7046</v>
      </c>
      <c r="C1934" s="1" t="s">
        <v>7047</v>
      </c>
      <c r="D1934" t="s">
        <v>11</v>
      </c>
      <c r="E1934">
        <v>1</v>
      </c>
      <c r="F1934">
        <v>2</v>
      </c>
      <c r="G1934">
        <v>41</v>
      </c>
      <c r="H1934" s="2">
        <v>44271.974780092591</v>
      </c>
    </row>
    <row r="1935" spans="1:8" ht="14.25" customHeight="1" x14ac:dyDescent="0.3">
      <c r="A1935">
        <v>1317171</v>
      </c>
      <c r="B1935" t="s">
        <v>7048</v>
      </c>
      <c r="C1935" s="1" t="s">
        <v>7049</v>
      </c>
      <c r="D1935" t="s">
        <v>11</v>
      </c>
      <c r="E1935">
        <v>1</v>
      </c>
      <c r="F1935">
        <v>2</v>
      </c>
      <c r="G1935">
        <v>43</v>
      </c>
      <c r="H1935" s="2">
        <v>44271.97583333333</v>
      </c>
    </row>
    <row r="1936" spans="1:8" ht="14.25" customHeight="1" x14ac:dyDescent="0.3">
      <c r="A1936">
        <v>1296477</v>
      </c>
      <c r="B1936" t="s">
        <v>7050</v>
      </c>
      <c r="C1936" s="1" t="s">
        <v>7051</v>
      </c>
      <c r="D1936" t="s">
        <v>11</v>
      </c>
      <c r="E1936">
        <v>2</v>
      </c>
      <c r="F1936">
        <v>2</v>
      </c>
      <c r="G1936">
        <v>41</v>
      </c>
      <c r="H1936" s="2">
        <v>44271.976307870369</v>
      </c>
    </row>
    <row r="1937" spans="1:8" ht="14.25" customHeight="1" x14ac:dyDescent="0.3">
      <c r="A1937">
        <v>1293257</v>
      </c>
      <c r="B1937" t="s">
        <v>7052</v>
      </c>
      <c r="C1937" s="1" t="s">
        <v>7053</v>
      </c>
      <c r="D1937" t="s">
        <v>24</v>
      </c>
      <c r="E1937">
        <v>3</v>
      </c>
      <c r="F1937">
        <v>2</v>
      </c>
      <c r="G1937">
        <v>43</v>
      </c>
      <c r="H1937" s="2">
        <v>44271.977407407408</v>
      </c>
    </row>
    <row r="1938" spans="1:8" ht="14.25" customHeight="1" x14ac:dyDescent="0.3">
      <c r="A1938">
        <v>1295027</v>
      </c>
      <c r="B1938" t="e">
        <f>- WEB3 server ftp not connecting</f>
        <v>#NAME?</v>
      </c>
      <c r="C1938" s="1" t="s">
        <v>7054</v>
      </c>
      <c r="D1938" t="s">
        <v>11</v>
      </c>
      <c r="E1938">
        <v>2</v>
      </c>
      <c r="F1938">
        <v>2</v>
      </c>
      <c r="G1938">
        <v>41</v>
      </c>
      <c r="H1938" s="2">
        <v>44271.978101851855</v>
      </c>
    </row>
    <row r="1939" spans="1:8" ht="14.25" customHeight="1" x14ac:dyDescent="0.3">
      <c r="A1939">
        <v>1300522</v>
      </c>
      <c r="B1939" t="e">
        <f>- carya - expand drive</f>
        <v>#NAME?</v>
      </c>
      <c r="C1939" s="1" t="s">
        <v>7055</v>
      </c>
      <c r="D1939" t="s">
        <v>24</v>
      </c>
      <c r="E1939">
        <v>3</v>
      </c>
      <c r="F1939">
        <v>2</v>
      </c>
      <c r="G1939">
        <v>43</v>
      </c>
      <c r="H1939" s="2">
        <v>44271.978356481479</v>
      </c>
    </row>
    <row r="1940" spans="1:8" ht="14.25" customHeight="1" x14ac:dyDescent="0.3">
      <c r="A1940">
        <v>1311223</v>
      </c>
      <c r="B1940" t="s">
        <v>7056</v>
      </c>
      <c r="C1940" s="1" t="s">
        <v>7057</v>
      </c>
      <c r="D1940" t="s">
        <v>11</v>
      </c>
      <c r="E1940">
        <v>3</v>
      </c>
      <c r="F1940">
        <v>2</v>
      </c>
      <c r="G1940">
        <v>43</v>
      </c>
      <c r="H1940" s="2">
        <v>44271.979444444441</v>
      </c>
    </row>
    <row r="1941" spans="1:8" ht="14.25" customHeight="1" x14ac:dyDescent="0.3">
      <c r="A1941">
        <v>1313561</v>
      </c>
      <c r="B1941" t="s">
        <v>7058</v>
      </c>
      <c r="C1941" s="1" t="s">
        <v>7059</v>
      </c>
      <c r="D1941" t="s">
        <v>24</v>
      </c>
      <c r="E1941">
        <v>3</v>
      </c>
      <c r="F1941">
        <v>2</v>
      </c>
      <c r="G1941">
        <v>43</v>
      </c>
      <c r="H1941" s="2">
        <v>44271.979687500003</v>
      </c>
    </row>
    <row r="1942" spans="1:8" ht="14.25" customHeight="1" x14ac:dyDescent="0.3">
      <c r="A1942">
        <v>1299931</v>
      </c>
      <c r="B1942" t="s">
        <v>7060</v>
      </c>
      <c r="C1942" s="1" t="s">
        <v>7061</v>
      </c>
      <c r="D1942" t="s">
        <v>11</v>
      </c>
      <c r="E1942">
        <v>1</v>
      </c>
      <c r="F1942">
        <v>2</v>
      </c>
      <c r="G1942">
        <v>41</v>
      </c>
      <c r="H1942" s="2">
        <v>44271.980069444442</v>
      </c>
    </row>
    <row r="1943" spans="1:8" ht="14.25" customHeight="1" x14ac:dyDescent="0.3">
      <c r="A1943">
        <v>1315178</v>
      </c>
      <c r="B1943" t="s">
        <v>7062</v>
      </c>
      <c r="C1943" s="1" t="s">
        <v>7063</v>
      </c>
      <c r="D1943" t="s">
        <v>11</v>
      </c>
      <c r="E1943">
        <v>2</v>
      </c>
      <c r="F1943">
        <v>2</v>
      </c>
      <c r="G1943">
        <v>41</v>
      </c>
      <c r="H1943" s="2">
        <v>44271.980624999997</v>
      </c>
    </row>
    <row r="1944" spans="1:8" ht="14.25" customHeight="1" x14ac:dyDescent="0.3">
      <c r="A1944">
        <v>1314272</v>
      </c>
      <c r="B1944" t="e">
        <f>- virtual machine has disk snapshots for a long time</f>
        <v>#NAME?</v>
      </c>
      <c r="C1944" s="1" t="s">
        <v>7064</v>
      </c>
      <c r="D1944" t="s">
        <v>24</v>
      </c>
      <c r="E1944">
        <v>3</v>
      </c>
      <c r="F1944">
        <v>2</v>
      </c>
      <c r="G1944">
        <v>43</v>
      </c>
      <c r="H1944" s="2">
        <v>44271.980949074074</v>
      </c>
    </row>
    <row r="1945" spans="1:8" ht="14.25" customHeight="1" x14ac:dyDescent="0.3">
      <c r="A1945">
        <v>1300632</v>
      </c>
      <c r="B1945" t="e">
        <f>- need hosting info for drreidfriesen.com</f>
        <v>#NAME?</v>
      </c>
      <c r="C1945" s="1" t="s">
        <v>7065</v>
      </c>
      <c r="D1945" t="s">
        <v>24</v>
      </c>
      <c r="E1945">
        <v>3</v>
      </c>
      <c r="F1945">
        <v>3</v>
      </c>
      <c r="G1945">
        <v>43</v>
      </c>
      <c r="H1945" s="2">
        <v>44271.981689814813</v>
      </c>
    </row>
    <row r="1946" spans="1:8" ht="14.25" customHeight="1" x14ac:dyDescent="0.3">
      <c r="A1946">
        <v>1295196</v>
      </c>
      <c r="B1946" t="e">
        <f>- gabriela lockwood access changes</f>
        <v>#NAME?</v>
      </c>
      <c r="C1946" s="1" t="s">
        <v>7066</v>
      </c>
      <c r="D1946" t="s">
        <v>11</v>
      </c>
      <c r="E1946">
        <v>1</v>
      </c>
      <c r="F1946">
        <v>1</v>
      </c>
      <c r="G1946">
        <v>43</v>
      </c>
      <c r="H1946" s="2">
        <v>44271.982175925928</v>
      </c>
    </row>
    <row r="1947" spans="1:8" ht="14.25" customHeight="1" x14ac:dyDescent="0.3">
      <c r="A1947">
        <v>1313746</v>
      </c>
      <c r="B1947" t="s">
        <v>7067</v>
      </c>
      <c r="C1947" s="1" t="s">
        <v>7068</v>
      </c>
      <c r="D1947" t="s">
        <v>11</v>
      </c>
      <c r="E1947">
        <v>1</v>
      </c>
      <c r="F1947">
        <v>2</v>
      </c>
      <c r="G1947">
        <v>41</v>
      </c>
      <c r="H1947" s="2">
        <v>44279.704826388886</v>
      </c>
    </row>
    <row r="1948" spans="1:8" ht="14.25" customHeight="1" x14ac:dyDescent="0.3">
      <c r="A1948">
        <v>1295856</v>
      </c>
      <c r="B1948" t="s">
        <v>7069</v>
      </c>
      <c r="C1948" s="1" t="s">
        <v>7070</v>
      </c>
      <c r="D1948" t="s">
        <v>24</v>
      </c>
      <c r="E1948">
        <v>3</v>
      </c>
      <c r="F1948">
        <v>1</v>
      </c>
      <c r="G1948">
        <v>43</v>
      </c>
      <c r="H1948" s="2">
        <v>44279.708495370367</v>
      </c>
    </row>
    <row r="1949" spans="1:8" ht="14.25" customHeight="1" x14ac:dyDescent="0.3">
      <c r="A1949">
        <v>1299925</v>
      </c>
      <c r="B1949" t="s">
        <v>7071</v>
      </c>
      <c r="C1949" s="1" t="s">
        <v>7072</v>
      </c>
      <c r="D1949" t="s">
        <v>11</v>
      </c>
      <c r="E1949">
        <v>2</v>
      </c>
      <c r="F1949">
        <v>1</v>
      </c>
      <c r="G1949">
        <v>41</v>
      </c>
      <c r="H1949" s="2">
        <v>44279.709768518522</v>
      </c>
    </row>
    <row r="1950" spans="1:8" ht="14.25" customHeight="1" x14ac:dyDescent="0.3">
      <c r="A1950">
        <v>1299349</v>
      </c>
      <c r="B1950" t="s">
        <v>7073</v>
      </c>
      <c r="C1950" s="1" t="s">
        <v>7074</v>
      </c>
      <c r="D1950" t="s">
        <v>11</v>
      </c>
      <c r="E1950">
        <v>3</v>
      </c>
      <c r="F1950">
        <v>2</v>
      </c>
      <c r="G1950">
        <v>41</v>
      </c>
      <c r="H1950" s="2">
        <v>44279.710590277777</v>
      </c>
    </row>
    <row r="1951" spans="1:8" ht="14.25" customHeight="1" x14ac:dyDescent="0.3">
      <c r="A1951">
        <v>1305395</v>
      </c>
      <c r="B1951" t="s">
        <v>3714</v>
      </c>
      <c r="C1951" s="1" t="s">
        <v>4335</v>
      </c>
      <c r="D1951" t="s">
        <v>11</v>
      </c>
      <c r="E1951">
        <v>3</v>
      </c>
      <c r="F1951">
        <v>3</v>
      </c>
      <c r="G1951">
        <v>41</v>
      </c>
      <c r="H1951" s="2">
        <v>44279.711030092592</v>
      </c>
    </row>
    <row r="1952" spans="1:8" ht="14.25" customHeight="1" x14ac:dyDescent="0.3">
      <c r="A1952">
        <v>1313096</v>
      </c>
      <c r="B1952" t="s">
        <v>7075</v>
      </c>
      <c r="C1952" s="1" t="s">
        <v>7076</v>
      </c>
      <c r="D1952" t="s">
        <v>11</v>
      </c>
      <c r="E1952">
        <v>3</v>
      </c>
      <c r="F1952">
        <v>1</v>
      </c>
      <c r="G1952">
        <v>43</v>
      </c>
      <c r="H1952" s="2">
        <v>44279.711597222224</v>
      </c>
    </row>
    <row r="1953" spans="1:8" ht="14.25" customHeight="1" x14ac:dyDescent="0.3">
      <c r="A1953">
        <v>1302790</v>
      </c>
      <c r="B1953" t="s">
        <v>7077</v>
      </c>
      <c r="C1953" s="1" t="s">
        <v>7078</v>
      </c>
      <c r="D1953" t="s">
        <v>11</v>
      </c>
      <c r="E1953">
        <v>2</v>
      </c>
      <c r="F1953">
        <v>3</v>
      </c>
      <c r="G1953">
        <v>43</v>
      </c>
      <c r="H1953" s="2">
        <v>44279.712199074071</v>
      </c>
    </row>
    <row r="1954" spans="1:8" ht="14.25" customHeight="1" x14ac:dyDescent="0.3">
      <c r="A1954">
        <v>1294548</v>
      </c>
      <c r="B1954" t="s">
        <v>7079</v>
      </c>
      <c r="C1954" s="1" t="s">
        <v>7080</v>
      </c>
      <c r="D1954" t="s">
        <v>24</v>
      </c>
      <c r="E1954">
        <v>2</v>
      </c>
      <c r="F1954">
        <v>2</v>
      </c>
      <c r="G1954">
        <v>41</v>
      </c>
      <c r="H1954" s="2">
        <v>44279.712800925925</v>
      </c>
    </row>
    <row r="1955" spans="1:8" ht="14.25" customHeight="1" x14ac:dyDescent="0.3">
      <c r="A1955">
        <v>1311620</v>
      </c>
      <c r="B1955" t="s">
        <v>7081</v>
      </c>
      <c r="C1955" s="1" t="s">
        <v>7082</v>
      </c>
      <c r="D1955" t="s">
        <v>11</v>
      </c>
      <c r="E1955">
        <v>1</v>
      </c>
      <c r="F1955">
        <v>2</v>
      </c>
      <c r="G1955">
        <v>43</v>
      </c>
      <c r="H1955" s="2">
        <v>44279.713310185187</v>
      </c>
    </row>
    <row r="1956" spans="1:8" ht="14.25" customHeight="1" x14ac:dyDescent="0.3">
      <c r="A1956">
        <v>1283504</v>
      </c>
      <c r="B1956" t="s">
        <v>7083</v>
      </c>
      <c r="C1956" s="1" t="s">
        <v>7084</v>
      </c>
      <c r="D1956" t="s">
        <v>24</v>
      </c>
      <c r="E1956">
        <v>3</v>
      </c>
      <c r="F1956">
        <v>1</v>
      </c>
      <c r="G1956">
        <v>43</v>
      </c>
      <c r="H1956" s="2">
        <v>44279.713622685187</v>
      </c>
    </row>
    <row r="1957" spans="1:8" ht="14.25" customHeight="1" x14ac:dyDescent="0.3">
      <c r="A1957">
        <v>1281391</v>
      </c>
      <c r="B1957" t="e">
        <f>- nc-dske-BE1 - expand 'c': drive</f>
        <v>#NAME?</v>
      </c>
      <c r="C1957" s="1" t="s">
        <v>7085</v>
      </c>
      <c r="D1957" t="s">
        <v>24</v>
      </c>
      <c r="E1957">
        <v>3</v>
      </c>
      <c r="F1957">
        <v>1</v>
      </c>
      <c r="G1957">
        <v>43</v>
      </c>
      <c r="H1957" s="2">
        <v>44279.713773148149</v>
      </c>
    </row>
    <row r="1958" spans="1:8" ht="14.25" customHeight="1" x14ac:dyDescent="0.3">
      <c r="A1958">
        <v>1281000</v>
      </c>
      <c r="B1958" t="e">
        <f>- nddc-FS2 - expand p: drive</f>
        <v>#NAME?</v>
      </c>
      <c r="C1958" s="1" t="s">
        <v>7086</v>
      </c>
      <c r="D1958" t="s">
        <v>24</v>
      </c>
      <c r="E1958">
        <v>3</v>
      </c>
      <c r="F1958">
        <v>1</v>
      </c>
      <c r="G1958">
        <v>43</v>
      </c>
      <c r="H1958" s="2">
        <v>44279.714131944442</v>
      </c>
    </row>
    <row r="1959" spans="1:8" ht="14.25" customHeight="1" x14ac:dyDescent="0.3">
      <c r="A1959">
        <v>1280536</v>
      </c>
      <c r="B1959" t="e">
        <f>- blue circle ins. - nc-bci-db02\e: drive expansion</f>
        <v>#NAME?</v>
      </c>
      <c r="C1959" s="1" t="s">
        <v>7087</v>
      </c>
      <c r="D1959" t="s">
        <v>24</v>
      </c>
      <c r="E1959">
        <v>3</v>
      </c>
      <c r="F1959">
        <v>1</v>
      </c>
      <c r="G1959">
        <v>43</v>
      </c>
      <c r="H1959" s="2">
        <v>44279.714317129627</v>
      </c>
    </row>
    <row r="1960" spans="1:8" ht="14.25" customHeight="1" x14ac:dyDescent="0.3">
      <c r="A1960">
        <v>1279870</v>
      </c>
      <c r="B1960" t="s">
        <v>7088</v>
      </c>
      <c r="C1960" s="1" t="s">
        <v>7089</v>
      </c>
      <c r="D1960" t="s">
        <v>11</v>
      </c>
      <c r="E1960">
        <v>2</v>
      </c>
      <c r="F1960">
        <v>1</v>
      </c>
      <c r="G1960">
        <v>43</v>
      </c>
      <c r="H1960" s="2">
        <v>44279.714791666665</v>
      </c>
    </row>
    <row r="1961" spans="1:8" ht="14.25" customHeight="1" x14ac:dyDescent="0.3">
      <c r="A1961">
        <v>1303841</v>
      </c>
      <c r="B1961" t="s">
        <v>7090</v>
      </c>
      <c r="C1961" s="1" t="s">
        <v>7091</v>
      </c>
      <c r="D1961" t="s">
        <v>11</v>
      </c>
      <c r="E1961">
        <v>2</v>
      </c>
      <c r="F1961">
        <v>2</v>
      </c>
      <c r="G1961">
        <v>41</v>
      </c>
      <c r="H1961" s="2">
        <v>44279.71503472222</v>
      </c>
    </row>
    <row r="1962" spans="1:8" ht="14.25" customHeight="1" x14ac:dyDescent="0.3">
      <c r="A1962">
        <v>1293189</v>
      </c>
      <c r="B1962" t="s">
        <v>7092</v>
      </c>
      <c r="C1962" s="1" t="s">
        <v>7093</v>
      </c>
      <c r="D1962" t="s">
        <v>11</v>
      </c>
      <c r="E1962">
        <v>3</v>
      </c>
      <c r="F1962">
        <v>2</v>
      </c>
      <c r="G1962">
        <v>41</v>
      </c>
      <c r="H1962" s="2">
        <v>44279.715578703705</v>
      </c>
    </row>
    <row r="1963" spans="1:8" ht="14.25" customHeight="1" x14ac:dyDescent="0.3">
      <c r="A1963">
        <v>1311683</v>
      </c>
      <c r="B1963" t="e">
        <f>- laptop status</f>
        <v>#NAME?</v>
      </c>
      <c r="C1963" s="1" t="s">
        <v>7094</v>
      </c>
      <c r="D1963" t="s">
        <v>24</v>
      </c>
      <c r="E1963">
        <v>1</v>
      </c>
      <c r="F1963">
        <v>2</v>
      </c>
      <c r="G1963">
        <v>43</v>
      </c>
      <c r="H1963" s="2">
        <v>44279.715787037036</v>
      </c>
    </row>
    <row r="1964" spans="1:8" ht="14.25" customHeight="1" x14ac:dyDescent="0.3">
      <c r="A1964">
        <v>1280404</v>
      </c>
      <c r="B1964" t="e">
        <f>- cea, expand p: drive</f>
        <v>#NAME?</v>
      </c>
      <c r="C1964" s="1" t="s">
        <v>7095</v>
      </c>
      <c r="D1964" t="s">
        <v>24</v>
      </c>
      <c r="E1964">
        <v>3</v>
      </c>
      <c r="F1964">
        <v>1</v>
      </c>
      <c r="G1964">
        <v>43</v>
      </c>
      <c r="H1964" s="2">
        <v>44279.716041666667</v>
      </c>
    </row>
    <row r="1965" spans="1:8" ht="14.25" customHeight="1" x14ac:dyDescent="0.3">
      <c r="A1965">
        <v>1295799</v>
      </c>
      <c r="B1965" t="s">
        <v>7096</v>
      </c>
      <c r="C1965" s="1" t="s">
        <v>7097</v>
      </c>
      <c r="D1965" t="s">
        <v>11</v>
      </c>
      <c r="E1965">
        <v>1</v>
      </c>
      <c r="F1965">
        <v>3</v>
      </c>
      <c r="G1965">
        <v>41</v>
      </c>
      <c r="H1965" s="2">
        <v>44279.71671296296</v>
      </c>
    </row>
    <row r="1966" spans="1:8" ht="14.25" customHeight="1" x14ac:dyDescent="0.3">
      <c r="A1966">
        <v>1303359</v>
      </c>
      <c r="B1966" t="s">
        <v>7098</v>
      </c>
      <c r="C1966" s="1" t="s">
        <v>7099</v>
      </c>
      <c r="D1966" t="s">
        <v>11</v>
      </c>
      <c r="E1966">
        <v>1</v>
      </c>
      <c r="F1966">
        <v>2</v>
      </c>
      <c r="G1966">
        <v>41</v>
      </c>
      <c r="H1966" s="2">
        <v>44279.717013888891</v>
      </c>
    </row>
    <row r="1967" spans="1:8" ht="14.25" customHeight="1" x14ac:dyDescent="0.3">
      <c r="A1967">
        <v>1302365</v>
      </c>
      <c r="B1967" t="e">
        <f>- calgary office server fan going crazy</f>
        <v>#NAME?</v>
      </c>
      <c r="C1967" s="1" t="s">
        <v>7100</v>
      </c>
      <c r="D1967" t="s">
        <v>24</v>
      </c>
      <c r="E1967">
        <v>2</v>
      </c>
      <c r="F1967">
        <v>1</v>
      </c>
      <c r="G1967">
        <v>41</v>
      </c>
      <c r="H1967" s="2">
        <v>44279.71733796296</v>
      </c>
    </row>
    <row r="1968" spans="1:8" ht="14.25" customHeight="1" x14ac:dyDescent="0.3">
      <c r="A1968">
        <v>1295996</v>
      </c>
      <c r="B1968" t="e">
        <f>- baymag missing from screenconnect access</f>
        <v>#NAME?</v>
      </c>
      <c r="C1968" s="1" t="s">
        <v>7101</v>
      </c>
      <c r="D1968" t="s">
        <v>24</v>
      </c>
      <c r="E1968">
        <v>3</v>
      </c>
      <c r="F1968">
        <v>2</v>
      </c>
      <c r="G1968">
        <v>41</v>
      </c>
      <c r="H1968" s="2">
        <v>44279.717777777776</v>
      </c>
    </row>
    <row r="1969" spans="1:8" ht="14.25" customHeight="1" x14ac:dyDescent="0.3">
      <c r="A1969">
        <v>1346561</v>
      </c>
      <c r="B1969" t="s">
        <v>7102</v>
      </c>
      <c r="C1969" s="1" t="s">
        <v>7103</v>
      </c>
      <c r="D1969" t="s">
        <v>11</v>
      </c>
      <c r="E1969">
        <v>1</v>
      </c>
      <c r="F1969">
        <v>1</v>
      </c>
      <c r="G1969">
        <v>36</v>
      </c>
      <c r="H1969" s="2">
        <v>44280.011574074073</v>
      </c>
    </row>
    <row r="1970" spans="1:8" ht="14.25" customHeight="1" x14ac:dyDescent="0.3">
      <c r="A1970">
        <v>1347127</v>
      </c>
      <c r="B1970" t="e">
        <f>- argus developer installation</f>
        <v>#NAME?</v>
      </c>
      <c r="C1970" s="1" t="s">
        <v>7104</v>
      </c>
      <c r="D1970" t="s">
        <v>11</v>
      </c>
      <c r="E1970">
        <v>1</v>
      </c>
      <c r="F1970">
        <v>2</v>
      </c>
      <c r="G1970">
        <v>43</v>
      </c>
      <c r="H1970" s="2">
        <v>44281.719826388886</v>
      </c>
    </row>
    <row r="1971" spans="1:8" ht="14.25" customHeight="1" x14ac:dyDescent="0.3">
      <c r="A1971">
        <v>1347099</v>
      </c>
      <c r="B1971" t="e">
        <f>- rds connection on work computer</f>
        <v>#NAME?</v>
      </c>
      <c r="C1971" s="1" t="s">
        <v>7105</v>
      </c>
      <c r="D1971" t="s">
        <v>24</v>
      </c>
      <c r="E1971">
        <v>1</v>
      </c>
      <c r="F1971">
        <v>3</v>
      </c>
      <c r="G1971">
        <v>41</v>
      </c>
      <c r="H1971" s="2">
        <v>44281.720324074071</v>
      </c>
    </row>
    <row r="1972" spans="1:8" ht="14.25" customHeight="1" x14ac:dyDescent="0.3">
      <c r="A1972">
        <v>1347076</v>
      </c>
      <c r="B1972" t="s">
        <v>6388</v>
      </c>
      <c r="C1972" s="1" t="s">
        <v>7106</v>
      </c>
      <c r="D1972" t="s">
        <v>11</v>
      </c>
      <c r="E1972">
        <v>1</v>
      </c>
      <c r="F1972">
        <v>1</v>
      </c>
      <c r="G1972">
        <v>43</v>
      </c>
      <c r="H1972" s="2">
        <v>44281.720868055556</v>
      </c>
    </row>
    <row r="1973" spans="1:8" ht="14.25" customHeight="1" x14ac:dyDescent="0.3">
      <c r="A1973">
        <v>1346479</v>
      </c>
      <c r="B1973" t="s">
        <v>7107</v>
      </c>
      <c r="C1973" s="1" t="s">
        <v>7108</v>
      </c>
      <c r="D1973" t="s">
        <v>11</v>
      </c>
      <c r="E1973">
        <v>1</v>
      </c>
      <c r="F1973">
        <v>1</v>
      </c>
      <c r="G1973">
        <v>43</v>
      </c>
      <c r="H1973" s="2">
        <v>44281.721087962964</v>
      </c>
    </row>
    <row r="1974" spans="1:8" ht="14.25" customHeight="1" x14ac:dyDescent="0.3">
      <c r="A1974">
        <v>1346497</v>
      </c>
      <c r="B1974" t="e">
        <f>- somethings wrong with pulse vet server updates</f>
        <v>#NAME?</v>
      </c>
      <c r="C1974" s="1" t="s">
        <v>7109</v>
      </c>
      <c r="D1974" t="s">
        <v>24</v>
      </c>
      <c r="E1974">
        <v>3</v>
      </c>
      <c r="F1974">
        <v>2</v>
      </c>
      <c r="G1974">
        <v>41</v>
      </c>
      <c r="H1974" s="2">
        <v>44281.721782407411</v>
      </c>
    </row>
    <row r="1975" spans="1:8" ht="14.25" customHeight="1" x14ac:dyDescent="0.3">
      <c r="A1975">
        <v>1346381</v>
      </c>
      <c r="B1975" t="s">
        <v>7110</v>
      </c>
      <c r="C1975" s="1" t="s">
        <v>7111</v>
      </c>
      <c r="D1975" t="s">
        <v>11</v>
      </c>
      <c r="E1975">
        <v>1</v>
      </c>
      <c r="F1975">
        <v>3</v>
      </c>
      <c r="G1975">
        <v>43</v>
      </c>
      <c r="H1975" s="2">
        <v>44281.722083333334</v>
      </c>
    </row>
    <row r="1976" spans="1:8" ht="14.25" customHeight="1" x14ac:dyDescent="0.3">
      <c r="A1976">
        <v>1346966</v>
      </c>
      <c r="B1976" t="s">
        <v>7112</v>
      </c>
      <c r="C1976" s="1" t="s">
        <v>7113</v>
      </c>
      <c r="D1976" t="s">
        <v>11</v>
      </c>
      <c r="E1976">
        <v>2</v>
      </c>
      <c r="F1976">
        <v>2</v>
      </c>
      <c r="G1976">
        <v>41</v>
      </c>
      <c r="H1976" s="2">
        <v>44281.722407407404</v>
      </c>
    </row>
    <row r="1977" spans="1:8" ht="14.25" customHeight="1" x14ac:dyDescent="0.3">
      <c r="A1977">
        <v>1346475</v>
      </c>
      <c r="B1977" t="s">
        <v>7114</v>
      </c>
      <c r="C1977" s="1" t="s">
        <v>7115</v>
      </c>
      <c r="D1977" t="s">
        <v>11</v>
      </c>
      <c r="E1977">
        <v>3</v>
      </c>
      <c r="F1977">
        <v>1</v>
      </c>
      <c r="G1977">
        <v>43</v>
      </c>
      <c r="H1977" s="2">
        <v>44281.7343287037</v>
      </c>
    </row>
    <row r="1978" spans="1:8" ht="14.25" customHeight="1" x14ac:dyDescent="0.3">
      <c r="A1978">
        <v>1346436</v>
      </c>
      <c r="B1978" t="s">
        <v>7116</v>
      </c>
      <c r="C1978" s="1" t="s">
        <v>7117</v>
      </c>
      <c r="D1978" t="s">
        <v>24</v>
      </c>
      <c r="E1978">
        <v>1</v>
      </c>
      <c r="F1978">
        <v>1</v>
      </c>
      <c r="G1978">
        <v>36</v>
      </c>
      <c r="H1978" s="2">
        <v>44281.734733796293</v>
      </c>
    </row>
    <row r="1979" spans="1:8" ht="14.25" customHeight="1" x14ac:dyDescent="0.3">
      <c r="A1979">
        <v>1347042</v>
      </c>
      <c r="B1979" t="s">
        <v>7118</v>
      </c>
      <c r="C1979" s="1" t="s">
        <v>7119</v>
      </c>
      <c r="D1979" t="s">
        <v>24</v>
      </c>
      <c r="E1979">
        <v>1</v>
      </c>
      <c r="F1979">
        <v>1</v>
      </c>
      <c r="G1979">
        <v>36</v>
      </c>
      <c r="H1979" s="2">
        <v>44281.734988425924</v>
      </c>
    </row>
    <row r="1980" spans="1:8" ht="14.25" customHeight="1" x14ac:dyDescent="0.3">
      <c r="A1980">
        <v>1346453</v>
      </c>
      <c r="B1980" t="s">
        <v>7120</v>
      </c>
      <c r="C1980" s="1" t="s">
        <v>7121</v>
      </c>
      <c r="D1980" t="s">
        <v>24</v>
      </c>
      <c r="E1980">
        <v>1</v>
      </c>
      <c r="F1980">
        <v>1</v>
      </c>
      <c r="G1980">
        <v>36</v>
      </c>
      <c r="H1980" s="2">
        <v>44281.741574074076</v>
      </c>
    </row>
    <row r="1981" spans="1:8" ht="14.25" customHeight="1" x14ac:dyDescent="0.3">
      <c r="A1981">
        <v>1345983</v>
      </c>
      <c r="B1981" t="s">
        <v>7122</v>
      </c>
      <c r="C1981" s="1" t="s">
        <v>7123</v>
      </c>
      <c r="D1981" t="s">
        <v>24</v>
      </c>
      <c r="E1981">
        <v>1</v>
      </c>
      <c r="F1981">
        <v>1</v>
      </c>
      <c r="G1981">
        <v>36</v>
      </c>
      <c r="H1981" s="2">
        <v>44281.741956018515</v>
      </c>
    </row>
    <row r="1982" spans="1:8" ht="14.25" customHeight="1" x14ac:dyDescent="0.3">
      <c r="A1982">
        <v>1347141</v>
      </c>
      <c r="B1982" t="s">
        <v>7124</v>
      </c>
      <c r="C1982" s="1" t="s">
        <v>7125</v>
      </c>
      <c r="D1982" t="s">
        <v>11</v>
      </c>
      <c r="E1982">
        <v>1</v>
      </c>
      <c r="F1982">
        <v>3</v>
      </c>
      <c r="G1982">
        <v>43</v>
      </c>
      <c r="H1982" s="2">
        <v>44281.7421875</v>
      </c>
    </row>
    <row r="1983" spans="1:8" ht="14.25" customHeight="1" x14ac:dyDescent="0.3">
      <c r="A1983">
        <v>1346698</v>
      </c>
      <c r="B1983" t="s">
        <v>7126</v>
      </c>
      <c r="C1983" s="1" t="s">
        <v>7127</v>
      </c>
      <c r="D1983" t="s">
        <v>11</v>
      </c>
      <c r="E1983">
        <v>3</v>
      </c>
      <c r="F1983">
        <v>1</v>
      </c>
      <c r="G1983">
        <v>43</v>
      </c>
      <c r="H1983" s="2">
        <v>44281.743634259263</v>
      </c>
    </row>
    <row r="1984" spans="1:8" ht="14.25" customHeight="1" x14ac:dyDescent="0.3">
      <c r="A1984">
        <v>1345990</v>
      </c>
      <c r="B1984" t="s">
        <v>7128</v>
      </c>
      <c r="C1984" s="1" t="s">
        <v>7129</v>
      </c>
      <c r="D1984" t="s">
        <v>24</v>
      </c>
      <c r="E1984">
        <v>1</v>
      </c>
      <c r="F1984">
        <v>1</v>
      </c>
      <c r="G1984">
        <v>36</v>
      </c>
      <c r="H1984" s="2">
        <v>44281.743958333333</v>
      </c>
    </row>
    <row r="1985" spans="1:8" ht="14.25" customHeight="1" x14ac:dyDescent="0.3">
      <c r="A1985">
        <v>1346244</v>
      </c>
      <c r="B1985" t="s">
        <v>4831</v>
      </c>
      <c r="C1985" t="s">
        <v>4832</v>
      </c>
      <c r="D1985" t="s">
        <v>1158</v>
      </c>
      <c r="E1985">
        <v>1</v>
      </c>
      <c r="F1985">
        <v>1</v>
      </c>
      <c r="G1985">
        <v>36</v>
      </c>
      <c r="H1985" s="2">
        <v>44281.744143518517</v>
      </c>
    </row>
    <row r="1986" spans="1:8" ht="14.25" customHeight="1" x14ac:dyDescent="0.3">
      <c r="A1986">
        <v>1346979</v>
      </c>
      <c r="B1986" t="e">
        <f>- unable to print</f>
        <v>#NAME?</v>
      </c>
      <c r="C1986" t="s">
        <v>7130</v>
      </c>
      <c r="D1986" t="s">
        <v>11</v>
      </c>
      <c r="E1986">
        <v>1</v>
      </c>
      <c r="F1986">
        <v>3</v>
      </c>
      <c r="G1986">
        <v>41</v>
      </c>
      <c r="H1986" s="2">
        <v>44281.744930555556</v>
      </c>
    </row>
    <row r="1987" spans="1:8" ht="14.25" customHeight="1" x14ac:dyDescent="0.3">
      <c r="A1987">
        <v>1345940</v>
      </c>
      <c r="B1987" t="s">
        <v>6501</v>
      </c>
      <c r="C1987" s="1" t="s">
        <v>7131</v>
      </c>
      <c r="D1987" t="s">
        <v>11</v>
      </c>
      <c r="E1987">
        <v>1</v>
      </c>
      <c r="F1987">
        <v>1</v>
      </c>
      <c r="G1987">
        <v>43</v>
      </c>
      <c r="H1987" s="2">
        <v>44281.894733796296</v>
      </c>
    </row>
    <row r="1988" spans="1:8" ht="14.25" customHeight="1" x14ac:dyDescent="0.3">
      <c r="A1988">
        <v>1347556</v>
      </c>
      <c r="B1988" t="e">
        <f>- password change issue</f>
        <v>#NAME?</v>
      </c>
      <c r="C1988" s="1" t="s">
        <v>7132</v>
      </c>
      <c r="D1988" t="s">
        <v>24</v>
      </c>
      <c r="E1988">
        <v>1</v>
      </c>
      <c r="F1988">
        <v>2</v>
      </c>
      <c r="G1988">
        <v>41</v>
      </c>
      <c r="H1988" s="2">
        <v>44281.89503472222</v>
      </c>
    </row>
    <row r="1989" spans="1:8" ht="14.25" customHeight="1" x14ac:dyDescent="0.3">
      <c r="A1989">
        <v>1345841</v>
      </c>
      <c r="B1989" t="e">
        <f>- tickets stuck in unset</f>
        <v>#NAME?</v>
      </c>
      <c r="C1989" s="1" t="s">
        <v>7133</v>
      </c>
      <c r="D1989" t="s">
        <v>24</v>
      </c>
      <c r="E1989">
        <v>1</v>
      </c>
      <c r="F1989">
        <v>2</v>
      </c>
      <c r="G1989">
        <v>41</v>
      </c>
      <c r="H1989" s="2">
        <v>44281.895543981482</v>
      </c>
    </row>
    <row r="1990" spans="1:8" ht="14.25" customHeight="1" x14ac:dyDescent="0.3">
      <c r="A1990">
        <v>1347506</v>
      </c>
      <c r="B1990" t="s">
        <v>7134</v>
      </c>
      <c r="C1990" s="1" t="s">
        <v>7135</v>
      </c>
      <c r="D1990" t="s">
        <v>11</v>
      </c>
      <c r="E1990">
        <v>1</v>
      </c>
      <c r="F1990">
        <v>3</v>
      </c>
      <c r="G1990">
        <v>41</v>
      </c>
      <c r="H1990" s="2">
        <v>44281.896192129629</v>
      </c>
    </row>
    <row r="1991" spans="1:8" ht="14.25" customHeight="1" x14ac:dyDescent="0.3">
      <c r="A1991">
        <v>1347616</v>
      </c>
      <c r="B1991" t="e">
        <f>- metis crossing wifi not connecting</f>
        <v>#NAME?</v>
      </c>
      <c r="C1991" s="1" t="s">
        <v>7136</v>
      </c>
      <c r="D1991" t="s">
        <v>11</v>
      </c>
      <c r="E1991">
        <v>2</v>
      </c>
      <c r="F1991">
        <v>3</v>
      </c>
      <c r="G1991">
        <v>41</v>
      </c>
      <c r="H1991" s="2">
        <v>44281.903495370374</v>
      </c>
    </row>
    <row r="1992" spans="1:8" ht="14.25" customHeight="1" x14ac:dyDescent="0.3">
      <c r="A1992">
        <v>1345734</v>
      </c>
      <c r="B1992" t="s">
        <v>7137</v>
      </c>
      <c r="C1992" s="1" t="s">
        <v>7138</v>
      </c>
      <c r="D1992" t="s">
        <v>11</v>
      </c>
      <c r="E1992">
        <v>3</v>
      </c>
      <c r="F1992">
        <v>1</v>
      </c>
      <c r="G1992">
        <v>43</v>
      </c>
      <c r="H1992" s="2">
        <v>44281.903680555559</v>
      </c>
    </row>
    <row r="1993" spans="1:8" ht="14.25" customHeight="1" x14ac:dyDescent="0.3">
      <c r="A1993">
        <v>1345977</v>
      </c>
      <c r="B1993" t="s">
        <v>7139</v>
      </c>
      <c r="C1993" s="1" t="s">
        <v>7140</v>
      </c>
      <c r="D1993" t="s">
        <v>11</v>
      </c>
      <c r="E1993">
        <v>1</v>
      </c>
      <c r="F1993">
        <v>1</v>
      </c>
      <c r="G1993">
        <v>36</v>
      </c>
      <c r="H1993" s="2">
        <v>44281.903981481482</v>
      </c>
    </row>
    <row r="1994" spans="1:8" ht="14.25" customHeight="1" x14ac:dyDescent="0.3">
      <c r="A1994">
        <v>1347055</v>
      </c>
      <c r="B1994" t="s">
        <v>7141</v>
      </c>
      <c r="C1994" s="1" t="s">
        <v>7142</v>
      </c>
      <c r="D1994" t="s">
        <v>11</v>
      </c>
      <c r="E1994">
        <v>1</v>
      </c>
      <c r="F1994">
        <v>2</v>
      </c>
      <c r="G1994">
        <v>43</v>
      </c>
      <c r="H1994" s="2">
        <v>44281.904953703706</v>
      </c>
    </row>
    <row r="1995" spans="1:8" ht="14.25" customHeight="1" x14ac:dyDescent="0.3">
      <c r="A1995">
        <v>1345367</v>
      </c>
      <c r="B1995" t="e">
        <f>- adobe keeps asking me to sign in</f>
        <v>#NAME?</v>
      </c>
      <c r="C1995" s="1" t="s">
        <v>7143</v>
      </c>
      <c r="D1995" t="s">
        <v>24</v>
      </c>
      <c r="E1995">
        <v>1</v>
      </c>
      <c r="F1995">
        <v>2</v>
      </c>
      <c r="G1995">
        <v>41</v>
      </c>
      <c r="H1995" s="2">
        <v>44281.956377314818</v>
      </c>
    </row>
    <row r="1996" spans="1:8" ht="14.25" customHeight="1" x14ac:dyDescent="0.3">
      <c r="A1996">
        <v>1345327</v>
      </c>
      <c r="B1996" t="s">
        <v>7144</v>
      </c>
      <c r="C1996" s="1" t="s">
        <v>7145</v>
      </c>
      <c r="D1996" t="s">
        <v>11</v>
      </c>
      <c r="E1996">
        <v>2</v>
      </c>
      <c r="F1996">
        <v>2</v>
      </c>
      <c r="G1996">
        <v>43</v>
      </c>
      <c r="H1996" s="2">
        <v>44281.956585648149</v>
      </c>
    </row>
    <row r="1997" spans="1:8" ht="14.25" customHeight="1" x14ac:dyDescent="0.3">
      <c r="A1997">
        <v>1346374</v>
      </c>
      <c r="B1997" t="e">
        <f>- re: urgent action needed: last chance to keep sophos home account active</f>
        <v>#NAME?</v>
      </c>
      <c r="C1997" s="1" t="s">
        <v>7146</v>
      </c>
      <c r="D1997" t="s">
        <v>11</v>
      </c>
      <c r="E1997">
        <v>1</v>
      </c>
      <c r="F1997">
        <v>1</v>
      </c>
      <c r="G1997">
        <v>36</v>
      </c>
      <c r="H1997" s="2">
        <v>44287.717314814814</v>
      </c>
    </row>
    <row r="1998" spans="1:8" ht="14.25" customHeight="1" x14ac:dyDescent="0.3">
      <c r="A1998">
        <v>1345857</v>
      </c>
      <c r="B1998" t="s">
        <v>7147</v>
      </c>
      <c r="C1998" s="1" t="s">
        <v>7148</v>
      </c>
      <c r="D1998" t="s">
        <v>11</v>
      </c>
      <c r="E1998">
        <v>1</v>
      </c>
      <c r="F1998">
        <v>1</v>
      </c>
      <c r="G1998">
        <v>43</v>
      </c>
      <c r="H1998" s="2">
        <v>44287.718449074076</v>
      </c>
    </row>
    <row r="1999" spans="1:8" ht="14.25" customHeight="1" x14ac:dyDescent="0.3">
      <c r="A1999">
        <v>1345410</v>
      </c>
      <c r="B1999" t="e">
        <f>- email on new phone</f>
        <v>#NAME?</v>
      </c>
      <c r="C1999" s="1" t="s">
        <v>7149</v>
      </c>
      <c r="D1999" t="s">
        <v>11</v>
      </c>
      <c r="E1999">
        <v>1</v>
      </c>
      <c r="F1999">
        <v>2</v>
      </c>
      <c r="G1999">
        <v>41</v>
      </c>
      <c r="H1999" s="2">
        <v>44287.723506944443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Combined</vt:lpstr>
      <vt:lpstr>ServiceTickets</vt:lpstr>
      <vt:lpstr>Classifications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Braden Magnan</dc:creator>
  <cp:lastModifiedBy>Sam</cp:lastModifiedBy>
  <dcterms:created xsi:type="dcterms:W3CDTF">2021-05-21T21:13:35Z</dcterms:created>
  <dcterms:modified xsi:type="dcterms:W3CDTF">2021-06-13T01:37:12Z</dcterms:modified>
</cp:coreProperties>
</file>