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-37440" yWindow="1100" windowWidth="38400" windowHeight="199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" i="2"/>
  <c r="AG8" i="1"/>
  <c r="AH7" i="1"/>
  <c r="AH6" i="1"/>
  <c r="AH5" i="1"/>
  <c r="AH4" i="1"/>
  <c r="AH3" i="1"/>
  <c r="AH2" i="1"/>
  <c r="Y57" i="1"/>
  <c r="Z57" i="1"/>
  <c r="AA57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AA65" i="1"/>
  <c r="AB57" i="1"/>
  <c r="AG10" i="1"/>
  <c r="AI3" i="1"/>
  <c r="B36" i="1"/>
  <c r="AC57" i="1"/>
  <c r="AD57" i="1"/>
  <c r="AB58" i="1"/>
  <c r="AC58" i="1"/>
  <c r="AD58" i="1"/>
  <c r="AB59" i="1"/>
  <c r="AC59" i="1"/>
  <c r="AD59" i="1"/>
  <c r="AB60" i="1"/>
  <c r="AC60" i="1"/>
  <c r="AD60" i="1"/>
  <c r="P48" i="1"/>
  <c r="N65" i="1"/>
  <c r="O48" i="1"/>
  <c r="L49" i="1"/>
  <c r="L48" i="1"/>
  <c r="L42" i="1"/>
  <c r="I60" i="1"/>
  <c r="K60" i="1"/>
  <c r="J60" i="1"/>
  <c r="H60" i="1"/>
  <c r="L40" i="1"/>
  <c r="M40" i="1"/>
  <c r="F48" i="2"/>
  <c r="F49" i="2"/>
  <c r="F50" i="2"/>
  <c r="F46" i="2"/>
  <c r="F6" i="2"/>
  <c r="F4" i="2"/>
  <c r="F27" i="2"/>
  <c r="F3" i="2"/>
  <c r="F1" i="2"/>
  <c r="F5" i="2"/>
  <c r="F7" i="2"/>
  <c r="F8" i="2"/>
  <c r="F16" i="2"/>
  <c r="F17" i="2"/>
  <c r="F12" i="2"/>
  <c r="F2" i="2"/>
  <c r="F13" i="2"/>
  <c r="F34" i="2"/>
  <c r="F26" i="2"/>
  <c r="F37" i="2"/>
  <c r="F35" i="2"/>
  <c r="F30" i="2"/>
  <c r="F42" i="2"/>
  <c r="F38" i="2"/>
  <c r="F28" i="2"/>
  <c r="F23" i="2"/>
  <c r="F22" i="2"/>
  <c r="F21" i="2"/>
  <c r="F24" i="2"/>
  <c r="F52" i="2"/>
  <c r="F9" i="2"/>
  <c r="F19" i="2"/>
  <c r="F10" i="2"/>
  <c r="F11" i="2"/>
  <c r="F18" i="2"/>
  <c r="F14" i="2"/>
  <c r="F15" i="2"/>
  <c r="F36" i="2"/>
  <c r="F29" i="2"/>
  <c r="F20" i="2"/>
  <c r="F47" i="2"/>
  <c r="F28" i="1"/>
  <c r="F34" i="1"/>
  <c r="F22" i="1"/>
  <c r="AI4" i="1"/>
  <c r="B67" i="1"/>
  <c r="AI7" i="1"/>
  <c r="B30" i="1"/>
  <c r="AI6" i="1"/>
  <c r="B24" i="1"/>
  <c r="AI2" i="1"/>
  <c r="B2" i="1"/>
  <c r="Y31" i="1"/>
  <c r="Z31" i="1"/>
  <c r="AA31" i="1"/>
  <c r="Y32" i="1"/>
  <c r="Z32" i="1"/>
  <c r="Y33" i="1"/>
  <c r="Z33" i="1"/>
  <c r="Y30" i="1"/>
  <c r="Z30" i="1"/>
  <c r="AA30" i="1"/>
  <c r="AA32" i="1"/>
  <c r="AA33" i="1"/>
  <c r="AA34" i="1"/>
  <c r="Y25" i="1"/>
  <c r="Z25" i="1"/>
  <c r="Y26" i="1"/>
  <c r="Z26" i="1"/>
  <c r="AA26" i="1"/>
  <c r="Y27" i="1"/>
  <c r="Z27" i="1"/>
  <c r="AA27" i="1"/>
  <c r="Y24" i="1"/>
  <c r="Z24" i="1"/>
  <c r="Y15" i="1"/>
  <c r="Z15" i="1"/>
  <c r="AA15" i="1"/>
  <c r="Y16" i="1"/>
  <c r="Z16" i="1"/>
  <c r="Y17" i="1"/>
  <c r="Z17" i="1"/>
  <c r="AA17" i="1"/>
  <c r="Y18" i="1"/>
  <c r="Z18" i="1"/>
  <c r="AA18" i="1"/>
  <c r="Y19" i="1"/>
  <c r="Z19" i="1"/>
  <c r="AA19" i="1"/>
  <c r="Y20" i="1"/>
  <c r="Z20" i="1"/>
  <c r="Y21" i="1"/>
  <c r="Z21" i="1"/>
  <c r="Y14" i="1"/>
  <c r="Z14" i="1"/>
  <c r="AA14" i="1"/>
  <c r="Y13" i="1"/>
  <c r="Z13" i="1"/>
  <c r="Y12" i="1"/>
  <c r="Y11" i="1"/>
  <c r="Y10" i="1"/>
  <c r="Y9" i="1"/>
  <c r="Y8" i="1"/>
  <c r="Y7" i="1"/>
  <c r="Y6" i="1"/>
  <c r="Y5" i="1"/>
  <c r="Y4" i="1"/>
  <c r="Y3" i="1"/>
  <c r="Y2" i="1"/>
  <c r="L54" i="1"/>
  <c r="M54" i="1"/>
  <c r="N66" i="1"/>
  <c r="Q36" i="1"/>
  <c r="Q42" i="1"/>
  <c r="Q45" i="1"/>
  <c r="Q46" i="1"/>
  <c r="Q55" i="1"/>
  <c r="Q56" i="1"/>
  <c r="F65" i="1"/>
  <c r="O37" i="1"/>
  <c r="O38" i="1"/>
  <c r="O39" i="1"/>
  <c r="O40" i="1"/>
  <c r="O41" i="1"/>
  <c r="O42" i="1"/>
  <c r="O45" i="1"/>
  <c r="O46" i="1"/>
  <c r="O47" i="1"/>
  <c r="O50" i="1"/>
  <c r="O51" i="1"/>
  <c r="O52" i="1"/>
  <c r="O53" i="1"/>
  <c r="O56" i="1"/>
  <c r="O60" i="1"/>
  <c r="O36" i="1"/>
  <c r="L37" i="1"/>
  <c r="M37" i="1"/>
  <c r="L38" i="1"/>
  <c r="M38" i="1"/>
  <c r="J39" i="1"/>
  <c r="K39" i="1"/>
  <c r="L39" i="1"/>
  <c r="I39" i="1"/>
  <c r="H39" i="1"/>
  <c r="J41" i="1"/>
  <c r="K41" i="1"/>
  <c r="L41" i="1"/>
  <c r="I41" i="1"/>
  <c r="H41" i="1"/>
  <c r="M41" i="1"/>
  <c r="M42" i="1"/>
  <c r="L43" i="1"/>
  <c r="M43" i="1"/>
  <c r="L44" i="1"/>
  <c r="M44" i="1"/>
  <c r="L45" i="1"/>
  <c r="M45" i="1"/>
  <c r="L46" i="1"/>
  <c r="M46" i="1"/>
  <c r="L47" i="1"/>
  <c r="M47" i="1"/>
  <c r="M48" i="1"/>
  <c r="M49" i="1"/>
  <c r="J50" i="1"/>
  <c r="K50" i="1"/>
  <c r="I50" i="1"/>
  <c r="H50" i="1"/>
  <c r="H65" i="1"/>
  <c r="L51" i="1"/>
  <c r="M51" i="1"/>
  <c r="L52" i="1"/>
  <c r="M52" i="1"/>
  <c r="L53" i="1"/>
  <c r="M53" i="1"/>
  <c r="L55" i="1"/>
  <c r="M55" i="1"/>
  <c r="L56" i="1"/>
  <c r="M56" i="1"/>
  <c r="L57" i="1"/>
  <c r="M57" i="1"/>
  <c r="L58" i="1"/>
  <c r="M58" i="1"/>
  <c r="L59" i="1"/>
  <c r="M59" i="1"/>
  <c r="L60" i="1"/>
  <c r="M60" i="1"/>
  <c r="L36" i="1"/>
  <c r="M36" i="1"/>
  <c r="K65" i="1"/>
  <c r="I65" i="1"/>
  <c r="P65" i="1"/>
  <c r="AC67" i="1"/>
  <c r="AD67" i="1"/>
  <c r="AA25" i="1"/>
  <c r="AA24" i="1"/>
  <c r="AA28" i="1"/>
  <c r="AB25" i="1"/>
  <c r="AC25" i="1"/>
  <c r="AD25" i="1"/>
  <c r="AB27" i="1"/>
  <c r="AC27" i="1"/>
  <c r="AD27" i="1"/>
  <c r="AB26" i="1"/>
  <c r="AC26" i="1"/>
  <c r="AD26" i="1"/>
  <c r="AA3" i="1"/>
  <c r="AA2" i="1"/>
  <c r="AA4" i="1"/>
  <c r="AA5" i="1"/>
  <c r="AA6" i="1"/>
  <c r="AA7" i="1"/>
  <c r="AA8" i="1"/>
  <c r="AA9" i="1"/>
  <c r="AA10" i="1"/>
  <c r="AA11" i="1"/>
  <c r="AA12" i="1"/>
  <c r="AA13" i="1"/>
  <c r="AA16" i="1"/>
  <c r="AA20" i="1"/>
  <c r="AA21" i="1"/>
  <c r="AB40" i="1"/>
  <c r="AC40" i="1"/>
  <c r="AD40" i="1"/>
  <c r="AB53" i="1"/>
  <c r="AC53" i="1"/>
  <c r="AD53" i="1"/>
  <c r="AB61" i="1"/>
  <c r="AC61" i="1"/>
  <c r="AD61" i="1"/>
  <c r="AB43" i="1"/>
  <c r="AC43" i="1"/>
  <c r="AD43" i="1"/>
  <c r="AB55" i="1"/>
  <c r="AC55" i="1"/>
  <c r="AD55" i="1"/>
  <c r="AA22" i="1"/>
  <c r="AB4" i="1"/>
  <c r="AC4" i="1"/>
  <c r="AD4" i="1"/>
  <c r="AB33" i="1"/>
  <c r="AC33" i="1"/>
  <c r="AD33" i="1"/>
  <c r="AB56" i="1"/>
  <c r="AC56" i="1"/>
  <c r="AD56" i="1"/>
  <c r="AB48" i="1"/>
  <c r="AC48" i="1"/>
  <c r="AD48" i="1"/>
  <c r="AB38" i="1"/>
  <c r="AC38" i="1"/>
  <c r="AD38" i="1"/>
  <c r="L50" i="1"/>
  <c r="L65" i="1"/>
  <c r="AB30" i="1"/>
  <c r="AC30" i="1"/>
  <c r="AD30" i="1"/>
  <c r="J65" i="1"/>
  <c r="M50" i="1"/>
  <c r="M39" i="1"/>
  <c r="AB36" i="1"/>
  <c r="AC36" i="1"/>
  <c r="AD36" i="1"/>
  <c r="AB31" i="1"/>
  <c r="AC31" i="1"/>
  <c r="AD31" i="1"/>
  <c r="AB24" i="1"/>
  <c r="AC24" i="1"/>
  <c r="AD24" i="1"/>
  <c r="AB52" i="1"/>
  <c r="AC52" i="1"/>
  <c r="AD52" i="1"/>
  <c r="AB41" i="1"/>
  <c r="AC41" i="1"/>
  <c r="AD41" i="1"/>
  <c r="AB32" i="1"/>
  <c r="AC32" i="1"/>
  <c r="AD32" i="1"/>
  <c r="AB37" i="1"/>
  <c r="AC37" i="1"/>
  <c r="AD37" i="1"/>
  <c r="Q47" i="1"/>
  <c r="AB17" i="1"/>
  <c r="AC17" i="1"/>
  <c r="AD17" i="1"/>
  <c r="AB3" i="1"/>
  <c r="AC3" i="1"/>
  <c r="AD3" i="1"/>
  <c r="AB16" i="1"/>
  <c r="AC16" i="1"/>
  <c r="AD16" i="1"/>
  <c r="AB45" i="1"/>
  <c r="AC45" i="1"/>
  <c r="AD45" i="1"/>
  <c r="AB42" i="1"/>
  <c r="AC42" i="1"/>
  <c r="AD42" i="1"/>
  <c r="AB50" i="1"/>
  <c r="AC50" i="1"/>
  <c r="AD50" i="1"/>
  <c r="AB11" i="1"/>
  <c r="AC11" i="1"/>
  <c r="AD11" i="1"/>
  <c r="AB19" i="1"/>
  <c r="AC19" i="1"/>
  <c r="AD19" i="1"/>
  <c r="AB6" i="1"/>
  <c r="AC6" i="1"/>
  <c r="AD6" i="1"/>
  <c r="AB14" i="1"/>
  <c r="AC14" i="1"/>
  <c r="AD14" i="1"/>
  <c r="AB2" i="1"/>
  <c r="AC2" i="1"/>
  <c r="AD2" i="1"/>
  <c r="AB7" i="1"/>
  <c r="AC7" i="1"/>
  <c r="AD7" i="1"/>
  <c r="AB10" i="1"/>
  <c r="AC10" i="1"/>
  <c r="AD10" i="1"/>
  <c r="AB18" i="1"/>
  <c r="AC18" i="1"/>
  <c r="AD18" i="1"/>
  <c r="AB5" i="1"/>
  <c r="AC5" i="1"/>
  <c r="AD5" i="1"/>
  <c r="AB8" i="1"/>
  <c r="AC8" i="1"/>
  <c r="AD8" i="1"/>
  <c r="AB12" i="1"/>
  <c r="AC12" i="1"/>
  <c r="AD12" i="1"/>
  <c r="AB9" i="1"/>
  <c r="AC9" i="1"/>
  <c r="AD9" i="1"/>
  <c r="AB51" i="1"/>
  <c r="AC51" i="1"/>
  <c r="AD51" i="1"/>
  <c r="AB44" i="1"/>
  <c r="AC44" i="1"/>
  <c r="AD44" i="1"/>
  <c r="AB39" i="1"/>
  <c r="AC39" i="1"/>
  <c r="AD39" i="1"/>
  <c r="AB47" i="1"/>
  <c r="AC47" i="1"/>
  <c r="AD47" i="1"/>
  <c r="AB54" i="1"/>
  <c r="AC54" i="1"/>
  <c r="AD54" i="1"/>
  <c r="AB62" i="1"/>
  <c r="AC62" i="1"/>
  <c r="AD62" i="1"/>
  <c r="AB20" i="1"/>
  <c r="AC20" i="1"/>
  <c r="AD20" i="1"/>
  <c r="AB13" i="1"/>
  <c r="AC13" i="1"/>
  <c r="AD13" i="1"/>
  <c r="AB15" i="1"/>
  <c r="AC15" i="1"/>
  <c r="AD15" i="1"/>
  <c r="AB46" i="1"/>
  <c r="AC46" i="1"/>
  <c r="AD46" i="1"/>
  <c r="AB21" i="1"/>
  <c r="AC21" i="1"/>
  <c r="AD21" i="1"/>
  <c r="AB49" i="1"/>
  <c r="AC49" i="1"/>
  <c r="AD49" i="1"/>
</calcChain>
</file>

<file path=xl/sharedStrings.xml><?xml version="1.0" encoding="utf-8"?>
<sst xmlns="http://schemas.openxmlformats.org/spreadsheetml/2006/main" count="316" uniqueCount="247">
  <si>
    <t>alanine</t>
  </si>
  <si>
    <t>ala-L</t>
  </si>
  <si>
    <t>aspartate</t>
  </si>
  <si>
    <t>threonine</t>
  </si>
  <si>
    <t>serine</t>
  </si>
  <si>
    <t>asparagine</t>
  </si>
  <si>
    <t>glutamate</t>
  </si>
  <si>
    <t>glutamine</t>
  </si>
  <si>
    <t>glycine</t>
  </si>
  <si>
    <t>valine</t>
  </si>
  <si>
    <t>methionine</t>
  </si>
  <si>
    <t>isoleucine</t>
  </si>
  <si>
    <t>leucine</t>
  </si>
  <si>
    <t>tyrosine</t>
  </si>
  <si>
    <t>phenylalanine</t>
  </si>
  <si>
    <t>lysine</t>
  </si>
  <si>
    <t>histidine</t>
  </si>
  <si>
    <t>tryptophane</t>
  </si>
  <si>
    <t>arginine</t>
  </si>
  <si>
    <t>cysteine</t>
  </si>
  <si>
    <t>proline</t>
  </si>
  <si>
    <t>arg-L</t>
  </si>
  <si>
    <t>asn-L</t>
  </si>
  <si>
    <t>asp-L</t>
  </si>
  <si>
    <t>cys-L</t>
  </si>
  <si>
    <t>glu-L</t>
  </si>
  <si>
    <t>gln-L</t>
  </si>
  <si>
    <t>his-L</t>
  </si>
  <si>
    <t>ile-L</t>
  </si>
  <si>
    <t>leu-L</t>
  </si>
  <si>
    <t>lys-L</t>
  </si>
  <si>
    <t>met-L</t>
  </si>
  <si>
    <t>phe-L</t>
  </si>
  <si>
    <t>pro-L</t>
  </si>
  <si>
    <t>ser-L</t>
  </si>
  <si>
    <t>thr-L</t>
  </si>
  <si>
    <t>trp-L</t>
  </si>
  <si>
    <t>tyr-L</t>
  </si>
  <si>
    <t>val-L</t>
  </si>
  <si>
    <t>Protein</t>
  </si>
  <si>
    <t>Lipids</t>
  </si>
  <si>
    <t>Glycogen</t>
  </si>
  <si>
    <t>Water</t>
  </si>
  <si>
    <t>DNA</t>
  </si>
  <si>
    <t>RNA</t>
  </si>
  <si>
    <t>dAMP</t>
  </si>
  <si>
    <t>dCMP</t>
  </si>
  <si>
    <t>dGMP</t>
  </si>
  <si>
    <t>dTMP</t>
  </si>
  <si>
    <t>C3H7NO2</t>
  </si>
  <si>
    <t>C6H15N4O2</t>
  </si>
  <si>
    <t>C4H8N2O3</t>
  </si>
  <si>
    <t>C4H6NO4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</si>
  <si>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</si>
  <si>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</si>
  <si>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</si>
  <si>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</si>
  <si>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</si>
  <si>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</si>
  <si>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</si>
  <si>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</si>
  <si>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</si>
  <si>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</si>
  <si>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</si>
  <si>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</si>
  <si>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</si>
  <si>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</si>
  <si>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</si>
  <si>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Weight/count</t>
  </si>
  <si>
    <t>amp</t>
  </si>
  <si>
    <t>cmp</t>
  </si>
  <si>
    <t>gmp</t>
  </si>
  <si>
    <t>wt. fraction</t>
  </si>
  <si>
    <t>mol. Fraction</t>
  </si>
  <si>
    <t>Formula</t>
  </si>
  <si>
    <t>g/gDW</t>
  </si>
  <si>
    <t>mmol/gDW</t>
  </si>
  <si>
    <t>MW (g/mol)</t>
  </si>
  <si>
    <t>weight (mg/mmol)</t>
  </si>
  <si>
    <t>C10H12N5O6P</t>
  </si>
  <si>
    <t>C9H12N3O7P</t>
  </si>
  <si>
    <t>C10H12N5O7P</t>
  </si>
  <si>
    <t>C10H13N2O8P</t>
  </si>
  <si>
    <t>C10H12N5O8P</t>
  </si>
  <si>
    <t>C9H11N2O9P</t>
  </si>
  <si>
    <t>sphmyln_hs</t>
  </si>
  <si>
    <t>chsterol</t>
  </si>
  <si>
    <t>xolest_hs</t>
  </si>
  <si>
    <t>mag_hs</t>
  </si>
  <si>
    <t>dag_hs</t>
  </si>
  <si>
    <t>pail_hs</t>
  </si>
  <si>
    <t>pe_hs</t>
  </si>
  <si>
    <t>ps_hs</t>
  </si>
  <si>
    <t>pchol_hs</t>
  </si>
  <si>
    <t>clpn_hs</t>
  </si>
  <si>
    <t>pa_hs</t>
  </si>
  <si>
    <t>tag_hs</t>
  </si>
  <si>
    <t>free fatty acids</t>
  </si>
  <si>
    <t>fatty acid esters</t>
  </si>
  <si>
    <t>sphingomyelin</t>
  </si>
  <si>
    <t>cholesterol</t>
  </si>
  <si>
    <t>cholesterol esters</t>
  </si>
  <si>
    <t>diacylcglycerol</t>
  </si>
  <si>
    <t>monoacylglycerol</t>
  </si>
  <si>
    <t>phosphatidylinositol</t>
  </si>
  <si>
    <t>phosphatidylethanolamine</t>
  </si>
  <si>
    <t>phosphatidylserine</t>
  </si>
  <si>
    <t>phosphatidylcholine</t>
  </si>
  <si>
    <t>phosphatidic acid</t>
  </si>
  <si>
    <t>triacylglycerol</t>
  </si>
  <si>
    <t>C27H45XCO2</t>
  </si>
  <si>
    <t>C3H6OFullRCO2FullR2CO2</t>
  </si>
  <si>
    <t>C9H16O9PFullRCO2FullR2CO2</t>
  </si>
  <si>
    <t>C5H12NO4PFullRCO2FullR2CO2</t>
  </si>
  <si>
    <t>C6H11NO6PFullRCO2FullR2CO2</t>
  </si>
  <si>
    <t>C9H16O9P2FullRCO2FullR2CO2FullRCO2FullR2CO2</t>
  </si>
  <si>
    <t>C3H5O4PFullRCO2FullR2CO2</t>
  </si>
  <si>
    <t>C3H5FullRCO2FullR2CO2FullR3CO2</t>
  </si>
  <si>
    <t>glycogen</t>
  </si>
  <si>
    <t>C6H10O5</t>
  </si>
  <si>
    <t>Oz et al. Human brain glycogen content and metabolism: implications on its role in brain energy metabolism. Endocrinology and Metabolism 2006.</t>
  </si>
  <si>
    <t>Yates et al. Lipid composition of neural tumors. J Lipid Res. 1979.</t>
  </si>
  <si>
    <t>percent fresh weight value</t>
  </si>
  <si>
    <t>glycogen in glial cells ~1/100 of liver</t>
  </si>
  <si>
    <t>Ueda et al. High mobility group protein HMGA1 inhibits retinoblastoma protein-mediated cellular G0 arrest. Med Cell Biol. 2007.</t>
  </si>
  <si>
    <t>RNA:DNA ~1.0</t>
  </si>
  <si>
    <t>Ali et al. Biomolecular diagnosis of human glioblastoma multiforme using Synchrotron mid-infrared spectromicroscopy. Int J Mol Med. 2010.</t>
  </si>
  <si>
    <t>protein/lipid ~3-4</t>
  </si>
  <si>
    <t>1,5</t>
  </si>
  <si>
    <t>percent fresh weight value; water/lipid matches trend in (5)</t>
  </si>
  <si>
    <t>Kohler et al. Characterization of lipid extracts from brain tissue and tumors using Raman spectroscopy and mass spectroscopy. Anal Bioanal Chem. 2009.</t>
  </si>
  <si>
    <t>Total</t>
  </si>
  <si>
    <t>Dry weight</t>
  </si>
  <si>
    <t>sulfatide galactocerebroside</t>
  </si>
  <si>
    <t>sgalside_hs</t>
  </si>
  <si>
    <t>galside_hs</t>
  </si>
  <si>
    <t>galactocerebroside</t>
  </si>
  <si>
    <t>C24H45NO10FullRCO</t>
  </si>
  <si>
    <t>C24H46NO7FullRCO</t>
  </si>
  <si>
    <t>Ref</t>
  </si>
  <si>
    <t>phosphatidylglycerol</t>
  </si>
  <si>
    <t>pglyc_hs</t>
  </si>
  <si>
    <t>phosphatidyl glycerol phosphate</t>
  </si>
  <si>
    <t>pgp_hs</t>
  </si>
  <si>
    <t>cardiolipin (diphosphatidylglycerol)</t>
  </si>
  <si>
    <t>phosphatidylinositol 4-phosphate</t>
  </si>
  <si>
    <t>phosphatidylinositol 4,5-bisphosphate</t>
  </si>
  <si>
    <t>pail4p_hs</t>
  </si>
  <si>
    <t>pail45p_hs</t>
  </si>
  <si>
    <t>ethanolamine plasmalogen</t>
  </si>
  <si>
    <t>dak2gpe_hs</t>
  </si>
  <si>
    <t>inositol plasmalogen</t>
  </si>
  <si>
    <t>plasmalogenic acid (plasmenic acid)</t>
  </si>
  <si>
    <t>choline plasmalogen (c00958)</t>
  </si>
  <si>
    <t>ethanolamine phosphoglyceryl ether (c04635)</t>
  </si>
  <si>
    <t>GBM 153</t>
  </si>
  <si>
    <t>GBM 159</t>
  </si>
  <si>
    <t>avg.</t>
  </si>
  <si>
    <t>nominal</t>
  </si>
  <si>
    <t>Slagel et a. Lipid composition of human glial tumour and adjacent brain. J Neurochem. 1967.</t>
  </si>
  <si>
    <t>1,6</t>
  </si>
  <si>
    <t>galactosyl diglyceride (c03692)</t>
  </si>
  <si>
    <t>GM3</t>
  </si>
  <si>
    <t>GM2</t>
  </si>
  <si>
    <t>gm2_hs</t>
  </si>
  <si>
    <t>weighted avg.</t>
  </si>
  <si>
    <t>perc.</t>
  </si>
  <si>
    <t>rounded</t>
  </si>
  <si>
    <t>relative phos.</t>
  </si>
  <si>
    <t>C49H85N3O25FullRCO</t>
  </si>
  <si>
    <t>gm3_hs</t>
  </si>
  <si>
    <t>C41H72N2O20FullRCO</t>
  </si>
  <si>
    <t>C</t>
  </si>
  <si>
    <t>H</t>
  </si>
  <si>
    <t>N</t>
  </si>
  <si>
    <t>O</t>
  </si>
  <si>
    <t>P</t>
  </si>
  <si>
    <t>S</t>
  </si>
  <si>
    <t>MW (mg/mmol)</t>
  </si>
  <si>
    <t>C10H12N507P</t>
  </si>
  <si>
    <t>C9H12N308P</t>
  </si>
  <si>
    <t>C23H48N2O5PFullRCO</t>
  </si>
  <si>
    <t>C27H46O</t>
  </si>
  <si>
    <t>C3H7O2FullR2CO2</t>
  </si>
  <si>
    <t>C10H18NO4PFullRCO2FullR2CO2</t>
  </si>
  <si>
    <t>C6H12O6PFullRCO2FullR2CO2</t>
  </si>
  <si>
    <t>C9H16O6FullRCO2FullR2CO2</t>
  </si>
  <si>
    <t>C7H14O5NPFullRFullR2CO2</t>
  </si>
  <si>
    <t>C10H21O5NPFullRFullR2CO2</t>
  </si>
  <si>
    <t>McCaldon &amp; Argos. Oligopeptide Biases in Protein Sequences and Their Use in Predicting Protein Coding Regions in Nucleotide Sequences. Proteins: Structure, Function, and Bioinformatics. 1988.</t>
  </si>
  <si>
    <t>ump</t>
  </si>
  <si>
    <t>Egyhazi. Microchemical fractionation of neuronal and glial RNA. Biochimica et biophysica acta. 1965.</t>
  </si>
  <si>
    <t>glygn2</t>
  </si>
  <si>
    <t>chsterol[c]</t>
  </si>
  <si>
    <t>adp[c]</t>
  </si>
  <si>
    <t>atp[c]</t>
  </si>
  <si>
    <t>h2o[c]</t>
  </si>
  <si>
    <t>h[c]</t>
  </si>
  <si>
    <t>pi[c]</t>
  </si>
  <si>
    <t>gly</t>
  </si>
  <si>
    <t>gly[c]</t>
  </si>
  <si>
    <t>dak2gpchol_hs</t>
  </si>
  <si>
    <t>glu_L[c]</t>
  </si>
  <si>
    <t>asp_L[c]</t>
  </si>
  <si>
    <t>gtp[c]</t>
  </si>
  <si>
    <t>asn_L[c]</t>
  </si>
  <si>
    <t>ala_L[c]</t>
  </si>
  <si>
    <t>cys_L[c]</t>
  </si>
  <si>
    <t>gln_L[c]</t>
  </si>
  <si>
    <t>ser_L[c]</t>
  </si>
  <si>
    <t>thr_L[c]</t>
  </si>
  <si>
    <t>lys_L[c]</t>
  </si>
  <si>
    <t>arg_L[c]</t>
  </si>
  <si>
    <t>met_L[c]</t>
  </si>
  <si>
    <t>pail_hs[c]</t>
  </si>
  <si>
    <t>ctp[c]</t>
  </si>
  <si>
    <t>pchol_hs[c]</t>
  </si>
  <si>
    <t>pe_hs[c]</t>
  </si>
  <si>
    <t>pglyc_hs[c]</t>
  </si>
  <si>
    <t>clpn_hs[c]</t>
  </si>
  <si>
    <t>utp[c]</t>
  </si>
  <si>
    <t>dgtp[n]</t>
  </si>
  <si>
    <t>dctp[n]</t>
  </si>
  <si>
    <t>datp[n]</t>
  </si>
  <si>
    <t>dttp[n]</t>
  </si>
  <si>
    <t>g6p[c]</t>
  </si>
  <si>
    <t>his_L[c]</t>
  </si>
  <si>
    <t>tyr_L[c]</t>
  </si>
  <si>
    <t>ile_L[c]</t>
  </si>
  <si>
    <t>leu_L[c]</t>
  </si>
  <si>
    <t>trp_L[c]</t>
  </si>
  <si>
    <t>phe_L[c]</t>
  </si>
  <si>
    <t>pro_L[c]</t>
  </si>
  <si>
    <t>ps_hs[c]</t>
  </si>
  <si>
    <t>sphmyln_hs[c]</t>
  </si>
  <si>
    <t>val_L[c]</t>
  </si>
  <si>
    <t>galdag_hs (~5% in literature, not in Recons)</t>
  </si>
  <si>
    <t>gm1_hs</t>
  </si>
  <si>
    <t>GBM 161</t>
  </si>
  <si>
    <t>(outlier)</t>
  </si>
  <si>
    <t>GM1 (sialic acid + hexosamine)</t>
  </si>
  <si>
    <t>C55H95N3O30FullRCO</t>
  </si>
  <si>
    <t>atp</t>
  </si>
  <si>
    <t>h2o</t>
  </si>
  <si>
    <t>adp</t>
  </si>
  <si>
    <t>h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</si>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</sst>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0"/>
      <color theme="1"/>
      <name val="Arial"/>
      <family val="2"/>
    </font>
    <font>
      <sz val="10"/>
      <name val="Nachlieli CL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color rgb="FFFF0000"/>
      <name val="Arial"/>
    </font>
    <font>
      <sz val="10"/>
      <color theme="4"/>
      <name val="Arial"/>
    </font>
    <font>
      <i/>
      <sz val="10"/>
      <name val="Arial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29"/>
      </patternFill>
    </fill>
    <fill>
      <patternFill patternType="solid">
        <fgColor theme="7" tint="0.79998168889431442"/>
        <bgColor indexed="22"/>
      </patternFill>
    </fill>
    <fill>
      <patternFill patternType="solid">
        <fgColor theme="7" tint="0.79998168889431442"/>
        <bgColor indexed="41"/>
      </patternFill>
    </fill>
    <fill>
      <patternFill patternType="solid">
        <fgColor theme="6" tint="0.79998168889431442"/>
        <bgColor indexed="41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2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59"/>
      </top>
      <bottom/>
      <diagonal/>
    </border>
  </borders>
  <cellStyleXfs count="60">
    <xf numFmtId="0" fontId="0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0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5" fontId="0" fillId="3" borderId="0" xfId="0" applyNumberFormat="1" applyFill="1"/>
    <xf numFmtId="165" fontId="0" fillId="5" borderId="0" xfId="0" applyNumberFormat="1" applyFill="1"/>
    <xf numFmtId="165" fontId="0" fillId="4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2" fontId="7" fillId="6" borderId="0" xfId="0" applyNumberFormat="1" applyFont="1" applyFill="1"/>
    <xf numFmtId="165" fontId="8" fillId="6" borderId="0" xfId="0" applyNumberFormat="1" applyFont="1" applyFill="1"/>
    <xf numFmtId="165" fontId="2" fillId="0" borderId="0" xfId="0" applyNumberFormat="1" applyFont="1"/>
    <xf numFmtId="165" fontId="2" fillId="3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5" fontId="2" fillId="6" borderId="0" xfId="0" applyNumberFormat="1" applyFont="1" applyFill="1"/>
    <xf numFmtId="165" fontId="2" fillId="7" borderId="0" xfId="0" applyNumberFormat="1" applyFont="1" applyFill="1"/>
    <xf numFmtId="0" fontId="6" fillId="0" borderId="0" xfId="0" applyNumberFormat="1" applyFont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5" borderId="0" xfId="0" applyNumberFormat="1" applyFont="1" applyFill="1" applyAlignment="1">
      <alignment horizontal="left"/>
    </xf>
    <xf numFmtId="0" fontId="6" fillId="4" borderId="0" xfId="0" applyNumberFormat="1" applyFont="1" applyFill="1" applyAlignment="1">
      <alignment horizontal="left"/>
    </xf>
    <xf numFmtId="0" fontId="6" fillId="6" borderId="0" xfId="0" applyNumberFormat="1" applyFont="1" applyFill="1" applyAlignment="1">
      <alignment horizontal="left"/>
    </xf>
    <xf numFmtId="0" fontId="6" fillId="7" borderId="0" xfId="0" applyNumberFormat="1" applyFont="1" applyFill="1" applyAlignment="1">
      <alignment horizontal="left"/>
    </xf>
    <xf numFmtId="0" fontId="7" fillId="6" borderId="0" xfId="0" applyFont="1" applyFill="1"/>
    <xf numFmtId="2" fontId="2" fillId="6" borderId="0" xfId="0" applyNumberFormat="1" applyFont="1" applyFill="1"/>
    <xf numFmtId="0" fontId="0" fillId="0" borderId="0" xfId="0" applyFont="1"/>
    <xf numFmtId="0" fontId="2" fillId="0" borderId="0" xfId="0" applyFont="1"/>
    <xf numFmtId="0" fontId="2" fillId="8" borderId="0" xfId="0" applyFont="1" applyFill="1" applyBorder="1"/>
    <xf numFmtId="0" fontId="2" fillId="9" borderId="0" xfId="0" applyFont="1" applyFill="1" applyBorder="1"/>
    <xf numFmtId="0" fontId="2" fillId="9" borderId="0" xfId="0" applyNumberFormat="1" applyFont="1" applyFill="1" applyBorder="1"/>
    <xf numFmtId="0" fontId="2" fillId="10" borderId="0" xfId="0" applyFont="1" applyFill="1" applyBorder="1"/>
    <xf numFmtId="0" fontId="2" fillId="10" borderId="0" xfId="0" applyNumberFormat="1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0" fillId="6" borderId="0" xfId="0" applyFont="1" applyFill="1"/>
    <xf numFmtId="0" fontId="2" fillId="0" borderId="0" xfId="0" applyFont="1" applyFill="1" applyBorder="1"/>
    <xf numFmtId="0" fontId="2" fillId="13" borderId="0" xfId="0" applyFont="1" applyFill="1" applyBorder="1"/>
    <xf numFmtId="0" fontId="0" fillId="0" borderId="0" xfId="0" applyAlignment="1"/>
    <xf numFmtId="0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2" fillId="0" borderId="0" xfId="0" applyNumberFormat="1" applyFont="1" applyAlignment="1"/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/>
    <xf numFmtId="0" fontId="2" fillId="14" borderId="0" xfId="0" applyFont="1" applyFill="1" applyBorder="1"/>
    <xf numFmtId="0" fontId="7" fillId="14" borderId="0" xfId="0" applyFont="1" applyFill="1" applyBorder="1"/>
    <xf numFmtId="1" fontId="0" fillId="3" borderId="0" xfId="0" applyNumberFormat="1" applyFill="1"/>
    <xf numFmtId="165" fontId="8" fillId="15" borderId="0" xfId="0" applyNumberFormat="1" applyFont="1" applyFill="1"/>
    <xf numFmtId="165" fontId="0" fillId="16" borderId="0" xfId="0" applyNumberFormat="1" applyFill="1"/>
    <xf numFmtId="0" fontId="2" fillId="6" borderId="0" xfId="0" applyFont="1" applyFill="1"/>
    <xf numFmtId="0" fontId="2" fillId="6" borderId="0" xfId="0" applyNumberFormat="1" applyFont="1" applyFill="1"/>
    <xf numFmtId="0" fontId="9" fillId="6" borderId="0" xfId="0" applyNumberFormat="1" applyFont="1" applyFill="1" applyAlignment="1">
      <alignment horizontal="left"/>
    </xf>
    <xf numFmtId="165" fontId="2" fillId="16" borderId="0" xfId="0" applyNumberFormat="1" applyFont="1" applyFill="1"/>
    <xf numFmtId="164" fontId="2" fillId="6" borderId="0" xfId="0" applyNumberFormat="1" applyFont="1" applyFill="1"/>
    <xf numFmtId="165" fontId="7" fillId="6" borderId="0" xfId="0" applyNumberFormat="1" applyFont="1" applyFill="1"/>
  </cellXfs>
  <cellStyles count="60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6" xfId="7"/>
    <cellStyle name="Normal 7" xfId="1"/>
    <cellStyle name="Percent 2" xfId="8"/>
    <cellStyle name="Yellow" xfId="9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67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2" x14ac:dyDescent="0"/>
  <cols>
    <col min="3" max="3" width="26" customWidth="1"/>
    <col min="4" max="4" width="13" customWidth="1"/>
    <col min="5" max="5" width="8.83203125" style="2"/>
    <col min="6" max="6" width="11" style="1" bestFit="1" customWidth="1"/>
    <col min="7" max="7" width="3.83203125" style="39" bestFit="1" customWidth="1"/>
    <col min="8" max="11" width="8.33203125" style="25" hidden="1" customWidth="1"/>
    <col min="12" max="12" width="6.33203125" style="25" hidden="1" customWidth="1"/>
    <col min="13" max="13" width="11.6640625" style="25" hidden="1" customWidth="1"/>
    <col min="14" max="14" width="7.1640625" style="25" hidden="1" customWidth="1"/>
    <col min="15" max="15" width="6.33203125" style="25" hidden="1" customWidth="1"/>
    <col min="16" max="16" width="7.33203125" style="33" hidden="1" customWidth="1"/>
    <col min="17" max="17" width="9.83203125" style="33" hidden="1" customWidth="1"/>
    <col min="18" max="18" width="33.1640625" style="1" customWidth="1"/>
    <col min="19" max="24" width="3.5" style="47" customWidth="1"/>
    <col min="25" max="25" width="10.33203125" style="47" customWidth="1"/>
    <col min="26" max="26" width="10" style="1" bestFit="1" customWidth="1"/>
    <col min="27" max="27" width="14.6640625" style="1" bestFit="1" customWidth="1"/>
    <col min="28" max="30" width="8.83203125" style="3"/>
  </cols>
  <sheetData>
    <row r="1" spans="1:37" s="59" customFormat="1" ht="24">
      <c r="E1" s="60" t="s">
        <v>68</v>
      </c>
      <c r="F1" s="61" t="s">
        <v>73</v>
      </c>
      <c r="G1" s="39" t="s">
        <v>139</v>
      </c>
      <c r="H1" s="62" t="s">
        <v>155</v>
      </c>
      <c r="I1" s="62" t="s">
        <v>156</v>
      </c>
      <c r="J1" s="62" t="s">
        <v>238</v>
      </c>
      <c r="K1" s="62" t="s">
        <v>238</v>
      </c>
      <c r="L1" s="62" t="s">
        <v>157</v>
      </c>
      <c r="M1" s="62" t="s">
        <v>165</v>
      </c>
      <c r="N1" s="62" t="s">
        <v>158</v>
      </c>
      <c r="O1" s="62" t="s">
        <v>166</v>
      </c>
      <c r="P1" s="63" t="s">
        <v>167</v>
      </c>
      <c r="Q1" s="63" t="s">
        <v>168</v>
      </c>
      <c r="R1" s="61" t="s">
        <v>74</v>
      </c>
      <c r="S1" s="64" t="s">
        <v>172</v>
      </c>
      <c r="T1" s="64" t="s">
        <v>173</v>
      </c>
      <c r="U1" s="64" t="s">
        <v>174</v>
      </c>
      <c r="V1" s="64" t="s">
        <v>175</v>
      </c>
      <c r="W1" s="64" t="s">
        <v>176</v>
      </c>
      <c r="X1" s="64" t="s">
        <v>177</v>
      </c>
      <c r="Y1" s="64" t="s">
        <v>178</v>
      </c>
      <c r="Z1" s="61" t="s">
        <v>77</v>
      </c>
      <c r="AA1" s="61" t="s">
        <v>78</v>
      </c>
      <c r="AB1" s="65" t="s">
        <v>72</v>
      </c>
      <c r="AC1" s="65" t="s">
        <v>75</v>
      </c>
      <c r="AD1" s="65" t="s">
        <v>76</v>
      </c>
      <c r="AG1" s="65" t="s">
        <v>131</v>
      </c>
      <c r="AI1" s="59" t="s">
        <v>132</v>
      </c>
    </row>
    <row r="2" spans="1:37">
      <c r="A2" s="4" t="s">
        <v>39</v>
      </c>
      <c r="B2" s="4">
        <f>AI2</f>
        <v>0.7009345794392523</v>
      </c>
      <c r="C2" s="4" t="s">
        <v>0</v>
      </c>
      <c r="D2" s="4" t="s">
        <v>1</v>
      </c>
      <c r="E2" s="5"/>
      <c r="F2" s="7">
        <v>8.2917082917082913E-2</v>
      </c>
      <c r="G2" s="40">
        <v>7</v>
      </c>
      <c r="H2" s="7"/>
      <c r="I2" s="68"/>
      <c r="J2" s="68"/>
      <c r="K2" s="68"/>
      <c r="L2" s="68"/>
      <c r="M2" s="68"/>
      <c r="N2" s="68"/>
      <c r="O2" s="26"/>
      <c r="P2" s="34"/>
      <c r="Q2" s="34"/>
      <c r="R2" s="6" t="s">
        <v>49</v>
      </c>
      <c r="S2" s="49">
        <v>3</v>
      </c>
      <c r="T2" s="49">
        <v>7</v>
      </c>
      <c r="U2" s="49">
        <v>1</v>
      </c>
      <c r="V2" s="49">
        <v>2</v>
      </c>
      <c r="W2" s="49">
        <v>0</v>
      </c>
      <c r="X2" s="49">
        <v>0</v>
      </c>
      <c r="Y2" s="49">
        <f t="shared" ref="Y2:Y21" si="0">(S2*12.011)+(T2*1.008)+(V2*15.999)+(14.007*U2)+(W2*30.974)+(X2*32.066)</f>
        <v>89.094000000000008</v>
      </c>
      <c r="Z2" s="6">
        <v>89.09</v>
      </c>
      <c r="AA2" s="6">
        <f t="shared" ref="AA2:AA21" si="1">Z2*F2</f>
        <v>7.3870829170829166</v>
      </c>
      <c r="AB2" s="7">
        <f>AA2/AA$22</f>
        <v>5.7215541619393739E-2</v>
      </c>
      <c r="AC2" s="7">
        <f t="shared" ref="AC2:AC21" si="2">AB2*B$2</f>
        <v>4.0104351602378789E-2</v>
      </c>
      <c r="AD2" s="7">
        <f>AC2/Z2*1000</f>
        <v>0.45015547875607576</v>
      </c>
      <c r="AF2" s="4" t="s">
        <v>39</v>
      </c>
      <c r="AG2" s="4">
        <v>9</v>
      </c>
      <c r="AH2" s="4">
        <f t="shared" ref="AH2:AH7" si="3">AG2/AG$8</f>
        <v>8.99640143942423E-2</v>
      </c>
      <c r="AI2" s="4">
        <f>AG2/AG$10</f>
        <v>0.7009345794392523</v>
      </c>
      <c r="AJ2" s="24">
        <v>4</v>
      </c>
      <c r="AK2" t="s">
        <v>127</v>
      </c>
    </row>
    <row r="3" spans="1:37">
      <c r="A3" s="4"/>
      <c r="B3" s="4"/>
      <c r="C3" s="4" t="s">
        <v>18</v>
      </c>
      <c r="D3" s="4" t="s">
        <v>21</v>
      </c>
      <c r="E3" s="5"/>
      <c r="F3" s="7">
        <v>5.6943056943056937E-2</v>
      </c>
      <c r="G3" s="40">
        <v>7</v>
      </c>
      <c r="H3" s="7"/>
      <c r="I3" s="68"/>
      <c r="J3" s="68"/>
      <c r="K3" s="68"/>
      <c r="L3" s="68"/>
      <c r="M3" s="68"/>
      <c r="N3" s="68"/>
      <c r="O3" s="26"/>
      <c r="P3" s="34"/>
      <c r="Q3" s="34"/>
      <c r="R3" s="6" t="s">
        <v>50</v>
      </c>
      <c r="S3" s="49">
        <v>6</v>
      </c>
      <c r="T3" s="49">
        <v>15</v>
      </c>
      <c r="U3" s="49">
        <v>4</v>
      </c>
      <c r="V3" s="49">
        <v>2</v>
      </c>
      <c r="W3" s="49">
        <v>0</v>
      </c>
      <c r="X3" s="49">
        <v>0</v>
      </c>
      <c r="Y3" s="49">
        <f t="shared" si="0"/>
        <v>175.21200000000002</v>
      </c>
      <c r="Z3" s="6">
        <v>175.21</v>
      </c>
      <c r="AA3" s="6">
        <f t="shared" si="1"/>
        <v>9.9769930069930055</v>
      </c>
      <c r="AB3" s="7">
        <f t="shared" ref="AB3:AB21" si="4">AA3/AA$22</f>
        <v>7.7275301365295507E-2</v>
      </c>
      <c r="AC3" s="7">
        <f t="shared" si="2"/>
        <v>5.4164930863524884E-2</v>
      </c>
      <c r="AD3" s="7">
        <f t="shared" ref="AD3:AD21" si="5">AC3/Z3*1000</f>
        <v>0.30914291914573871</v>
      </c>
      <c r="AF3" s="16" t="s">
        <v>40</v>
      </c>
      <c r="AG3" s="16">
        <v>2.8</v>
      </c>
      <c r="AH3" s="16">
        <f t="shared" si="3"/>
        <v>2.7988804478208711E-2</v>
      </c>
      <c r="AI3" s="16">
        <f>AG3/AG$10</f>
        <v>0.21806853582554517</v>
      </c>
      <c r="AJ3" s="24" t="s">
        <v>128</v>
      </c>
      <c r="AK3" t="s">
        <v>129</v>
      </c>
    </row>
    <row r="4" spans="1:37">
      <c r="A4" s="4"/>
      <c r="B4" s="4"/>
      <c r="C4" s="4" t="s">
        <v>5</v>
      </c>
      <c r="D4" s="4" t="s">
        <v>22</v>
      </c>
      <c r="E4" s="5"/>
      <c r="F4" s="7">
        <v>4.3956043956043946E-2</v>
      </c>
      <c r="G4" s="40">
        <v>7</v>
      </c>
      <c r="H4" s="7"/>
      <c r="I4" s="68"/>
      <c r="J4" s="68"/>
      <c r="K4" s="68"/>
      <c r="L4" s="68"/>
      <c r="M4" s="68"/>
      <c r="N4" s="68"/>
      <c r="O4" s="26"/>
      <c r="P4" s="34"/>
      <c r="Q4" s="34"/>
      <c r="R4" s="6" t="s">
        <v>51</v>
      </c>
      <c r="S4" s="49">
        <v>4</v>
      </c>
      <c r="T4" s="49">
        <v>8</v>
      </c>
      <c r="U4" s="49">
        <v>2</v>
      </c>
      <c r="V4" s="49">
        <v>3</v>
      </c>
      <c r="W4" s="49">
        <v>0</v>
      </c>
      <c r="X4" s="49">
        <v>0</v>
      </c>
      <c r="Y4" s="49">
        <f t="shared" si="0"/>
        <v>132.119</v>
      </c>
      <c r="Z4" s="6">
        <v>132.12</v>
      </c>
      <c r="AA4" s="6">
        <f t="shared" si="1"/>
        <v>5.8074725274725267</v>
      </c>
      <c r="AB4" s="7">
        <f t="shared" si="4"/>
        <v>4.4980906513271295E-2</v>
      </c>
      <c r="AC4" s="7">
        <f t="shared" si="2"/>
        <v>3.1528672789676138E-2</v>
      </c>
      <c r="AD4" s="7">
        <f t="shared" si="5"/>
        <v>0.23863663934057019</v>
      </c>
      <c r="AF4" s="20" t="s">
        <v>41</v>
      </c>
      <c r="AG4" s="20">
        <v>0.04</v>
      </c>
      <c r="AH4" s="20">
        <f t="shared" si="3"/>
        <v>3.9984006397441024E-4</v>
      </c>
      <c r="AI4" s="20">
        <f>AG4/AG$10</f>
        <v>3.1152647975077881E-3</v>
      </c>
      <c r="AJ4" s="24">
        <v>2</v>
      </c>
      <c r="AK4" t="s">
        <v>123</v>
      </c>
    </row>
    <row r="5" spans="1:37">
      <c r="A5" s="4"/>
      <c r="B5" s="4"/>
      <c r="C5" s="4" t="s">
        <v>2</v>
      </c>
      <c r="D5" s="4" t="s">
        <v>23</v>
      </c>
      <c r="E5" s="5"/>
      <c r="F5" s="7">
        <v>5.2947052947052937E-2</v>
      </c>
      <c r="G5" s="40">
        <v>7</v>
      </c>
      <c r="H5" s="7"/>
      <c r="I5" s="68"/>
      <c r="J5" s="68"/>
      <c r="K5" s="68"/>
      <c r="L5" s="68"/>
      <c r="M5" s="68"/>
      <c r="N5" s="68"/>
      <c r="O5" s="26"/>
      <c r="P5" s="34"/>
      <c r="Q5" s="34"/>
      <c r="R5" s="6" t="s">
        <v>52</v>
      </c>
      <c r="S5" s="49">
        <v>4</v>
      </c>
      <c r="T5" s="49">
        <v>6</v>
      </c>
      <c r="U5" s="49">
        <v>1</v>
      </c>
      <c r="V5" s="49">
        <v>4</v>
      </c>
      <c r="W5" s="49">
        <v>0</v>
      </c>
      <c r="X5" s="49">
        <v>0</v>
      </c>
      <c r="Y5" s="49">
        <f t="shared" si="0"/>
        <v>132.095</v>
      </c>
      <c r="Z5" s="6">
        <v>132.1</v>
      </c>
      <c r="AA5" s="6">
        <f t="shared" si="1"/>
        <v>6.9943056943056927</v>
      </c>
      <c r="AB5" s="7">
        <f t="shared" si="4"/>
        <v>5.417334461291496E-2</v>
      </c>
      <c r="AC5" s="7">
        <f t="shared" si="2"/>
        <v>3.7971970523071233E-2</v>
      </c>
      <c r="AD5" s="7">
        <f t="shared" si="5"/>
        <v>0.28744867920568684</v>
      </c>
      <c r="AF5" t="s">
        <v>42</v>
      </c>
      <c r="AG5">
        <v>87.2</v>
      </c>
      <c r="AH5">
        <f t="shared" si="3"/>
        <v>0.87165133946421425</v>
      </c>
      <c r="AJ5" s="24" t="s">
        <v>128</v>
      </c>
      <c r="AK5" t="s">
        <v>122</v>
      </c>
    </row>
    <row r="6" spans="1:37">
      <c r="A6" s="4"/>
      <c r="B6" s="4"/>
      <c r="C6" s="4" t="s">
        <v>19</v>
      </c>
      <c r="D6" s="4" t="s">
        <v>24</v>
      </c>
      <c r="E6" s="5"/>
      <c r="F6" s="7">
        <v>1.6983016983016984E-2</v>
      </c>
      <c r="G6" s="40">
        <v>7</v>
      </c>
      <c r="H6" s="7"/>
      <c r="I6" s="68"/>
      <c r="J6" s="68"/>
      <c r="K6" s="68"/>
      <c r="L6" s="68"/>
      <c r="M6" s="68"/>
      <c r="N6" s="68"/>
      <c r="O6" s="26"/>
      <c r="P6" s="34"/>
      <c r="Q6" s="34"/>
      <c r="R6" s="6" t="s">
        <v>53</v>
      </c>
      <c r="S6" s="49">
        <v>3</v>
      </c>
      <c r="T6" s="49">
        <v>7</v>
      </c>
      <c r="U6" s="49">
        <v>1</v>
      </c>
      <c r="V6" s="49">
        <v>2</v>
      </c>
      <c r="W6" s="49">
        <v>0</v>
      </c>
      <c r="X6" s="49">
        <v>1</v>
      </c>
      <c r="Y6" s="49">
        <f t="shared" si="0"/>
        <v>121.16000000000001</v>
      </c>
      <c r="Z6" s="6">
        <v>121.16</v>
      </c>
      <c r="AA6" s="6">
        <f t="shared" si="1"/>
        <v>2.0576623376623377</v>
      </c>
      <c r="AB6" s="7">
        <f t="shared" si="4"/>
        <v>1.5937314693858746E-2</v>
      </c>
      <c r="AC6" s="7">
        <f t="shared" si="2"/>
        <v>1.1171014972330896E-2</v>
      </c>
      <c r="AD6" s="7">
        <f t="shared" si="5"/>
        <v>9.2200519745220338E-2</v>
      </c>
      <c r="AF6" s="12" t="s">
        <v>43</v>
      </c>
      <c r="AG6" s="12">
        <v>0.5</v>
      </c>
      <c r="AH6" s="12">
        <f t="shared" si="3"/>
        <v>4.9980007996801275E-3</v>
      </c>
      <c r="AI6" s="12">
        <f>AG6/AG$10</f>
        <v>3.8940809968847349E-2</v>
      </c>
      <c r="AJ6" s="24"/>
    </row>
    <row r="7" spans="1:37">
      <c r="A7" s="4"/>
      <c r="B7" s="4"/>
      <c r="C7" s="4" t="s">
        <v>6</v>
      </c>
      <c r="D7" s="4" t="s">
        <v>25</v>
      </c>
      <c r="E7" s="5"/>
      <c r="F7" s="7">
        <v>6.1938061938061929E-2</v>
      </c>
      <c r="G7" s="40">
        <v>7</v>
      </c>
      <c r="H7" s="7"/>
      <c r="I7" s="68"/>
      <c r="J7" s="68"/>
      <c r="K7" s="68"/>
      <c r="L7" s="68"/>
      <c r="M7" s="68"/>
      <c r="N7" s="68"/>
      <c r="O7" s="26"/>
      <c r="P7" s="34"/>
      <c r="Q7" s="34"/>
      <c r="R7" s="6" t="s">
        <v>54</v>
      </c>
      <c r="S7" s="49">
        <v>5</v>
      </c>
      <c r="T7" s="49">
        <v>8</v>
      </c>
      <c r="U7" s="49">
        <v>1</v>
      </c>
      <c r="V7" s="49">
        <v>4</v>
      </c>
      <c r="W7" s="49">
        <v>0</v>
      </c>
      <c r="X7" s="49">
        <v>0</v>
      </c>
      <c r="Y7" s="49">
        <f t="shared" si="0"/>
        <v>146.12200000000001</v>
      </c>
      <c r="Z7" s="6">
        <v>146.15</v>
      </c>
      <c r="AA7" s="6">
        <f t="shared" si="1"/>
        <v>9.0522477522477516</v>
      </c>
      <c r="AB7" s="7">
        <f t="shared" si="4"/>
        <v>7.01128258382024E-2</v>
      </c>
      <c r="AC7" s="7">
        <f t="shared" si="2"/>
        <v>4.9144504092197942E-2</v>
      </c>
      <c r="AD7" s="7">
        <f t="shared" si="5"/>
        <v>0.33626071907080357</v>
      </c>
      <c r="AF7" s="8" t="s">
        <v>44</v>
      </c>
      <c r="AG7" s="8">
        <v>0.5</v>
      </c>
      <c r="AH7" s="8">
        <f t="shared" si="3"/>
        <v>4.9980007996801275E-3</v>
      </c>
      <c r="AI7" s="8">
        <f>AG7/AG$10</f>
        <v>3.8940809968847349E-2</v>
      </c>
      <c r="AJ7" s="24">
        <v>3</v>
      </c>
      <c r="AK7" t="s">
        <v>125</v>
      </c>
    </row>
    <row r="8" spans="1:37">
      <c r="A8" s="4"/>
      <c r="B8" s="4"/>
      <c r="C8" s="4" t="s">
        <v>7</v>
      </c>
      <c r="D8" s="4" t="s">
        <v>26</v>
      </c>
      <c r="E8" s="5"/>
      <c r="F8" s="7">
        <v>3.9960039960039953E-2</v>
      </c>
      <c r="G8" s="40">
        <v>7</v>
      </c>
      <c r="H8" s="7"/>
      <c r="I8" s="68"/>
      <c r="J8" s="68"/>
      <c r="K8" s="68"/>
      <c r="L8" s="68"/>
      <c r="M8" s="68"/>
      <c r="N8" s="68"/>
      <c r="O8" s="26"/>
      <c r="P8" s="34"/>
      <c r="Q8" s="34"/>
      <c r="R8" s="6" t="s">
        <v>55</v>
      </c>
      <c r="S8" s="49">
        <v>5</v>
      </c>
      <c r="T8" s="49">
        <v>8</v>
      </c>
      <c r="U8" s="49">
        <v>1</v>
      </c>
      <c r="V8" s="49">
        <v>4</v>
      </c>
      <c r="W8" s="49">
        <v>0</v>
      </c>
      <c r="X8" s="49">
        <v>0</v>
      </c>
      <c r="Y8" s="49">
        <f t="shared" si="0"/>
        <v>146.12200000000001</v>
      </c>
      <c r="Z8" s="6">
        <v>146.12</v>
      </c>
      <c r="AA8" s="6">
        <f t="shared" si="1"/>
        <v>5.8389610389610382</v>
      </c>
      <c r="AB8" s="7">
        <f t="shared" si="4"/>
        <v>4.5224796051242681E-2</v>
      </c>
      <c r="AC8" s="7">
        <f t="shared" si="2"/>
        <v>3.1699623400403748E-2</v>
      </c>
      <c r="AD8" s="7">
        <f t="shared" si="5"/>
        <v>0.21694239940051838</v>
      </c>
      <c r="AG8">
        <f>SUM(AG2:AG7)</f>
        <v>100.04</v>
      </c>
    </row>
    <row r="9" spans="1:37">
      <c r="A9" s="4"/>
      <c r="B9" s="4"/>
      <c r="C9" s="4" t="s">
        <v>8</v>
      </c>
      <c r="D9" s="4" t="s">
        <v>199</v>
      </c>
      <c r="E9" s="5"/>
      <c r="F9" s="7">
        <v>7.1928071928071921E-2</v>
      </c>
      <c r="G9" s="40">
        <v>7</v>
      </c>
      <c r="H9" s="7"/>
      <c r="I9" s="68"/>
      <c r="J9" s="68"/>
      <c r="K9" s="68"/>
      <c r="L9" s="68"/>
      <c r="M9" s="68"/>
      <c r="N9" s="68"/>
      <c r="O9" s="26"/>
      <c r="P9" s="34"/>
      <c r="Q9" s="34"/>
      <c r="R9" s="6" t="s">
        <v>56</v>
      </c>
      <c r="S9" s="49">
        <v>2</v>
      </c>
      <c r="T9" s="49">
        <v>5</v>
      </c>
      <c r="U9" s="49">
        <v>1</v>
      </c>
      <c r="V9" s="49">
        <v>2</v>
      </c>
      <c r="W9" s="49">
        <v>0</v>
      </c>
      <c r="X9" s="49">
        <v>0</v>
      </c>
      <c r="Y9" s="49">
        <f t="shared" si="0"/>
        <v>75.067000000000007</v>
      </c>
      <c r="Z9" s="6">
        <v>75.069999999999993</v>
      </c>
      <c r="AA9" s="6">
        <f t="shared" si="1"/>
        <v>5.399640359640359</v>
      </c>
      <c r="AB9" s="7">
        <f t="shared" si="4"/>
        <v>4.1822103690256088E-2</v>
      </c>
      <c r="AC9" s="7">
        <f t="shared" si="2"/>
        <v>2.9314558661394454E-2</v>
      </c>
      <c r="AD9" s="7">
        <f t="shared" si="5"/>
        <v>0.39049631892093323</v>
      </c>
    </row>
    <row r="10" spans="1:37">
      <c r="A10" s="4"/>
      <c r="B10" s="4"/>
      <c r="C10" s="4" t="s">
        <v>16</v>
      </c>
      <c r="D10" s="4" t="s">
        <v>27</v>
      </c>
      <c r="E10" s="5"/>
      <c r="F10" s="7">
        <v>2.1978021978021973E-2</v>
      </c>
      <c r="G10" s="40">
        <v>7</v>
      </c>
      <c r="H10" s="7"/>
      <c r="I10" s="68"/>
      <c r="J10" s="68"/>
      <c r="K10" s="68"/>
      <c r="L10" s="68"/>
      <c r="M10" s="68"/>
      <c r="N10" s="68"/>
      <c r="O10" s="26"/>
      <c r="P10" s="34"/>
      <c r="Q10" s="34"/>
      <c r="R10" s="6" t="s">
        <v>57</v>
      </c>
      <c r="S10" s="49">
        <v>6</v>
      </c>
      <c r="T10" s="49">
        <v>9</v>
      </c>
      <c r="U10" s="49">
        <v>3</v>
      </c>
      <c r="V10" s="49">
        <v>2</v>
      </c>
      <c r="W10" s="49">
        <v>0</v>
      </c>
      <c r="X10" s="49">
        <v>0</v>
      </c>
      <c r="Y10" s="49">
        <f t="shared" si="0"/>
        <v>155.15700000000001</v>
      </c>
      <c r="Z10" s="6">
        <v>155.16</v>
      </c>
      <c r="AA10" s="6">
        <f t="shared" si="1"/>
        <v>3.4101098901098892</v>
      </c>
      <c r="AB10" s="7">
        <f t="shared" si="4"/>
        <v>2.6412494151525783E-2</v>
      </c>
      <c r="AC10" s="7">
        <f t="shared" si="2"/>
        <v>1.8513430480041435E-2</v>
      </c>
      <c r="AD10" s="7">
        <f t="shared" si="5"/>
        <v>0.11931831967028508</v>
      </c>
      <c r="AG10">
        <f>SUM(AG2:AG4,AG6:AG7)</f>
        <v>12.84</v>
      </c>
    </row>
    <row r="11" spans="1:37">
      <c r="A11" s="4"/>
      <c r="B11" s="4"/>
      <c r="C11" s="4" t="s">
        <v>11</v>
      </c>
      <c r="D11" s="4" t="s">
        <v>28</v>
      </c>
      <c r="E11" s="5"/>
      <c r="F11" s="7">
        <v>5.1948051948051938E-2</v>
      </c>
      <c r="G11" s="40">
        <v>7</v>
      </c>
      <c r="H11" s="7"/>
      <c r="I11" s="68"/>
      <c r="J11" s="68"/>
      <c r="K11" s="68"/>
      <c r="L11" s="68"/>
      <c r="M11" s="68"/>
      <c r="N11" s="68"/>
      <c r="O11" s="26"/>
      <c r="P11" s="34"/>
      <c r="Q11" s="34"/>
      <c r="R11" s="6" t="s">
        <v>58</v>
      </c>
      <c r="S11" s="50">
        <v>6</v>
      </c>
      <c r="T11" s="50">
        <v>13</v>
      </c>
      <c r="U11" s="50">
        <v>1</v>
      </c>
      <c r="V11" s="50">
        <v>2</v>
      </c>
      <c r="W11" s="50">
        <v>0</v>
      </c>
      <c r="X11" s="51">
        <v>0</v>
      </c>
      <c r="Y11" s="51">
        <f t="shared" si="0"/>
        <v>131.17500000000001</v>
      </c>
      <c r="Z11" s="6">
        <v>131.18</v>
      </c>
      <c r="AA11" s="6">
        <f t="shared" si="1"/>
        <v>6.8145454545454536</v>
      </c>
      <c r="AB11" s="7">
        <f t="shared" si="4"/>
        <v>5.2781038665498353E-2</v>
      </c>
      <c r="AC11" s="7">
        <f t="shared" si="2"/>
        <v>3.6996055139368003E-2</v>
      </c>
      <c r="AD11" s="7">
        <f t="shared" si="5"/>
        <v>0.28202511922067391</v>
      </c>
    </row>
    <row r="12" spans="1:37">
      <c r="A12" s="4"/>
      <c r="B12" s="4"/>
      <c r="C12" s="4" t="s">
        <v>12</v>
      </c>
      <c r="D12" s="4" t="s">
        <v>29</v>
      </c>
      <c r="E12" s="5"/>
      <c r="F12" s="7">
        <v>8.9910089910089891E-2</v>
      </c>
      <c r="G12" s="40">
        <v>7</v>
      </c>
      <c r="H12" s="7"/>
      <c r="I12" s="68"/>
      <c r="J12" s="68"/>
      <c r="K12" s="68"/>
      <c r="L12" s="68"/>
      <c r="M12" s="68"/>
      <c r="N12" s="68"/>
      <c r="O12" s="26"/>
      <c r="P12" s="34"/>
      <c r="Q12" s="34"/>
      <c r="R12" s="6" t="s">
        <v>58</v>
      </c>
      <c r="S12" s="50">
        <v>6</v>
      </c>
      <c r="T12" s="50">
        <v>13</v>
      </c>
      <c r="U12" s="50">
        <v>1</v>
      </c>
      <c r="V12" s="50">
        <v>2</v>
      </c>
      <c r="W12" s="50">
        <v>0</v>
      </c>
      <c r="X12" s="51">
        <v>0</v>
      </c>
      <c r="Y12" s="51">
        <f t="shared" si="0"/>
        <v>131.17500000000001</v>
      </c>
      <c r="Z12" s="6">
        <v>131.18</v>
      </c>
      <c r="AA12" s="6">
        <f t="shared" si="1"/>
        <v>11.794405594405593</v>
      </c>
      <c r="AB12" s="7">
        <f t="shared" si="4"/>
        <v>9.1351797690285619E-2</v>
      </c>
      <c r="AC12" s="7">
        <f t="shared" si="2"/>
        <v>6.4031633895060017E-2</v>
      </c>
      <c r="AD12" s="7">
        <f t="shared" si="5"/>
        <v>0.48812039865116641</v>
      </c>
    </row>
    <row r="13" spans="1:37">
      <c r="A13" s="4"/>
      <c r="B13" s="4"/>
      <c r="C13" s="4" t="s">
        <v>15</v>
      </c>
      <c r="D13" s="4" t="s">
        <v>30</v>
      </c>
      <c r="E13" s="5"/>
      <c r="F13" s="7">
        <v>5.6943056943056937E-2</v>
      </c>
      <c r="G13" s="40">
        <v>7</v>
      </c>
      <c r="H13" s="7"/>
      <c r="I13" s="68"/>
      <c r="J13" s="68"/>
      <c r="K13" s="68"/>
      <c r="L13" s="68"/>
      <c r="M13" s="68"/>
      <c r="N13" s="68"/>
      <c r="O13" s="26"/>
      <c r="P13" s="34"/>
      <c r="Q13" s="34"/>
      <c r="R13" s="6" t="s">
        <v>59</v>
      </c>
      <c r="S13" s="50">
        <v>6</v>
      </c>
      <c r="T13" s="50">
        <v>15</v>
      </c>
      <c r="U13" s="50">
        <v>2</v>
      </c>
      <c r="V13" s="50">
        <v>2</v>
      </c>
      <c r="W13" s="50">
        <v>0</v>
      </c>
      <c r="X13" s="51">
        <v>0</v>
      </c>
      <c r="Y13" s="51">
        <f t="shared" si="0"/>
        <v>147.19800000000001</v>
      </c>
      <c r="Z13" s="6">
        <f>Y13</f>
        <v>147.19800000000001</v>
      </c>
      <c r="AA13" s="6">
        <f t="shared" si="1"/>
        <v>8.3819040959040958</v>
      </c>
      <c r="AB13" s="7">
        <f t="shared" si="4"/>
        <v>6.4920779695044631E-2</v>
      </c>
      <c r="AC13" s="7">
        <f t="shared" si="2"/>
        <v>4.5505219412414456E-2</v>
      </c>
      <c r="AD13" s="7">
        <f t="shared" si="5"/>
        <v>0.30914291914573877</v>
      </c>
    </row>
    <row r="14" spans="1:37">
      <c r="A14" s="4"/>
      <c r="B14" s="4"/>
      <c r="C14" s="4" t="s">
        <v>10</v>
      </c>
      <c r="D14" s="4" t="s">
        <v>31</v>
      </c>
      <c r="E14" s="5"/>
      <c r="F14" s="7">
        <v>2.3976023976023973E-2</v>
      </c>
      <c r="G14" s="40">
        <v>7</v>
      </c>
      <c r="H14" s="7"/>
      <c r="I14" s="68"/>
      <c r="J14" s="68"/>
      <c r="K14" s="68"/>
      <c r="L14" s="68"/>
      <c r="M14" s="68"/>
      <c r="N14" s="68"/>
      <c r="O14" s="26"/>
      <c r="P14" s="34"/>
      <c r="Q14" s="34"/>
      <c r="R14" s="6" t="s">
        <v>60</v>
      </c>
      <c r="S14" s="50">
        <v>5</v>
      </c>
      <c r="T14" s="50">
        <v>11</v>
      </c>
      <c r="U14" s="50">
        <v>1</v>
      </c>
      <c r="V14" s="50">
        <v>2</v>
      </c>
      <c r="W14" s="50">
        <v>0</v>
      </c>
      <c r="X14" s="51">
        <v>1</v>
      </c>
      <c r="Y14" s="51">
        <f t="shared" si="0"/>
        <v>149.214</v>
      </c>
      <c r="Z14" s="6">
        <f>Y14</f>
        <v>149.214</v>
      </c>
      <c r="AA14" s="6">
        <f t="shared" si="1"/>
        <v>3.5775584415584412</v>
      </c>
      <c r="AB14" s="7">
        <f t="shared" si="4"/>
        <v>2.7709441765631504E-2</v>
      </c>
      <c r="AC14" s="7">
        <f t="shared" si="2"/>
        <v>1.9422505910489371E-2</v>
      </c>
      <c r="AD14" s="7">
        <f t="shared" si="5"/>
        <v>0.13016543964031105</v>
      </c>
      <c r="AF14">
        <v>1</v>
      </c>
      <c r="AG14" t="s">
        <v>121</v>
      </c>
    </row>
    <row r="15" spans="1:37">
      <c r="A15" s="4"/>
      <c r="B15" s="4"/>
      <c r="C15" s="4" t="s">
        <v>14</v>
      </c>
      <c r="D15" s="4" t="s">
        <v>32</v>
      </c>
      <c r="E15" s="5"/>
      <c r="F15" s="7">
        <v>3.8961038961038953E-2</v>
      </c>
      <c r="G15" s="40">
        <v>7</v>
      </c>
      <c r="H15" s="7"/>
      <c r="I15" s="68"/>
      <c r="J15" s="68"/>
      <c r="K15" s="68"/>
      <c r="L15" s="68"/>
      <c r="M15" s="68"/>
      <c r="N15" s="68"/>
      <c r="O15" s="26"/>
      <c r="P15" s="34"/>
      <c r="Q15" s="34"/>
      <c r="R15" s="6" t="s">
        <v>61</v>
      </c>
      <c r="S15" s="52">
        <v>9</v>
      </c>
      <c r="T15" s="52">
        <v>11</v>
      </c>
      <c r="U15" s="52">
        <v>1</v>
      </c>
      <c r="V15" s="52">
        <v>2</v>
      </c>
      <c r="W15" s="52">
        <v>0</v>
      </c>
      <c r="X15" s="53">
        <v>0</v>
      </c>
      <c r="Y15" s="53">
        <f t="shared" si="0"/>
        <v>165.19199999999998</v>
      </c>
      <c r="Z15" s="6">
        <f t="shared" ref="Z15:Z21" si="6">Y15</f>
        <v>165.19199999999998</v>
      </c>
      <c r="AA15" s="6">
        <f t="shared" si="1"/>
        <v>6.4360519480519462</v>
      </c>
      <c r="AB15" s="7">
        <f t="shared" si="4"/>
        <v>4.9849474038902671E-2</v>
      </c>
      <c r="AC15" s="7">
        <f t="shared" si="2"/>
        <v>3.4941220120726167E-2</v>
      </c>
      <c r="AD15" s="7">
        <f t="shared" si="5"/>
        <v>0.21151883941550542</v>
      </c>
      <c r="AF15">
        <v>2</v>
      </c>
      <c r="AG15" t="s">
        <v>120</v>
      </c>
    </row>
    <row r="16" spans="1:37">
      <c r="A16" s="4"/>
      <c r="B16" s="4"/>
      <c r="C16" s="4" t="s">
        <v>20</v>
      </c>
      <c r="D16" s="4" t="s">
        <v>33</v>
      </c>
      <c r="E16" s="5"/>
      <c r="F16" s="7">
        <v>5.0949050949050938E-2</v>
      </c>
      <c r="G16" s="40">
        <v>7</v>
      </c>
      <c r="H16" s="7"/>
      <c r="I16" s="68"/>
      <c r="J16" s="68"/>
      <c r="K16" s="68"/>
      <c r="L16" s="68"/>
      <c r="M16" s="68"/>
      <c r="N16" s="68"/>
      <c r="O16" s="26"/>
      <c r="P16" s="34"/>
      <c r="Q16" s="34"/>
      <c r="R16" s="6" t="s">
        <v>62</v>
      </c>
      <c r="S16" s="52">
        <v>5</v>
      </c>
      <c r="T16" s="52">
        <v>9</v>
      </c>
      <c r="U16" s="52">
        <v>1</v>
      </c>
      <c r="V16" s="52">
        <v>2</v>
      </c>
      <c r="W16" s="52">
        <v>0</v>
      </c>
      <c r="X16" s="53">
        <v>0</v>
      </c>
      <c r="Y16" s="53">
        <f t="shared" si="0"/>
        <v>115.13200000000001</v>
      </c>
      <c r="Z16" s="6">
        <f t="shared" si="6"/>
        <v>115.13200000000001</v>
      </c>
      <c r="AA16" s="6">
        <f t="shared" si="1"/>
        <v>5.8658661338661329</v>
      </c>
      <c r="AB16" s="7">
        <f t="shared" si="4"/>
        <v>4.5433185424232705E-2</v>
      </c>
      <c r="AC16" s="7">
        <f t="shared" si="2"/>
        <v>3.1845690717920122E-2</v>
      </c>
      <c r="AD16" s="7">
        <f t="shared" si="5"/>
        <v>0.27660155923566099</v>
      </c>
      <c r="AF16">
        <v>3</v>
      </c>
      <c r="AG16" t="s">
        <v>124</v>
      </c>
    </row>
    <row r="17" spans="1:34">
      <c r="A17" s="4"/>
      <c r="B17" s="4"/>
      <c r="C17" s="4" t="s">
        <v>4</v>
      </c>
      <c r="D17" s="4" t="s">
        <v>34</v>
      </c>
      <c r="E17" s="5"/>
      <c r="F17" s="7">
        <v>6.8931068931068928E-2</v>
      </c>
      <c r="G17" s="40">
        <v>7</v>
      </c>
      <c r="H17" s="7"/>
      <c r="I17" s="68"/>
      <c r="J17" s="68"/>
      <c r="K17" s="68"/>
      <c r="L17" s="68"/>
      <c r="M17" s="68"/>
      <c r="N17" s="68"/>
      <c r="O17" s="26"/>
      <c r="P17" s="34"/>
      <c r="Q17" s="34"/>
      <c r="R17" s="6" t="s">
        <v>63</v>
      </c>
      <c r="S17" s="52">
        <v>3</v>
      </c>
      <c r="T17" s="52">
        <v>7</v>
      </c>
      <c r="U17" s="52">
        <v>1</v>
      </c>
      <c r="V17" s="52">
        <v>3</v>
      </c>
      <c r="W17" s="52">
        <v>0</v>
      </c>
      <c r="X17" s="53">
        <v>0</v>
      </c>
      <c r="Y17" s="53">
        <f t="shared" si="0"/>
        <v>105.093</v>
      </c>
      <c r="Z17" s="6">
        <f t="shared" si="6"/>
        <v>105.093</v>
      </c>
      <c r="AA17" s="6">
        <f t="shared" si="1"/>
        <v>7.244172827172827</v>
      </c>
      <c r="AB17" s="7">
        <f t="shared" si="4"/>
        <v>5.6108652974868958E-2</v>
      </c>
      <c r="AC17" s="7">
        <f t="shared" si="2"/>
        <v>3.9328495075842726E-2</v>
      </c>
      <c r="AD17" s="7">
        <f t="shared" si="5"/>
        <v>0.37422563896589423</v>
      </c>
      <c r="AF17">
        <v>4</v>
      </c>
      <c r="AG17" t="s">
        <v>126</v>
      </c>
    </row>
    <row r="18" spans="1:34">
      <c r="A18" s="4"/>
      <c r="B18" s="4"/>
      <c r="C18" s="4" t="s">
        <v>3</v>
      </c>
      <c r="D18" s="4" t="s">
        <v>35</v>
      </c>
      <c r="E18" s="5"/>
      <c r="F18" s="7">
        <v>5.7942057942057937E-2</v>
      </c>
      <c r="G18" s="40">
        <v>7</v>
      </c>
      <c r="H18" s="7"/>
      <c r="I18" s="68"/>
      <c r="J18" s="68"/>
      <c r="K18" s="68"/>
      <c r="L18" s="68"/>
      <c r="M18" s="68"/>
      <c r="N18" s="68"/>
      <c r="O18" s="26"/>
      <c r="P18" s="34"/>
      <c r="Q18" s="34"/>
      <c r="R18" s="6" t="s">
        <v>64</v>
      </c>
      <c r="S18" s="52">
        <v>4</v>
      </c>
      <c r="T18" s="52">
        <v>9</v>
      </c>
      <c r="U18" s="52">
        <v>1</v>
      </c>
      <c r="V18" s="52">
        <v>3</v>
      </c>
      <c r="W18" s="52">
        <v>0</v>
      </c>
      <c r="X18" s="53">
        <v>0</v>
      </c>
      <c r="Y18" s="53">
        <f t="shared" si="0"/>
        <v>119.12</v>
      </c>
      <c r="Z18" s="6">
        <f t="shared" si="6"/>
        <v>119.12</v>
      </c>
      <c r="AA18" s="6">
        <f t="shared" si="1"/>
        <v>6.902057942057942</v>
      </c>
      <c r="AB18" s="7">
        <f t="shared" si="4"/>
        <v>5.3458853498185341E-2</v>
      </c>
      <c r="AC18" s="7">
        <f t="shared" si="2"/>
        <v>3.7471158994055141E-2</v>
      </c>
      <c r="AD18" s="7">
        <f t="shared" si="5"/>
        <v>0.3145664791307517</v>
      </c>
      <c r="AF18">
        <v>5</v>
      </c>
      <c r="AG18" t="s">
        <v>130</v>
      </c>
    </row>
    <row r="19" spans="1:34">
      <c r="A19" s="4"/>
      <c r="B19" s="4"/>
      <c r="C19" s="4" t="s">
        <v>17</v>
      </c>
      <c r="D19" s="4" t="s">
        <v>36</v>
      </c>
      <c r="E19" s="5"/>
      <c r="F19" s="7">
        <v>1.2987012987012984E-2</v>
      </c>
      <c r="G19" s="40">
        <v>7</v>
      </c>
      <c r="H19" s="7"/>
      <c r="I19" s="68"/>
      <c r="J19" s="68"/>
      <c r="K19" s="68"/>
      <c r="L19" s="68"/>
      <c r="M19" s="68"/>
      <c r="N19" s="68"/>
      <c r="O19" s="26"/>
      <c r="P19" s="34"/>
      <c r="Q19" s="34"/>
      <c r="R19" s="6" t="s">
        <v>65</v>
      </c>
      <c r="S19" s="54">
        <v>11</v>
      </c>
      <c r="T19" s="54">
        <v>12</v>
      </c>
      <c r="U19" s="54">
        <v>2</v>
      </c>
      <c r="V19" s="54">
        <v>2</v>
      </c>
      <c r="W19" s="54">
        <v>0</v>
      </c>
      <c r="X19" s="54">
        <v>0</v>
      </c>
      <c r="Y19" s="54">
        <f t="shared" si="0"/>
        <v>204.22899999999998</v>
      </c>
      <c r="Z19" s="6">
        <f t="shared" si="6"/>
        <v>204.22899999999998</v>
      </c>
      <c r="AA19" s="6">
        <f t="shared" si="1"/>
        <v>2.6523246753246745</v>
      </c>
      <c r="AB19" s="7">
        <f t="shared" si="4"/>
        <v>2.0543182546150444E-2</v>
      </c>
      <c r="AC19" s="7">
        <f t="shared" si="2"/>
        <v>1.439942701832975E-2</v>
      </c>
      <c r="AD19" s="7">
        <f t="shared" si="5"/>
        <v>7.0506279805168479E-2</v>
      </c>
      <c r="AF19">
        <v>6</v>
      </c>
      <c r="AG19" t="s">
        <v>159</v>
      </c>
    </row>
    <row r="20" spans="1:34">
      <c r="A20" s="4"/>
      <c r="B20" s="4"/>
      <c r="C20" s="4" t="s">
        <v>13</v>
      </c>
      <c r="D20" s="4" t="s">
        <v>37</v>
      </c>
      <c r="E20" s="5"/>
      <c r="F20" s="7">
        <v>3.1968031968031968E-2</v>
      </c>
      <c r="G20" s="40">
        <v>7</v>
      </c>
      <c r="H20" s="7"/>
      <c r="I20" s="68"/>
      <c r="J20" s="68"/>
      <c r="K20" s="68"/>
      <c r="L20" s="68"/>
      <c r="M20" s="68"/>
      <c r="N20" s="68"/>
      <c r="O20" s="26"/>
      <c r="P20" s="34"/>
      <c r="Q20" s="34"/>
      <c r="R20" s="6" t="s">
        <v>66</v>
      </c>
      <c r="S20" s="54">
        <v>9</v>
      </c>
      <c r="T20" s="54">
        <v>11</v>
      </c>
      <c r="U20" s="54">
        <v>1</v>
      </c>
      <c r="V20" s="54">
        <v>3</v>
      </c>
      <c r="W20" s="54">
        <v>0</v>
      </c>
      <c r="X20" s="54">
        <v>0</v>
      </c>
      <c r="Y20" s="54">
        <f t="shared" si="0"/>
        <v>181.19099999999997</v>
      </c>
      <c r="Z20" s="6">
        <f t="shared" si="6"/>
        <v>181.19099999999997</v>
      </c>
      <c r="AA20" s="6">
        <f t="shared" si="1"/>
        <v>5.7923196803196797</v>
      </c>
      <c r="AB20" s="7">
        <f t="shared" si="4"/>
        <v>4.4863542410734814E-2</v>
      </c>
      <c r="AC20" s="7">
        <f t="shared" si="2"/>
        <v>3.1446408231823465E-2</v>
      </c>
      <c r="AD20" s="7">
        <f t="shared" si="5"/>
        <v>0.17355391952041477</v>
      </c>
      <c r="AF20">
        <v>7</v>
      </c>
      <c r="AG20" t="s">
        <v>189</v>
      </c>
    </row>
    <row r="21" spans="1:34">
      <c r="A21" s="4"/>
      <c r="B21" s="4"/>
      <c r="C21" s="4" t="s">
        <v>9</v>
      </c>
      <c r="D21" s="4" t="s">
        <v>38</v>
      </c>
      <c r="E21" s="5"/>
      <c r="F21" s="7">
        <v>6.5934065934065936E-2</v>
      </c>
      <c r="G21" s="40">
        <v>7</v>
      </c>
      <c r="H21" s="7"/>
      <c r="I21" s="68"/>
      <c r="J21" s="68"/>
      <c r="K21" s="68"/>
      <c r="L21" s="68"/>
      <c r="M21" s="68"/>
      <c r="N21" s="68"/>
      <c r="O21" s="26"/>
      <c r="P21" s="34"/>
      <c r="Q21" s="34"/>
      <c r="R21" s="6" t="s">
        <v>67</v>
      </c>
      <c r="S21" s="54">
        <v>5</v>
      </c>
      <c r="T21" s="54">
        <v>11</v>
      </c>
      <c r="U21" s="54">
        <v>1</v>
      </c>
      <c r="V21" s="54">
        <v>2</v>
      </c>
      <c r="W21" s="54">
        <v>0</v>
      </c>
      <c r="X21" s="54">
        <v>0</v>
      </c>
      <c r="Y21" s="54">
        <f t="shared" si="0"/>
        <v>117.14800000000001</v>
      </c>
      <c r="Z21" s="6">
        <f t="shared" si="6"/>
        <v>117.14800000000001</v>
      </c>
      <c r="AA21" s="6">
        <f t="shared" si="1"/>
        <v>7.7240439560439569</v>
      </c>
      <c r="AB21" s="7">
        <f t="shared" si="4"/>
        <v>5.9825422754503942E-2</v>
      </c>
      <c r="AC21" s="7">
        <f t="shared" si="2"/>
        <v>4.1933707538203698E-2</v>
      </c>
      <c r="AD21" s="7">
        <f t="shared" si="5"/>
        <v>0.35795495901085544</v>
      </c>
      <c r="AF21">
        <v>8</v>
      </c>
      <c r="AG21" t="s">
        <v>191</v>
      </c>
    </row>
    <row r="22" spans="1:34">
      <c r="A22" s="4"/>
      <c r="B22" s="4"/>
      <c r="C22" s="4"/>
      <c r="D22" s="4"/>
      <c r="E22" s="5"/>
      <c r="F22" s="7">
        <f>SUM(F2:F21)</f>
        <v>0.99999999999999978</v>
      </c>
      <c r="G22" s="40"/>
      <c r="H22" s="7"/>
      <c r="I22" s="68"/>
      <c r="J22" s="68"/>
      <c r="K22" s="68"/>
      <c r="L22" s="68"/>
      <c r="M22" s="68"/>
      <c r="N22" s="68"/>
      <c r="O22" s="26"/>
      <c r="P22" s="34"/>
      <c r="Q22" s="34"/>
      <c r="R22" s="6"/>
      <c r="S22" s="54"/>
      <c r="T22" s="54"/>
      <c r="U22" s="54"/>
      <c r="V22" s="54"/>
      <c r="W22" s="54"/>
      <c r="X22" s="54"/>
      <c r="Y22" s="54"/>
      <c r="Z22" s="6"/>
      <c r="AA22" s="6">
        <f>SUM(AA2:AA21)</f>
        <v>129.10972627372624</v>
      </c>
      <c r="AB22" s="7"/>
      <c r="AC22" s="7"/>
      <c r="AD22" s="7"/>
    </row>
    <row r="23" spans="1:34">
      <c r="S23" s="57"/>
      <c r="T23" s="57"/>
      <c r="U23" s="57"/>
      <c r="V23" s="57"/>
      <c r="W23" s="57"/>
      <c r="X23" s="57"/>
      <c r="Y23" s="57"/>
    </row>
    <row r="24" spans="1:34">
      <c r="A24" s="12" t="s">
        <v>43</v>
      </c>
      <c r="B24" s="12">
        <f>AI6</f>
        <v>3.8940809968847349E-2</v>
      </c>
      <c r="C24" s="12" t="s">
        <v>45</v>
      </c>
      <c r="D24" s="12" t="s">
        <v>45</v>
      </c>
      <c r="E24" s="13"/>
      <c r="F24" s="14">
        <v>0.3</v>
      </c>
      <c r="G24" s="41"/>
      <c r="H24" s="27"/>
      <c r="I24" s="27"/>
      <c r="J24" s="27"/>
      <c r="K24" s="27"/>
      <c r="L24" s="27"/>
      <c r="M24" s="27"/>
      <c r="N24" s="27"/>
      <c r="O24" s="27"/>
      <c r="P24" s="35"/>
      <c r="Q24" s="35"/>
      <c r="R24" s="14" t="s">
        <v>79</v>
      </c>
      <c r="S24" s="58">
        <v>10</v>
      </c>
      <c r="T24" s="58">
        <v>12</v>
      </c>
      <c r="U24" s="58">
        <v>5</v>
      </c>
      <c r="V24" s="58">
        <v>6</v>
      </c>
      <c r="W24" s="58">
        <v>1</v>
      </c>
      <c r="X24" s="58">
        <v>0</v>
      </c>
      <c r="Y24" s="58">
        <f>(S24*12.011)+(T24*1.008)+(V24*15.999)+(14.007*U24)+(W24*30.974)+(X24*32.066)</f>
        <v>329.209</v>
      </c>
      <c r="Z24" s="14">
        <f>Y24</f>
        <v>329.209</v>
      </c>
      <c r="AA24" s="14">
        <f>Z24*F24</f>
        <v>98.762699999999995</v>
      </c>
      <c r="AB24" s="15">
        <f>AA24/AA$28</f>
        <v>0.30397960474498081</v>
      </c>
      <c r="AC24" s="15">
        <f>AB24*B$24</f>
        <v>1.1837212022779625E-2</v>
      </c>
      <c r="AD24" s="15">
        <f>AC24/Z24*1000</f>
        <v>3.5956526166598189E-2</v>
      </c>
    </row>
    <row r="25" spans="1:34">
      <c r="A25" s="12"/>
      <c r="B25" s="12"/>
      <c r="C25" s="12" t="s">
        <v>46</v>
      </c>
      <c r="D25" s="12" t="s">
        <v>46</v>
      </c>
      <c r="E25" s="13"/>
      <c r="F25" s="14">
        <v>0.2</v>
      </c>
      <c r="G25" s="41"/>
      <c r="H25" s="27"/>
      <c r="I25" s="27"/>
      <c r="J25" s="27"/>
      <c r="K25" s="27"/>
      <c r="L25" s="27"/>
      <c r="M25" s="27"/>
      <c r="N25" s="27"/>
      <c r="O25" s="27"/>
      <c r="P25" s="35"/>
      <c r="Q25" s="35"/>
      <c r="R25" s="14" t="s">
        <v>80</v>
      </c>
      <c r="S25" s="58">
        <v>9</v>
      </c>
      <c r="T25" s="58">
        <v>12</v>
      </c>
      <c r="U25" s="58">
        <v>3</v>
      </c>
      <c r="V25" s="58">
        <v>7</v>
      </c>
      <c r="W25" s="58">
        <v>1</v>
      </c>
      <c r="X25" s="58">
        <v>0</v>
      </c>
      <c r="Y25" s="58">
        <f>(S25*12.011)+(T25*1.008)+(V25*15.999)+(14.007*U25)+(W25*30.974)+(X25*32.066)</f>
        <v>305.18299999999999</v>
      </c>
      <c r="Z25" s="14">
        <f t="shared" ref="Z25:Z27" si="7">Y25</f>
        <v>305.18299999999999</v>
      </c>
      <c r="AA25" s="14">
        <f>Z25*F25</f>
        <v>61.0366</v>
      </c>
      <c r="AB25" s="15">
        <f t="shared" ref="AB25:AB27" si="8">AA25/AA$28</f>
        <v>0.18786324738972809</v>
      </c>
      <c r="AC25" s="15">
        <f>AB25*B$24</f>
        <v>7.3155470167339592E-3</v>
      </c>
      <c r="AD25" s="15">
        <f t="shared" ref="AD25:AD27" si="9">AC25/Z25*1000</f>
        <v>2.3971017444398803E-2</v>
      </c>
    </row>
    <row r="26" spans="1:34">
      <c r="A26" s="12"/>
      <c r="B26" s="12"/>
      <c r="C26" s="12" t="s">
        <v>47</v>
      </c>
      <c r="D26" s="12" t="s">
        <v>47</v>
      </c>
      <c r="E26" s="13"/>
      <c r="F26" s="14">
        <v>0.2</v>
      </c>
      <c r="G26" s="41"/>
      <c r="H26" s="27"/>
      <c r="I26" s="27"/>
      <c r="J26" s="27"/>
      <c r="K26" s="27"/>
      <c r="L26" s="27"/>
      <c r="M26" s="27"/>
      <c r="N26" s="27"/>
      <c r="O26" s="27"/>
      <c r="P26" s="35"/>
      <c r="Q26" s="35"/>
      <c r="R26" s="14" t="s">
        <v>81</v>
      </c>
      <c r="S26" s="58">
        <v>10</v>
      </c>
      <c r="T26" s="58">
        <v>12</v>
      </c>
      <c r="U26" s="58">
        <v>5</v>
      </c>
      <c r="V26" s="58">
        <v>7</v>
      </c>
      <c r="W26" s="58">
        <v>1</v>
      </c>
      <c r="X26" s="58">
        <v>0</v>
      </c>
      <c r="Y26" s="58">
        <f>(S26*12.011)+(T26*1.008)+(V26*15.999)+(14.007*U26)+(W26*30.974)+(X26*32.066)</f>
        <v>345.20800000000003</v>
      </c>
      <c r="Z26" s="14">
        <f t="shared" si="7"/>
        <v>345.20800000000003</v>
      </c>
      <c r="AA26" s="14">
        <f>Z26*F26</f>
        <v>69.041600000000003</v>
      </c>
      <c r="AB26" s="15">
        <f t="shared" si="8"/>
        <v>0.21250166590181385</v>
      </c>
      <c r="AC26" s="15">
        <f>AB26*B$24</f>
        <v>8.2749869899460225E-3</v>
      </c>
      <c r="AD26" s="15">
        <f t="shared" si="9"/>
        <v>2.3971017444398803E-2</v>
      </c>
    </row>
    <row r="27" spans="1:34">
      <c r="A27" s="12"/>
      <c r="B27" s="12"/>
      <c r="C27" s="12" t="s">
        <v>48</v>
      </c>
      <c r="D27" s="12" t="s">
        <v>48</v>
      </c>
      <c r="E27" s="13"/>
      <c r="F27" s="14">
        <v>0.3</v>
      </c>
      <c r="G27" s="41"/>
      <c r="H27" s="27"/>
      <c r="I27" s="27"/>
      <c r="J27" s="27"/>
      <c r="K27" s="27"/>
      <c r="L27" s="27"/>
      <c r="M27" s="27"/>
      <c r="N27" s="27"/>
      <c r="O27" s="27"/>
      <c r="P27" s="35"/>
      <c r="Q27" s="35"/>
      <c r="R27" s="14" t="s">
        <v>82</v>
      </c>
      <c r="S27" s="58">
        <v>10</v>
      </c>
      <c r="T27" s="58">
        <v>13</v>
      </c>
      <c r="U27" s="58">
        <v>2</v>
      </c>
      <c r="V27" s="58">
        <v>8</v>
      </c>
      <c r="W27" s="58">
        <v>1</v>
      </c>
      <c r="X27" s="58">
        <v>0</v>
      </c>
      <c r="Y27" s="58">
        <f>(S27*12.011)+(T27*1.008)+(V27*15.999)+(14.007*U27)+(W27*30.974)+(X27*32.066)</f>
        <v>320.19400000000002</v>
      </c>
      <c r="Z27" s="14">
        <f t="shared" si="7"/>
        <v>320.19400000000002</v>
      </c>
      <c r="AA27" s="14">
        <f>Z27*F27</f>
        <v>96.058199999999999</v>
      </c>
      <c r="AB27" s="15">
        <f t="shared" si="8"/>
        <v>0.2956554819634773</v>
      </c>
      <c r="AC27" s="15">
        <f>AB27*B$24</f>
        <v>1.1513063939387745E-2</v>
      </c>
      <c r="AD27" s="15">
        <f t="shared" si="9"/>
        <v>3.5956526166598196E-2</v>
      </c>
      <c r="AH27" s="25"/>
    </row>
    <row r="28" spans="1:34">
      <c r="A28" s="12"/>
      <c r="B28" s="12"/>
      <c r="C28" s="12"/>
      <c r="D28" s="12"/>
      <c r="E28" s="13"/>
      <c r="F28" s="14">
        <f>SUM(F24:F27)</f>
        <v>1</v>
      </c>
      <c r="G28" s="41"/>
      <c r="H28" s="27"/>
      <c r="I28" s="27"/>
      <c r="J28" s="27"/>
      <c r="K28" s="27"/>
      <c r="L28" s="27"/>
      <c r="M28" s="27"/>
      <c r="N28" s="27"/>
      <c r="O28" s="27"/>
      <c r="P28" s="35"/>
      <c r="Q28" s="35"/>
      <c r="R28" s="14"/>
      <c r="S28" s="58"/>
      <c r="T28" s="58"/>
      <c r="U28" s="58"/>
      <c r="V28" s="58"/>
      <c r="W28" s="58"/>
      <c r="X28" s="58"/>
      <c r="Y28" s="58"/>
      <c r="Z28" s="14"/>
      <c r="AA28" s="14">
        <f>SUM(AA24:AA27)</f>
        <v>324.89909999999998</v>
      </c>
      <c r="AB28" s="15"/>
      <c r="AC28" s="15"/>
      <c r="AD28" s="15"/>
    </row>
    <row r="29" spans="1:34">
      <c r="S29" s="57"/>
      <c r="T29" s="57"/>
      <c r="U29" s="57"/>
      <c r="V29" s="57"/>
      <c r="W29" s="57"/>
      <c r="X29" s="57"/>
      <c r="Y29" s="57"/>
    </row>
    <row r="30" spans="1:34">
      <c r="A30" s="8" t="s">
        <v>44</v>
      </c>
      <c r="B30" s="8">
        <f>AI7</f>
        <v>3.8940809968847349E-2</v>
      </c>
      <c r="C30" s="8" t="s">
        <v>69</v>
      </c>
      <c r="D30" s="8" t="s">
        <v>69</v>
      </c>
      <c r="E30" s="9"/>
      <c r="F30" s="10">
        <v>0.20799999999999999</v>
      </c>
      <c r="G30" s="42">
        <v>8</v>
      </c>
      <c r="H30" s="28"/>
      <c r="I30" s="28"/>
      <c r="J30" s="28"/>
      <c r="K30" s="28"/>
      <c r="L30" s="28"/>
      <c r="M30" s="28"/>
      <c r="N30" s="28"/>
      <c r="O30" s="28"/>
      <c r="P30" s="36"/>
      <c r="Q30" s="36"/>
      <c r="R30" s="10" t="s">
        <v>179</v>
      </c>
      <c r="S30" s="55">
        <v>10</v>
      </c>
      <c r="T30" s="55">
        <v>12</v>
      </c>
      <c r="U30" s="55">
        <v>5</v>
      </c>
      <c r="V30" s="55">
        <v>7</v>
      </c>
      <c r="W30" s="55">
        <v>1</v>
      </c>
      <c r="X30" s="55">
        <v>0</v>
      </c>
      <c r="Y30" s="55">
        <f>(S30*12.011)+(T30*1.008)+(V30*15.999)+(14.007*U30)+(W30*30.974)+(X30*32.066)</f>
        <v>345.20800000000003</v>
      </c>
      <c r="Z30" s="10">
        <f>Y30</f>
        <v>345.20800000000003</v>
      </c>
      <c r="AA30" s="10">
        <f>Z30*F30</f>
        <v>71.803263999999999</v>
      </c>
      <c r="AB30" s="11">
        <f>AA30/AA$34</f>
        <v>0.21250508213285454</v>
      </c>
      <c r="AC30" s="11">
        <f>AB30*B$30</f>
        <v>8.2751200207497877E-3</v>
      </c>
      <c r="AD30" s="11">
        <f>AC30/Z30*1000</f>
        <v>2.3971402808595939E-2</v>
      </c>
    </row>
    <row r="31" spans="1:34">
      <c r="A31" s="8"/>
      <c r="B31" s="8"/>
      <c r="C31" s="8" t="s">
        <v>70</v>
      </c>
      <c r="D31" s="8" t="s">
        <v>70</v>
      </c>
      <c r="E31" s="9"/>
      <c r="F31" s="10">
        <v>0.318</v>
      </c>
      <c r="G31" s="42"/>
      <c r="H31" s="28"/>
      <c r="I31" s="28"/>
      <c r="J31" s="28"/>
      <c r="K31" s="28"/>
      <c r="L31" s="28"/>
      <c r="M31" s="28"/>
      <c r="N31" s="28"/>
      <c r="O31" s="28"/>
      <c r="P31" s="36"/>
      <c r="Q31" s="36"/>
      <c r="R31" s="10" t="s">
        <v>180</v>
      </c>
      <c r="S31" s="55">
        <v>9</v>
      </c>
      <c r="T31" s="55">
        <v>12</v>
      </c>
      <c r="U31" s="55">
        <v>3</v>
      </c>
      <c r="V31" s="55">
        <v>8</v>
      </c>
      <c r="W31" s="55">
        <v>1</v>
      </c>
      <c r="X31" s="55">
        <v>0</v>
      </c>
      <c r="Y31" s="55">
        <f>(S31*12.011)+(T31*1.008)+(V31*15.999)+(14.007*U31)+(W31*30.974)+(X31*32.066)</f>
        <v>321.18200000000002</v>
      </c>
      <c r="Z31" s="10">
        <f t="shared" ref="Z31:Z33" si="10">Y31</f>
        <v>321.18200000000002</v>
      </c>
      <c r="AA31" s="10">
        <f>Z31*F31</f>
        <v>102.13587600000001</v>
      </c>
      <c r="AB31" s="11">
        <f t="shared" ref="AB31:AB33" si="11">AA31/AA$34</f>
        <v>0.30227585083167041</v>
      </c>
      <c r="AC31" s="11">
        <f>AB31*B$30</f>
        <v>1.1770866465407726E-2</v>
      </c>
      <c r="AD31" s="11">
        <f t="shared" ref="AD31:AD33" si="12">AC31/Z31*1000</f>
        <v>3.6648586986218798E-2</v>
      </c>
    </row>
    <row r="32" spans="1:34">
      <c r="A32" s="8"/>
      <c r="B32" s="8"/>
      <c r="C32" s="8" t="s">
        <v>71</v>
      </c>
      <c r="D32" s="8" t="s">
        <v>71</v>
      </c>
      <c r="E32" s="9"/>
      <c r="F32" s="10">
        <v>0.28799999999999998</v>
      </c>
      <c r="G32" s="42"/>
      <c r="H32" s="28"/>
      <c r="I32" s="28"/>
      <c r="J32" s="28"/>
      <c r="K32" s="28"/>
      <c r="L32" s="28"/>
      <c r="M32" s="28"/>
      <c r="N32" s="28"/>
      <c r="O32" s="28"/>
      <c r="P32" s="36"/>
      <c r="Q32" s="36"/>
      <c r="R32" s="10" t="s">
        <v>83</v>
      </c>
      <c r="S32" s="55">
        <v>10</v>
      </c>
      <c r="T32" s="55">
        <v>12</v>
      </c>
      <c r="U32" s="55">
        <v>5</v>
      </c>
      <c r="V32" s="55">
        <v>8</v>
      </c>
      <c r="W32" s="55">
        <v>1</v>
      </c>
      <c r="X32" s="55">
        <v>0</v>
      </c>
      <c r="Y32" s="55">
        <f t="shared" ref="Y32:Y33" si="13">(S32*12.011)+(T32*1.008)+(V32*15.999)+(14.007*U32)+(W32*30.974)+(X32*32.066)</f>
        <v>361.20699999999994</v>
      </c>
      <c r="Z32" s="10">
        <f t="shared" si="10"/>
        <v>361.20699999999994</v>
      </c>
      <c r="AA32" s="10">
        <f>Z32*F32</f>
        <v>104.02761599999998</v>
      </c>
      <c r="AB32" s="11">
        <f t="shared" si="11"/>
        <v>0.30787454289215949</v>
      </c>
      <c r="AC32" s="11">
        <f>AB32*B$30</f>
        <v>1.1988884069009324E-2</v>
      </c>
      <c r="AD32" s="11">
        <f t="shared" si="12"/>
        <v>3.319117311959438E-2</v>
      </c>
    </row>
    <row r="33" spans="1:37">
      <c r="A33" s="8"/>
      <c r="B33" s="8"/>
      <c r="C33" s="8" t="s">
        <v>190</v>
      </c>
      <c r="D33" s="8" t="s">
        <v>190</v>
      </c>
      <c r="E33" s="9"/>
      <c r="F33" s="10">
        <v>0.186</v>
      </c>
      <c r="G33" s="42"/>
      <c r="H33" s="28"/>
      <c r="I33" s="28"/>
      <c r="J33" s="28"/>
      <c r="K33" s="28"/>
      <c r="L33" s="28"/>
      <c r="M33" s="28"/>
      <c r="N33" s="28"/>
      <c r="O33" s="28"/>
      <c r="P33" s="36"/>
      <c r="Q33" s="36"/>
      <c r="R33" s="10" t="s">
        <v>84</v>
      </c>
      <c r="S33" s="55">
        <v>9</v>
      </c>
      <c r="T33" s="55">
        <v>11</v>
      </c>
      <c r="U33" s="55">
        <v>2</v>
      </c>
      <c r="V33" s="55">
        <v>9</v>
      </c>
      <c r="W33" s="55">
        <v>1</v>
      </c>
      <c r="X33" s="55">
        <v>0</v>
      </c>
      <c r="Y33" s="55">
        <f t="shared" si="13"/>
        <v>322.166</v>
      </c>
      <c r="Z33" s="10">
        <f t="shared" si="10"/>
        <v>322.166</v>
      </c>
      <c r="AA33" s="10">
        <f>Z33*F33</f>
        <v>59.922876000000002</v>
      </c>
      <c r="AB33" s="11">
        <f t="shared" si="11"/>
        <v>0.17734452414331553</v>
      </c>
      <c r="AC33" s="11">
        <f>AB33*B$30</f>
        <v>6.9059394136805107E-3</v>
      </c>
      <c r="AD33" s="11">
        <f t="shared" si="12"/>
        <v>2.1435965973071368E-2</v>
      </c>
    </row>
    <row r="34" spans="1:37">
      <c r="A34" s="8"/>
      <c r="B34" s="8"/>
      <c r="C34" s="8"/>
      <c r="D34" s="8"/>
      <c r="E34" s="9"/>
      <c r="F34" s="10">
        <f>SUM(F30:F33)</f>
        <v>1</v>
      </c>
      <c r="G34" s="42"/>
      <c r="H34" s="28"/>
      <c r="I34" s="28"/>
      <c r="J34" s="28"/>
      <c r="K34" s="28"/>
      <c r="L34" s="28"/>
      <c r="M34" s="28"/>
      <c r="N34" s="28"/>
      <c r="O34" s="28"/>
      <c r="P34" s="36"/>
      <c r="Q34" s="36"/>
      <c r="R34" s="10"/>
      <c r="S34" s="55"/>
      <c r="T34" s="55"/>
      <c r="U34" s="55"/>
      <c r="V34" s="55"/>
      <c r="W34" s="55"/>
      <c r="X34" s="55"/>
      <c r="Y34" s="55"/>
      <c r="Z34" s="10"/>
      <c r="AA34" s="10">
        <f>SUM(AA30:AA33)</f>
        <v>337.88963200000001</v>
      </c>
      <c r="AB34" s="11"/>
      <c r="AC34" s="11"/>
      <c r="AD34" s="11"/>
    </row>
    <row r="35" spans="1:37">
      <c r="S35" s="48"/>
      <c r="T35" s="48"/>
      <c r="U35" s="48"/>
      <c r="V35" s="48"/>
      <c r="W35" s="48"/>
      <c r="X35" s="48"/>
      <c r="Y35" s="48"/>
    </row>
    <row r="36" spans="1:37">
      <c r="A36" s="16" t="s">
        <v>40</v>
      </c>
      <c r="B36" s="16">
        <f>AI3</f>
        <v>0.21806853582554517</v>
      </c>
      <c r="C36" s="16" t="s">
        <v>99</v>
      </c>
      <c r="D36" s="16" t="s">
        <v>85</v>
      </c>
      <c r="E36" s="17"/>
      <c r="F36" s="46">
        <v>0.05</v>
      </c>
      <c r="G36" s="43" t="s">
        <v>160</v>
      </c>
      <c r="H36" s="70">
        <v>2.7000000000000001E-3</v>
      </c>
      <c r="I36" s="70">
        <v>9.3899999999999997E-2</v>
      </c>
      <c r="J36" s="70">
        <v>2.0899999999999998E-2</v>
      </c>
      <c r="K36" s="70">
        <v>1.6199999999999999E-2</v>
      </c>
      <c r="L36" s="29">
        <f>AVERAGE(J36:K36)</f>
        <v>1.8549999999999997E-2</v>
      </c>
      <c r="M36" s="29">
        <f>AVERAGE(L36,I36,H36)</f>
        <v>3.8383333333333332E-2</v>
      </c>
      <c r="N36" s="32">
        <v>3.7999999999999999E-2</v>
      </c>
      <c r="O36" s="32">
        <f t="shared" ref="O36:O42" si="14">N36/N$65</f>
        <v>4.922279792746112E-2</v>
      </c>
      <c r="P36" s="37">
        <v>4.9000000000000002E-2</v>
      </c>
      <c r="Q36" s="37">
        <f>N36/N$66</f>
        <v>0.13380281690140847</v>
      </c>
      <c r="R36" s="18" t="s">
        <v>181</v>
      </c>
      <c r="S36" s="56">
        <v>24</v>
      </c>
      <c r="T36" s="56">
        <v>48</v>
      </c>
      <c r="U36" s="56">
        <v>2</v>
      </c>
      <c r="V36" s="56">
        <v>6</v>
      </c>
      <c r="W36" s="56">
        <v>1</v>
      </c>
      <c r="X36" s="56">
        <v>0</v>
      </c>
      <c r="Y36" s="66">
        <f t="shared" ref="Y36:Y62" si="15">(S36*12.011)+(T36*1.008)+(V36*15.999)+(14.007*U36)+(W36*30.974)+(X36*32.066)</f>
        <v>491.63000000000005</v>
      </c>
      <c r="Z36" s="18">
        <f>Y36</f>
        <v>491.63000000000005</v>
      </c>
      <c r="AA36" s="18">
        <f>Z36*F36</f>
        <v>24.581500000000005</v>
      </c>
      <c r="AB36" s="19">
        <f t="shared" ref="AB36:AB56" si="16">AA36/AA$65</f>
        <v>6.2841217470048144E-2</v>
      </c>
      <c r="AC36" s="19">
        <f>AB36*B$36</f>
        <v>1.3703692283188068E-2</v>
      </c>
      <c r="AD36" s="19">
        <f>AC36/Z36*1000</f>
        <v>2.7873995246807694E-2</v>
      </c>
    </row>
    <row r="37" spans="1:37">
      <c r="A37" s="16"/>
      <c r="B37" s="16"/>
      <c r="C37" s="16" t="s">
        <v>100</v>
      </c>
      <c r="D37" s="16" t="s">
        <v>86</v>
      </c>
      <c r="E37" s="17"/>
      <c r="F37" s="46">
        <v>0.33</v>
      </c>
      <c r="G37" s="43" t="s">
        <v>160</v>
      </c>
      <c r="H37" s="70">
        <v>0.251</v>
      </c>
      <c r="I37" s="70" t="s">
        <v>239</v>
      </c>
      <c r="J37" s="70">
        <v>0.26500000000000001</v>
      </c>
      <c r="K37" s="70">
        <v>0.26500000000000001</v>
      </c>
      <c r="L37" s="29">
        <f t="shared" ref="L37:L60" si="17">AVERAGE(J37:K37)</f>
        <v>0.26500000000000001</v>
      </c>
      <c r="M37" s="29">
        <f t="shared" ref="M37:M60" si="18">AVERAGE(L37,I37,H37)</f>
        <v>0.25800000000000001</v>
      </c>
      <c r="N37" s="29">
        <v>0.25800000000000001</v>
      </c>
      <c r="O37" s="32">
        <f t="shared" si="14"/>
        <v>0.33419689119170976</v>
      </c>
      <c r="P37" s="37">
        <v>0.33400000000000002</v>
      </c>
      <c r="Q37" s="37"/>
      <c r="R37" s="18" t="s">
        <v>182</v>
      </c>
      <c r="S37" s="56">
        <v>27</v>
      </c>
      <c r="T37" s="56">
        <v>46</v>
      </c>
      <c r="U37" s="56">
        <v>0</v>
      </c>
      <c r="V37" s="56">
        <v>1</v>
      </c>
      <c r="W37" s="56">
        <v>0</v>
      </c>
      <c r="X37" s="56">
        <v>0</v>
      </c>
      <c r="Y37" s="66">
        <f t="shared" si="15"/>
        <v>386.66399999999999</v>
      </c>
      <c r="Z37" s="18">
        <f t="shared" ref="Z37:Z39" si="19">Y37</f>
        <v>386.66399999999999</v>
      </c>
      <c r="AA37" s="18">
        <f t="shared" ref="AA37:AA60" si="20">Z37*F37</f>
        <v>127.59912</v>
      </c>
      <c r="AB37" s="19">
        <f t="shared" si="16"/>
        <v>0.3261999491042763</v>
      </c>
      <c r="AC37" s="19">
        <f t="shared" ref="AC37:AC62" si="21">AB37*B$36</f>
        <v>7.1133945287536887E-2</v>
      </c>
      <c r="AD37" s="19">
        <f t="shared" ref="AD37:AD62" si="22">AC37/Z37*1000</f>
        <v>0.18396836862893079</v>
      </c>
    </row>
    <row r="38" spans="1:37">
      <c r="A38" s="16"/>
      <c r="B38" s="16"/>
      <c r="C38" s="16" t="s">
        <v>101</v>
      </c>
      <c r="D38" s="16" t="s">
        <v>87</v>
      </c>
      <c r="E38" s="17"/>
      <c r="F38" s="46">
        <v>0.13</v>
      </c>
      <c r="G38" s="43">
        <v>6</v>
      </c>
      <c r="H38" s="70">
        <v>0</v>
      </c>
      <c r="I38" s="70">
        <v>0</v>
      </c>
      <c r="J38" s="70">
        <v>0.29599999999999999</v>
      </c>
      <c r="K38" s="70">
        <v>0.28599999999999998</v>
      </c>
      <c r="L38" s="29">
        <f t="shared" si="17"/>
        <v>0.29099999999999998</v>
      </c>
      <c r="M38" s="29">
        <f t="shared" si="18"/>
        <v>9.6999999999999989E-2</v>
      </c>
      <c r="N38" s="29">
        <v>0.1</v>
      </c>
      <c r="O38" s="32">
        <f t="shared" si="14"/>
        <v>0.12953367875647664</v>
      </c>
      <c r="P38" s="37">
        <v>0.13</v>
      </c>
      <c r="Q38" s="37"/>
      <c r="R38" s="18" t="s">
        <v>110</v>
      </c>
      <c r="S38" s="56">
        <v>28</v>
      </c>
      <c r="T38" s="56">
        <v>45</v>
      </c>
      <c r="U38" s="56">
        <v>0</v>
      </c>
      <c r="V38" s="56">
        <v>2</v>
      </c>
      <c r="W38" s="56">
        <v>0</v>
      </c>
      <c r="X38" s="56">
        <v>0</v>
      </c>
      <c r="Y38" s="66">
        <f t="shared" si="15"/>
        <v>413.666</v>
      </c>
      <c r="Z38" s="18">
        <f t="shared" si="19"/>
        <v>413.666</v>
      </c>
      <c r="AA38" s="18">
        <f t="shared" si="20"/>
        <v>53.776580000000003</v>
      </c>
      <c r="AB38" s="19">
        <f t="shared" si="16"/>
        <v>0.13747679183839234</v>
      </c>
      <c r="AC38" s="19">
        <f t="shared" si="21"/>
        <v>2.9979362706191476E-2</v>
      </c>
      <c r="AD38" s="19">
        <f t="shared" si="22"/>
        <v>7.2472387641700012E-2</v>
      </c>
    </row>
    <row r="39" spans="1:37">
      <c r="A39" s="16"/>
      <c r="B39" s="16"/>
      <c r="C39" s="16" t="s">
        <v>103</v>
      </c>
      <c r="D39" s="16" t="s">
        <v>88</v>
      </c>
      <c r="E39" s="17"/>
      <c r="F39" s="46">
        <v>0.02</v>
      </c>
      <c r="G39" s="43">
        <v>6</v>
      </c>
      <c r="H39" s="70">
        <f>0.0126/3</f>
        <v>4.1999999999999997E-3</v>
      </c>
      <c r="I39" s="70">
        <f>0.0621/3</f>
        <v>2.07E-2</v>
      </c>
      <c r="J39" s="70">
        <f>0.0791/3</f>
        <v>2.6366666666666667E-2</v>
      </c>
      <c r="K39" s="70">
        <f>0.101/3</f>
        <v>3.3666666666666671E-2</v>
      </c>
      <c r="L39" s="29">
        <f t="shared" si="17"/>
        <v>3.0016666666666671E-2</v>
      </c>
      <c r="M39" s="29">
        <f t="shared" si="18"/>
        <v>1.8305555555555558E-2</v>
      </c>
      <c r="N39" s="32">
        <v>1.7999999999999999E-2</v>
      </c>
      <c r="O39" s="32">
        <f t="shared" si="14"/>
        <v>2.3316062176165796E-2</v>
      </c>
      <c r="P39" s="37">
        <v>2.3E-2</v>
      </c>
      <c r="Q39" s="37"/>
      <c r="R39" s="18" t="s">
        <v>183</v>
      </c>
      <c r="S39" s="56">
        <v>4</v>
      </c>
      <c r="T39" s="56">
        <v>7</v>
      </c>
      <c r="U39" s="56">
        <v>0</v>
      </c>
      <c r="V39" s="56">
        <v>4</v>
      </c>
      <c r="W39" s="56">
        <v>0</v>
      </c>
      <c r="X39" s="56">
        <v>0</v>
      </c>
      <c r="Y39" s="66">
        <f t="shared" si="15"/>
        <v>119.096</v>
      </c>
      <c r="Z39" s="18">
        <f t="shared" si="19"/>
        <v>119.096</v>
      </c>
      <c r="AA39" s="18">
        <f t="shared" si="20"/>
        <v>2.38192</v>
      </c>
      <c r="AB39" s="19">
        <f t="shared" si="16"/>
        <v>6.089244054116187E-3</v>
      </c>
      <c r="AC39" s="19">
        <f t="shared" si="21"/>
        <v>1.3278725351655236E-3</v>
      </c>
      <c r="AD39" s="19">
        <f t="shared" si="22"/>
        <v>1.1149598098723077E-2</v>
      </c>
    </row>
    <row r="40" spans="1:37">
      <c r="A40" s="16"/>
      <c r="B40" s="16"/>
      <c r="C40" s="45" t="s">
        <v>161</v>
      </c>
      <c r="D40" s="45" t="s">
        <v>236</v>
      </c>
      <c r="E40" s="17"/>
      <c r="F40" s="46"/>
      <c r="G40" s="43">
        <v>6</v>
      </c>
      <c r="H40" s="70">
        <v>8.2000000000000003E-2</v>
      </c>
      <c r="I40" s="70">
        <v>3.2000000000000001E-2</v>
      </c>
      <c r="J40" s="70">
        <v>1.8100000000000002E-2</v>
      </c>
      <c r="K40" s="70">
        <v>1.4500000000000001E-2</v>
      </c>
      <c r="L40" s="29">
        <f t="shared" si="17"/>
        <v>1.6300000000000002E-2</v>
      </c>
      <c r="M40" s="29">
        <f t="shared" si="18"/>
        <v>4.3433333333333331E-2</v>
      </c>
      <c r="N40" s="69">
        <v>0</v>
      </c>
      <c r="O40" s="32">
        <f t="shared" si="14"/>
        <v>0</v>
      </c>
      <c r="P40" s="37">
        <v>0</v>
      </c>
      <c r="Q40" s="37"/>
      <c r="R40" s="31" t="s">
        <v>186</v>
      </c>
      <c r="S40" s="45">
        <v>11</v>
      </c>
      <c r="T40" s="45">
        <v>16</v>
      </c>
      <c r="U40" s="45">
        <v>0</v>
      </c>
      <c r="V40" s="45">
        <v>10</v>
      </c>
      <c r="W40" s="45">
        <v>0</v>
      </c>
      <c r="X40" s="45">
        <v>0</v>
      </c>
      <c r="Y40" s="67">
        <f t="shared" si="15"/>
        <v>308.23899999999998</v>
      </c>
      <c r="Z40" s="18">
        <f>Y40</f>
        <v>308.23899999999998</v>
      </c>
      <c r="AA40" s="18">
        <f t="shared" si="20"/>
        <v>0</v>
      </c>
      <c r="AB40" s="19">
        <f t="shared" si="16"/>
        <v>0</v>
      </c>
      <c r="AC40" s="19">
        <f t="shared" si="21"/>
        <v>0</v>
      </c>
      <c r="AD40" s="19">
        <f t="shared" si="22"/>
        <v>0</v>
      </c>
    </row>
    <row r="41" spans="1:37">
      <c r="A41" s="16"/>
      <c r="B41" s="16"/>
      <c r="C41" s="16" t="s">
        <v>102</v>
      </c>
      <c r="D41" s="16" t="s">
        <v>89</v>
      </c>
      <c r="E41" s="17"/>
      <c r="F41" s="46">
        <v>0.02</v>
      </c>
      <c r="G41" s="43">
        <v>6</v>
      </c>
      <c r="H41" s="70">
        <f>0.0126/3</f>
        <v>4.1999999999999997E-3</v>
      </c>
      <c r="I41" s="70">
        <f>0.0621/3</f>
        <v>2.07E-2</v>
      </c>
      <c r="J41" s="70">
        <f>0.0791/3</f>
        <v>2.6366666666666667E-2</v>
      </c>
      <c r="K41" s="70">
        <f>0.101/3</f>
        <v>3.3666666666666671E-2</v>
      </c>
      <c r="L41" s="29">
        <f t="shared" si="17"/>
        <v>3.0016666666666671E-2</v>
      </c>
      <c r="M41" s="29">
        <f t="shared" si="18"/>
        <v>1.8305555555555558E-2</v>
      </c>
      <c r="N41" s="32">
        <v>1.7999999999999999E-2</v>
      </c>
      <c r="O41" s="32">
        <f t="shared" si="14"/>
        <v>2.3316062176165796E-2</v>
      </c>
      <c r="P41" s="37">
        <v>2.3E-2</v>
      </c>
      <c r="Q41" s="37"/>
      <c r="R41" s="18" t="s">
        <v>111</v>
      </c>
      <c r="S41" s="56">
        <v>5</v>
      </c>
      <c r="T41" s="56">
        <v>6</v>
      </c>
      <c r="U41" s="56">
        <v>0</v>
      </c>
      <c r="V41" s="56">
        <v>5</v>
      </c>
      <c r="W41" s="56">
        <v>0</v>
      </c>
      <c r="X41" s="56">
        <v>0</v>
      </c>
      <c r="Y41" s="66">
        <f t="shared" si="15"/>
        <v>146.09800000000001</v>
      </c>
      <c r="Z41" s="18">
        <f t="shared" ref="Z41:Z62" si="23">Y41</f>
        <v>146.09800000000001</v>
      </c>
      <c r="AA41" s="18">
        <f t="shared" si="20"/>
        <v>2.9219600000000003</v>
      </c>
      <c r="AB41" s="19">
        <f t="shared" si="16"/>
        <v>7.4698258364535065E-3</v>
      </c>
      <c r="AC41" s="19">
        <f t="shared" si="21"/>
        <v>1.6289339830272444E-3</v>
      </c>
      <c r="AD41" s="19">
        <f t="shared" si="22"/>
        <v>1.1149598098723078E-2</v>
      </c>
      <c r="AF41" s="48"/>
      <c r="AG41" s="48"/>
      <c r="AH41" s="48"/>
      <c r="AI41" s="48"/>
      <c r="AJ41" s="48"/>
      <c r="AK41" s="48"/>
    </row>
    <row r="42" spans="1:37">
      <c r="A42" s="16"/>
      <c r="B42" s="16"/>
      <c r="C42" s="16" t="s">
        <v>104</v>
      </c>
      <c r="D42" s="16" t="s">
        <v>90</v>
      </c>
      <c r="E42" s="17"/>
      <c r="F42" s="46">
        <v>0.03</v>
      </c>
      <c r="G42" s="43" t="s">
        <v>160</v>
      </c>
      <c r="H42" s="70">
        <v>1.5299999999999999E-2</v>
      </c>
      <c r="I42" s="70">
        <v>5.1999999999999998E-3</v>
      </c>
      <c r="J42" s="70">
        <v>3.8399999999999997E-2</v>
      </c>
      <c r="K42" s="70">
        <v>3.61E-2</v>
      </c>
      <c r="L42" s="29">
        <f t="shared" si="17"/>
        <v>3.7249999999999998E-2</v>
      </c>
      <c r="M42" s="29">
        <f t="shared" si="18"/>
        <v>1.925E-2</v>
      </c>
      <c r="N42" s="29">
        <v>1.9E-2</v>
      </c>
      <c r="O42" s="32">
        <f t="shared" si="14"/>
        <v>2.461139896373056E-2</v>
      </c>
      <c r="P42" s="37">
        <v>2.5000000000000001E-2</v>
      </c>
      <c r="Q42" s="37">
        <f>N42/N$66</f>
        <v>6.6901408450704233E-2</v>
      </c>
      <c r="R42" s="18" t="s">
        <v>112</v>
      </c>
      <c r="S42" s="56">
        <v>11</v>
      </c>
      <c r="T42" s="56">
        <v>16</v>
      </c>
      <c r="U42" s="56">
        <v>0</v>
      </c>
      <c r="V42" s="56">
        <v>13</v>
      </c>
      <c r="W42" s="56">
        <v>1</v>
      </c>
      <c r="X42" s="56">
        <v>0</v>
      </c>
      <c r="Y42" s="66">
        <f t="shared" si="15"/>
        <v>387.21</v>
      </c>
      <c r="Z42" s="18">
        <f t="shared" si="23"/>
        <v>387.21</v>
      </c>
      <c r="AA42" s="18">
        <f t="shared" si="20"/>
        <v>11.616299999999999</v>
      </c>
      <c r="AB42" s="19">
        <f t="shared" si="16"/>
        <v>2.9696415373240855E-2</v>
      </c>
      <c r="AC42" s="19">
        <f t="shared" si="21"/>
        <v>6.4758538197098436E-3</v>
      </c>
      <c r="AD42" s="19">
        <f t="shared" si="22"/>
        <v>1.6724397148084616E-2</v>
      </c>
    </row>
    <row r="43" spans="1:37" hidden="1">
      <c r="A43" s="16"/>
      <c r="B43" s="16"/>
      <c r="C43" s="16" t="s">
        <v>145</v>
      </c>
      <c r="D43" s="16" t="s">
        <v>147</v>
      </c>
      <c r="E43" s="17"/>
      <c r="F43" s="46"/>
      <c r="G43" s="43"/>
      <c r="H43" s="70">
        <v>0</v>
      </c>
      <c r="I43" s="70">
        <v>5.9999999999999995E-4</v>
      </c>
      <c r="J43" s="70">
        <v>1.5E-3</v>
      </c>
      <c r="K43" s="70">
        <v>2.9999999999999997E-4</v>
      </c>
      <c r="L43" s="29">
        <f t="shared" si="17"/>
        <v>8.9999999999999998E-4</v>
      </c>
      <c r="M43" s="29">
        <f t="shared" si="18"/>
        <v>5.0000000000000001E-4</v>
      </c>
      <c r="N43" s="29"/>
      <c r="O43" s="32"/>
      <c r="P43" s="37"/>
      <c r="Q43" s="37"/>
      <c r="R43" s="18"/>
      <c r="S43" s="56"/>
      <c r="T43" s="56"/>
      <c r="U43" s="56"/>
      <c r="V43" s="56"/>
      <c r="W43" s="56"/>
      <c r="X43" s="56"/>
      <c r="Y43" s="66">
        <f t="shared" si="15"/>
        <v>0</v>
      </c>
      <c r="Z43" s="18">
        <f t="shared" si="23"/>
        <v>0</v>
      </c>
      <c r="AA43" s="18">
        <f t="shared" si="20"/>
        <v>0</v>
      </c>
      <c r="AB43" s="19">
        <f t="shared" si="16"/>
        <v>0</v>
      </c>
      <c r="AC43" s="19">
        <f t="shared" si="21"/>
        <v>0</v>
      </c>
      <c r="AD43" s="19" t="e">
        <f t="shared" si="22"/>
        <v>#DIV/0!</v>
      </c>
    </row>
    <row r="44" spans="1:37" hidden="1">
      <c r="A44" s="16"/>
      <c r="B44" s="16"/>
      <c r="C44" s="16" t="s">
        <v>146</v>
      </c>
      <c r="D44" s="16" t="s">
        <v>148</v>
      </c>
      <c r="E44" s="17"/>
      <c r="F44" s="46"/>
      <c r="G44" s="43"/>
      <c r="H44" s="70">
        <v>2.7000000000000001E-3</v>
      </c>
      <c r="I44" s="70">
        <v>2E-3</v>
      </c>
      <c r="J44" s="70">
        <v>8.9999999999999998E-4</v>
      </c>
      <c r="K44" s="70">
        <v>2.2000000000000001E-3</v>
      </c>
      <c r="L44" s="29">
        <f t="shared" si="17"/>
        <v>1.5500000000000002E-3</v>
      </c>
      <c r="M44" s="29">
        <f t="shared" si="18"/>
        <v>2.0833333333333333E-3</v>
      </c>
      <c r="N44" s="29"/>
      <c r="O44" s="32"/>
      <c r="P44" s="37"/>
      <c r="Q44" s="37"/>
      <c r="R44" s="18"/>
      <c r="S44" s="56"/>
      <c r="T44" s="56"/>
      <c r="U44" s="56"/>
      <c r="V44" s="56"/>
      <c r="W44" s="56"/>
      <c r="X44" s="56"/>
      <c r="Y44" s="66">
        <f t="shared" si="15"/>
        <v>0</v>
      </c>
      <c r="Z44" s="18">
        <f t="shared" si="23"/>
        <v>0</v>
      </c>
      <c r="AA44" s="18">
        <f t="shared" si="20"/>
        <v>0</v>
      </c>
      <c r="AB44" s="19">
        <f t="shared" si="16"/>
        <v>0</v>
      </c>
      <c r="AC44" s="19">
        <f t="shared" si="21"/>
        <v>0</v>
      </c>
      <c r="AD44" s="19" t="e">
        <f t="shared" si="22"/>
        <v>#DIV/0!</v>
      </c>
    </row>
    <row r="45" spans="1:37">
      <c r="A45" s="16"/>
      <c r="B45" s="16"/>
      <c r="C45" s="16" t="s">
        <v>105</v>
      </c>
      <c r="D45" s="16" t="s">
        <v>91</v>
      </c>
      <c r="E45" s="17"/>
      <c r="F45" s="46">
        <v>0.03</v>
      </c>
      <c r="G45" s="43" t="s">
        <v>160</v>
      </c>
      <c r="H45" s="70">
        <v>2.0400000000000001E-2</v>
      </c>
      <c r="I45" s="70">
        <v>1.83E-2</v>
      </c>
      <c r="J45" s="70">
        <v>2.7099999999999999E-2</v>
      </c>
      <c r="K45" s="70">
        <v>2.8199999999999999E-2</v>
      </c>
      <c r="L45" s="29">
        <f t="shared" si="17"/>
        <v>2.7650000000000001E-2</v>
      </c>
      <c r="M45" s="29">
        <f t="shared" si="18"/>
        <v>2.211666666666667E-2</v>
      </c>
      <c r="N45" s="32">
        <v>2.1999999999999999E-2</v>
      </c>
      <c r="O45" s="32">
        <f>N45/N$65</f>
        <v>2.8497409326424861E-2</v>
      </c>
      <c r="P45" s="37">
        <v>2.9000000000000001E-2</v>
      </c>
      <c r="Q45" s="37">
        <f>N45/N$66</f>
        <v>7.7464788732394374E-2</v>
      </c>
      <c r="R45" s="18" t="s">
        <v>113</v>
      </c>
      <c r="S45" s="56">
        <v>7</v>
      </c>
      <c r="T45" s="56">
        <v>12</v>
      </c>
      <c r="U45" s="56">
        <v>1</v>
      </c>
      <c r="V45" s="56">
        <v>8</v>
      </c>
      <c r="W45" s="56">
        <v>1</v>
      </c>
      <c r="X45" s="56">
        <v>0</v>
      </c>
      <c r="Y45" s="66">
        <f t="shared" si="15"/>
        <v>269.14600000000002</v>
      </c>
      <c r="Z45" s="18">
        <f t="shared" si="23"/>
        <v>269.14600000000002</v>
      </c>
      <c r="AA45" s="18">
        <f t="shared" si="20"/>
        <v>8.0743799999999997</v>
      </c>
      <c r="AB45" s="19">
        <f t="shared" si="16"/>
        <v>2.064169678481001E-2</v>
      </c>
      <c r="AC45" s="19">
        <f t="shared" si="21"/>
        <v>4.5013045948183823E-3</v>
      </c>
      <c r="AD45" s="19">
        <f t="shared" si="22"/>
        <v>1.6724397148084616E-2</v>
      </c>
    </row>
    <row r="46" spans="1:37">
      <c r="A46" s="16"/>
      <c r="B46" s="16"/>
      <c r="C46" s="16" t="s">
        <v>106</v>
      </c>
      <c r="D46" s="16" t="s">
        <v>92</v>
      </c>
      <c r="E46" s="17"/>
      <c r="F46" s="46">
        <v>0.02</v>
      </c>
      <c r="G46" s="43" t="s">
        <v>160</v>
      </c>
      <c r="H46" s="70">
        <v>2.4E-2</v>
      </c>
      <c r="I46" s="70">
        <v>0.01</v>
      </c>
      <c r="J46" s="70">
        <v>1.9199999999999998E-2</v>
      </c>
      <c r="K46" s="70">
        <v>1.8800000000000001E-2</v>
      </c>
      <c r="L46" s="29">
        <f t="shared" si="17"/>
        <v>1.9E-2</v>
      </c>
      <c r="M46" s="29">
        <f t="shared" si="18"/>
        <v>1.7666666666666667E-2</v>
      </c>
      <c r="N46" s="29">
        <v>1.7999999999999999E-2</v>
      </c>
      <c r="O46" s="32">
        <f>N46/N$65</f>
        <v>2.3316062176165796E-2</v>
      </c>
      <c r="P46" s="37">
        <v>2.3E-2</v>
      </c>
      <c r="Q46" s="37">
        <f>N46/N$66</f>
        <v>6.3380281690140844E-2</v>
      </c>
      <c r="R46" s="18" t="s">
        <v>114</v>
      </c>
      <c r="S46" s="56">
        <v>8</v>
      </c>
      <c r="T46" s="56">
        <v>11</v>
      </c>
      <c r="U46" s="56">
        <v>1</v>
      </c>
      <c r="V46" s="56">
        <v>10</v>
      </c>
      <c r="W46" s="56">
        <v>1</v>
      </c>
      <c r="X46" s="56">
        <v>0</v>
      </c>
      <c r="Y46" s="56">
        <f t="shared" si="15"/>
        <v>312.14699999999999</v>
      </c>
      <c r="Z46" s="18">
        <f t="shared" si="23"/>
        <v>312.14699999999999</v>
      </c>
      <c r="AA46" s="18">
        <f t="shared" si="20"/>
        <v>6.2429399999999999</v>
      </c>
      <c r="AB46" s="19">
        <f t="shared" si="16"/>
        <v>1.5959723783839974E-2</v>
      </c>
      <c r="AC46" s="19">
        <f t="shared" si="21"/>
        <v>3.4803135977221128E-3</v>
      </c>
      <c r="AD46" s="19">
        <f t="shared" si="22"/>
        <v>1.114959809872308E-2</v>
      </c>
    </row>
    <row r="47" spans="1:37">
      <c r="A47" s="16"/>
      <c r="B47" s="16"/>
      <c r="C47" s="16" t="s">
        <v>107</v>
      </c>
      <c r="D47" s="16" t="s">
        <v>93</v>
      </c>
      <c r="E47" s="17"/>
      <c r="F47" s="46">
        <v>0.16</v>
      </c>
      <c r="G47" s="43" t="s">
        <v>160</v>
      </c>
      <c r="H47" s="70">
        <v>0.12</v>
      </c>
      <c r="I47" s="70">
        <v>0.121</v>
      </c>
      <c r="J47" s="70">
        <v>0.14299999999999999</v>
      </c>
      <c r="K47" s="70">
        <v>0.125</v>
      </c>
      <c r="L47" s="29">
        <f t="shared" si="17"/>
        <v>0.13400000000000001</v>
      </c>
      <c r="M47" s="29">
        <f t="shared" si="18"/>
        <v>0.125</v>
      </c>
      <c r="N47" s="32">
        <v>0.125</v>
      </c>
      <c r="O47" s="32">
        <f>N47/N$65</f>
        <v>0.16191709844559579</v>
      </c>
      <c r="P47" s="37">
        <v>0.16200000000000001</v>
      </c>
      <c r="Q47" s="37">
        <f>N47/N$66</f>
        <v>0.44014084507042256</v>
      </c>
      <c r="R47" s="18" t="s">
        <v>184</v>
      </c>
      <c r="S47" s="56">
        <v>12</v>
      </c>
      <c r="T47" s="56">
        <v>18</v>
      </c>
      <c r="U47" s="56">
        <v>1</v>
      </c>
      <c r="V47" s="56">
        <v>8</v>
      </c>
      <c r="W47" s="56">
        <v>1</v>
      </c>
      <c r="X47" s="56">
        <v>0</v>
      </c>
      <c r="Y47" s="56">
        <f t="shared" si="15"/>
        <v>335.24900000000002</v>
      </c>
      <c r="Z47" s="18">
        <f t="shared" si="23"/>
        <v>335.24900000000002</v>
      </c>
      <c r="AA47" s="18">
        <f t="shared" si="20"/>
        <v>53.639840000000007</v>
      </c>
      <c r="AB47" s="19">
        <f t="shared" si="16"/>
        <v>0.13712722374544217</v>
      </c>
      <c r="AC47" s="19">
        <f t="shared" si="21"/>
        <v>2.9903132903990503E-2</v>
      </c>
      <c r="AD47" s="19">
        <f t="shared" si="22"/>
        <v>8.9196784789784614E-2</v>
      </c>
    </row>
    <row r="48" spans="1:37">
      <c r="A48" s="16"/>
      <c r="B48" s="16"/>
      <c r="C48" s="16" t="s">
        <v>144</v>
      </c>
      <c r="D48" s="16" t="s">
        <v>94</v>
      </c>
      <c r="E48" s="17"/>
      <c r="F48" s="46">
        <v>6.0000000000000001E-3</v>
      </c>
      <c r="G48" s="43"/>
      <c r="H48" s="70">
        <v>8.8999999999999999E-3</v>
      </c>
      <c r="I48" s="70">
        <v>2E-3</v>
      </c>
      <c r="J48" s="70">
        <v>3.8E-3</v>
      </c>
      <c r="K48" s="70">
        <v>2.3999999999999998E-3</v>
      </c>
      <c r="L48" s="29">
        <f>AVERAGE(J48:K48)</f>
        <v>3.0999999999999999E-3</v>
      </c>
      <c r="M48" s="29">
        <f t="shared" si="18"/>
        <v>4.6666666666666671E-3</v>
      </c>
      <c r="N48" s="29">
        <v>5.0000000000000001E-3</v>
      </c>
      <c r="O48" s="32">
        <f>N48/N$65</f>
        <v>6.4766839378238321E-3</v>
      </c>
      <c r="P48" s="37">
        <f>0.006</f>
        <v>6.0000000000000001E-3</v>
      </c>
      <c r="Q48" s="37"/>
      <c r="R48" s="18" t="s">
        <v>115</v>
      </c>
      <c r="S48" s="56">
        <v>12</v>
      </c>
      <c r="T48" s="56">
        <v>16</v>
      </c>
      <c r="U48" s="56">
        <v>0</v>
      </c>
      <c r="V48" s="56">
        <v>15</v>
      </c>
      <c r="W48" s="56">
        <v>1</v>
      </c>
      <c r="X48" s="56">
        <v>0</v>
      </c>
      <c r="Y48" s="56">
        <f t="shared" si="15"/>
        <v>431.21899999999999</v>
      </c>
      <c r="Z48" s="18">
        <f t="shared" si="23"/>
        <v>431.21899999999999</v>
      </c>
      <c r="AA48" s="18">
        <f t="shared" si="20"/>
        <v>2.5873140000000001</v>
      </c>
      <c r="AB48" s="19">
        <f t="shared" si="16"/>
        <v>6.6143222235136231E-3</v>
      </c>
      <c r="AC48" s="19">
        <f t="shared" si="21"/>
        <v>1.4423755627599802E-3</v>
      </c>
      <c r="AD48" s="19">
        <f t="shared" si="22"/>
        <v>3.3448794296169235E-3</v>
      </c>
    </row>
    <row r="49" spans="1:37" hidden="1">
      <c r="A49" s="16"/>
      <c r="B49" s="16"/>
      <c r="C49" s="16" t="s">
        <v>108</v>
      </c>
      <c r="D49" s="16" t="s">
        <v>95</v>
      </c>
      <c r="E49" s="17"/>
      <c r="F49" s="46"/>
      <c r="G49" s="43"/>
      <c r="H49" s="70">
        <v>3.0999999999999999E-3</v>
      </c>
      <c r="I49" s="70">
        <v>6.4999999999999997E-3</v>
      </c>
      <c r="J49" s="70">
        <v>3.3999999999999998E-3</v>
      </c>
      <c r="K49" s="70">
        <v>3.8E-3</v>
      </c>
      <c r="L49" s="29">
        <f>AVERAGE(J49:K49)</f>
        <v>3.5999999999999999E-3</v>
      </c>
      <c r="M49" s="29">
        <f t="shared" si="18"/>
        <v>4.4000000000000003E-3</v>
      </c>
      <c r="N49" s="29"/>
      <c r="O49" s="32"/>
      <c r="P49" s="37"/>
      <c r="Q49" s="37"/>
      <c r="R49" s="18" t="s">
        <v>116</v>
      </c>
      <c r="S49" s="56"/>
      <c r="T49" s="56"/>
      <c r="U49" s="56"/>
      <c r="V49" s="56"/>
      <c r="W49" s="56"/>
      <c r="X49" s="56"/>
      <c r="Y49" s="56">
        <f t="shared" si="15"/>
        <v>0</v>
      </c>
      <c r="Z49" s="18">
        <f t="shared" si="23"/>
        <v>0</v>
      </c>
      <c r="AA49" s="18">
        <f t="shared" si="20"/>
        <v>0</v>
      </c>
      <c r="AB49" s="19">
        <f t="shared" si="16"/>
        <v>0</v>
      </c>
      <c r="AC49" s="19">
        <f t="shared" si="21"/>
        <v>0</v>
      </c>
      <c r="AD49" s="19" t="e">
        <f t="shared" si="22"/>
        <v>#DIV/0!</v>
      </c>
    </row>
    <row r="50" spans="1:37">
      <c r="A50" s="16"/>
      <c r="B50" s="16"/>
      <c r="C50" s="16" t="s">
        <v>109</v>
      </c>
      <c r="D50" s="16" t="s">
        <v>96</v>
      </c>
      <c r="E50" s="17"/>
      <c r="F50" s="46">
        <v>0.02</v>
      </c>
      <c r="G50" s="43">
        <v>6</v>
      </c>
      <c r="H50" s="70">
        <f>0.0126/3</f>
        <v>4.1999999999999997E-3</v>
      </c>
      <c r="I50" s="70">
        <f>0.0621/3</f>
        <v>2.07E-2</v>
      </c>
      <c r="J50" s="70">
        <f>0.0791/3</f>
        <v>2.6366666666666667E-2</v>
      </c>
      <c r="K50" s="70">
        <f>0.101/3</f>
        <v>3.3666666666666671E-2</v>
      </c>
      <c r="L50" s="29">
        <f t="shared" si="17"/>
        <v>3.0016666666666671E-2</v>
      </c>
      <c r="M50" s="29">
        <f t="shared" si="18"/>
        <v>1.8305555555555558E-2</v>
      </c>
      <c r="N50" s="32">
        <v>1.7999999999999999E-2</v>
      </c>
      <c r="O50" s="32">
        <f>N50/N$65</f>
        <v>2.3316062176165796E-2</v>
      </c>
      <c r="P50" s="37">
        <v>2.3E-2</v>
      </c>
      <c r="Q50" s="37"/>
      <c r="R50" s="18" t="s">
        <v>117</v>
      </c>
      <c r="S50" s="56">
        <v>6</v>
      </c>
      <c r="T50" s="56">
        <v>5</v>
      </c>
      <c r="U50" s="56">
        <v>0</v>
      </c>
      <c r="V50" s="56">
        <v>6</v>
      </c>
      <c r="W50" s="56">
        <v>0</v>
      </c>
      <c r="X50" s="56">
        <v>0</v>
      </c>
      <c r="Y50" s="56">
        <f t="shared" si="15"/>
        <v>173.10000000000002</v>
      </c>
      <c r="Z50" s="18">
        <f t="shared" si="23"/>
        <v>173.10000000000002</v>
      </c>
      <c r="AA50" s="18">
        <f t="shared" si="20"/>
        <v>3.4620000000000006</v>
      </c>
      <c r="AB50" s="19">
        <f t="shared" si="16"/>
        <v>8.8504076187908252E-3</v>
      </c>
      <c r="AC50" s="19">
        <f t="shared" si="21"/>
        <v>1.929995430888965E-3</v>
      </c>
      <c r="AD50" s="19">
        <f t="shared" si="22"/>
        <v>1.1149598098723078E-2</v>
      </c>
    </row>
    <row r="51" spans="1:37">
      <c r="A51" s="16"/>
      <c r="B51" s="16"/>
      <c r="C51" s="16" t="s">
        <v>133</v>
      </c>
      <c r="D51" s="16" t="s">
        <v>134</v>
      </c>
      <c r="E51" s="17"/>
      <c r="F51" s="46">
        <v>0.03</v>
      </c>
      <c r="G51" s="43">
        <v>6</v>
      </c>
      <c r="H51" s="70">
        <v>6.1899999999999997E-2</v>
      </c>
      <c r="I51" s="70">
        <v>0</v>
      </c>
      <c r="J51" s="70">
        <v>0</v>
      </c>
      <c r="K51" s="70">
        <v>0</v>
      </c>
      <c r="L51" s="29">
        <f t="shared" si="17"/>
        <v>0</v>
      </c>
      <c r="M51" s="29">
        <f t="shared" si="18"/>
        <v>2.0633333333333333E-2</v>
      </c>
      <c r="N51" s="29">
        <v>2.1000000000000001E-2</v>
      </c>
      <c r="O51" s="32">
        <f>N51/N$65</f>
        <v>2.7202072538860096E-2</v>
      </c>
      <c r="P51" s="37">
        <v>2.7E-2</v>
      </c>
      <c r="Q51" s="37"/>
      <c r="R51" s="18" t="s">
        <v>137</v>
      </c>
      <c r="S51" s="56">
        <v>25</v>
      </c>
      <c r="T51" s="56">
        <v>45</v>
      </c>
      <c r="U51" s="56">
        <v>1</v>
      </c>
      <c r="V51" s="56">
        <v>11</v>
      </c>
      <c r="W51" s="56">
        <v>0</v>
      </c>
      <c r="X51" s="56">
        <v>0</v>
      </c>
      <c r="Y51" s="56">
        <f t="shared" si="15"/>
        <v>535.63099999999997</v>
      </c>
      <c r="Z51" s="18">
        <f t="shared" si="23"/>
        <v>535.63099999999997</v>
      </c>
      <c r="AA51" s="18">
        <f t="shared" si="20"/>
        <v>16.068929999999998</v>
      </c>
      <c r="AB51" s="19">
        <f t="shared" si="16"/>
        <v>4.1079312679900754E-2</v>
      </c>
      <c r="AC51" s="19">
        <f t="shared" si="21"/>
        <v>8.9581055688257097E-3</v>
      </c>
      <c r="AD51" s="19">
        <f t="shared" si="22"/>
        <v>1.6724397148084616E-2</v>
      </c>
    </row>
    <row r="52" spans="1:37">
      <c r="A52" s="16"/>
      <c r="B52" s="16"/>
      <c r="C52" s="16" t="s">
        <v>136</v>
      </c>
      <c r="D52" s="16" t="s">
        <v>135</v>
      </c>
      <c r="E52" s="17"/>
      <c r="F52" s="46">
        <v>0.03</v>
      </c>
      <c r="G52" s="43">
        <v>6</v>
      </c>
      <c r="H52" s="70" t="s">
        <v>239</v>
      </c>
      <c r="I52" s="70">
        <v>0</v>
      </c>
      <c r="J52" s="70">
        <v>4.0800000000000003E-2</v>
      </c>
      <c r="K52" s="70">
        <v>4.07E-2</v>
      </c>
      <c r="L52" s="29">
        <f t="shared" si="17"/>
        <v>4.0750000000000001E-2</v>
      </c>
      <c r="M52" s="29">
        <f t="shared" si="18"/>
        <v>2.0375000000000001E-2</v>
      </c>
      <c r="N52" s="29">
        <v>0.02</v>
      </c>
      <c r="O52" s="32">
        <f>N52/N$65</f>
        <v>2.5906735751295328E-2</v>
      </c>
      <c r="P52" s="37">
        <v>2.5999999999999999E-2</v>
      </c>
      <c r="Q52" s="37"/>
      <c r="R52" s="18" t="s">
        <v>138</v>
      </c>
      <c r="S52" s="56">
        <v>25</v>
      </c>
      <c r="T52" s="56">
        <v>46</v>
      </c>
      <c r="U52" s="56">
        <v>1</v>
      </c>
      <c r="V52" s="56">
        <v>8</v>
      </c>
      <c r="W52" s="56">
        <v>0</v>
      </c>
      <c r="X52" s="56">
        <v>0</v>
      </c>
      <c r="Y52" s="56">
        <f t="shared" si="15"/>
        <v>488.642</v>
      </c>
      <c r="Z52" s="18">
        <f t="shared" si="23"/>
        <v>488.642</v>
      </c>
      <c r="AA52" s="18">
        <f t="shared" si="20"/>
        <v>14.65926</v>
      </c>
      <c r="AB52" s="19">
        <f t="shared" si="16"/>
        <v>3.7475570880946149E-2</v>
      </c>
      <c r="AC52" s="19">
        <f t="shared" si="21"/>
        <v>8.1722428712343621E-3</v>
      </c>
      <c r="AD52" s="19">
        <f t="shared" si="22"/>
        <v>1.6724397148084616E-2</v>
      </c>
    </row>
    <row r="53" spans="1:37">
      <c r="A53" s="16"/>
      <c r="B53" s="16"/>
      <c r="C53" s="16" t="s">
        <v>140</v>
      </c>
      <c r="D53" s="16" t="s">
        <v>141</v>
      </c>
      <c r="E53" s="17"/>
      <c r="F53" s="46">
        <v>0.01</v>
      </c>
      <c r="G53" s="43">
        <v>6</v>
      </c>
      <c r="H53" s="70">
        <v>2E-3</v>
      </c>
      <c r="I53" s="70">
        <v>1.26E-2</v>
      </c>
      <c r="J53" s="70">
        <v>2.0999999999999999E-3</v>
      </c>
      <c r="K53" s="70">
        <v>2.3999999999999998E-3</v>
      </c>
      <c r="L53" s="29">
        <f t="shared" si="17"/>
        <v>2.2499999999999998E-3</v>
      </c>
      <c r="M53" s="29">
        <f t="shared" si="18"/>
        <v>5.6166666666666665E-3</v>
      </c>
      <c r="N53" s="32">
        <v>0.01</v>
      </c>
      <c r="O53" s="32">
        <f>N53/N$65</f>
        <v>1.2953367875647664E-2</v>
      </c>
      <c r="P53" s="37">
        <v>1.2999999999999999E-2</v>
      </c>
      <c r="Q53" s="37"/>
      <c r="R53" s="18" t="s">
        <v>185</v>
      </c>
      <c r="S53" s="56">
        <v>8</v>
      </c>
      <c r="T53" s="56">
        <v>12</v>
      </c>
      <c r="U53" s="56">
        <v>0</v>
      </c>
      <c r="V53" s="56">
        <v>10</v>
      </c>
      <c r="W53" s="56">
        <v>1</v>
      </c>
      <c r="X53" s="56">
        <v>0</v>
      </c>
      <c r="Y53" s="56">
        <f t="shared" si="15"/>
        <v>299.14799999999997</v>
      </c>
      <c r="Z53" s="18">
        <f t="shared" si="23"/>
        <v>299.14799999999997</v>
      </c>
      <c r="AA53" s="18">
        <f t="shared" si="20"/>
        <v>2.9914799999999997</v>
      </c>
      <c r="AB53" s="19">
        <f t="shared" si="16"/>
        <v>7.6475497930272593E-3</v>
      </c>
      <c r="AC53" s="19">
        <f t="shared" si="21"/>
        <v>1.6676899860184054E-3</v>
      </c>
      <c r="AD53" s="19">
        <f t="shared" si="22"/>
        <v>5.5747990493615392E-3</v>
      </c>
    </row>
    <row r="54" spans="1:37" hidden="1">
      <c r="A54" s="16"/>
      <c r="B54" s="16"/>
      <c r="C54" s="16" t="s">
        <v>142</v>
      </c>
      <c r="D54" s="16" t="s">
        <v>143</v>
      </c>
      <c r="E54" s="17"/>
      <c r="F54" s="46"/>
      <c r="G54" s="43"/>
      <c r="H54" s="70">
        <v>0</v>
      </c>
      <c r="I54" s="70">
        <v>0</v>
      </c>
      <c r="J54" s="70">
        <v>4.0000000000000002E-4</v>
      </c>
      <c r="K54" s="70">
        <v>2.3999999999999998E-3</v>
      </c>
      <c r="L54" s="29">
        <f t="shared" si="17"/>
        <v>1.4E-3</v>
      </c>
      <c r="M54" s="29">
        <f t="shared" si="18"/>
        <v>4.6666666666666666E-4</v>
      </c>
      <c r="N54" s="29"/>
      <c r="O54" s="32"/>
      <c r="P54" s="37"/>
      <c r="Q54" s="37"/>
      <c r="R54" s="18"/>
      <c r="S54" s="56"/>
      <c r="T54" s="56"/>
      <c r="U54" s="56"/>
      <c r="V54" s="56"/>
      <c r="W54" s="56"/>
      <c r="X54" s="56"/>
      <c r="Y54" s="56">
        <f t="shared" si="15"/>
        <v>0</v>
      </c>
      <c r="Z54" s="18">
        <f t="shared" si="23"/>
        <v>0</v>
      </c>
      <c r="AA54" s="18">
        <f t="shared" si="20"/>
        <v>0</v>
      </c>
      <c r="AB54" s="19">
        <f t="shared" si="16"/>
        <v>0</v>
      </c>
      <c r="AC54" s="19">
        <f t="shared" si="21"/>
        <v>0</v>
      </c>
      <c r="AD54" s="19" t="e">
        <f t="shared" si="22"/>
        <v>#DIV/0!</v>
      </c>
    </row>
    <row r="55" spans="1:37" s="48" customFormat="1" hidden="1">
      <c r="A55" s="71"/>
      <c r="B55" s="71"/>
      <c r="C55" s="71" t="s">
        <v>153</v>
      </c>
      <c r="D55" s="71" t="s">
        <v>201</v>
      </c>
      <c r="E55" s="72"/>
      <c r="F55" s="46"/>
      <c r="G55" s="73" t="s">
        <v>160</v>
      </c>
      <c r="H55" s="74">
        <v>3.3E-3</v>
      </c>
      <c r="I55" s="74"/>
      <c r="J55" s="74">
        <v>3.0999999999999999E-3</v>
      </c>
      <c r="K55" s="74">
        <v>3.3E-3</v>
      </c>
      <c r="L55" s="37">
        <f t="shared" si="17"/>
        <v>3.1999999999999997E-3</v>
      </c>
      <c r="M55" s="37">
        <f t="shared" si="18"/>
        <v>3.2499999999999999E-3</v>
      </c>
      <c r="N55" s="36"/>
      <c r="O55" s="37"/>
      <c r="P55" s="37"/>
      <c r="Q55" s="37">
        <f>N55/N$66</f>
        <v>0</v>
      </c>
      <c r="R55" s="46" t="s">
        <v>188</v>
      </c>
      <c r="S55" s="71">
        <v>11</v>
      </c>
      <c r="T55" s="71">
        <v>21</v>
      </c>
      <c r="U55" s="71">
        <v>1</v>
      </c>
      <c r="V55" s="71">
        <v>7</v>
      </c>
      <c r="W55" s="71">
        <v>1</v>
      </c>
      <c r="X55" s="71">
        <v>0</v>
      </c>
      <c r="Y55" s="56">
        <f t="shared" si="15"/>
        <v>310.26299999999998</v>
      </c>
      <c r="Z55" s="46">
        <f t="shared" si="23"/>
        <v>310.26299999999998</v>
      </c>
      <c r="AA55" s="46">
        <f t="shared" si="20"/>
        <v>0</v>
      </c>
      <c r="AB55" s="75">
        <f t="shared" si="16"/>
        <v>0</v>
      </c>
      <c r="AC55" s="75">
        <f t="shared" si="21"/>
        <v>0</v>
      </c>
      <c r="AD55" s="75">
        <f t="shared" si="22"/>
        <v>0</v>
      </c>
      <c r="AF55"/>
      <c r="AG55"/>
      <c r="AH55"/>
      <c r="AI55"/>
      <c r="AJ55"/>
      <c r="AK55"/>
    </row>
    <row r="56" spans="1:37">
      <c r="A56" s="16"/>
      <c r="B56" s="16"/>
      <c r="C56" s="16" t="s">
        <v>149</v>
      </c>
      <c r="D56" s="16" t="s">
        <v>150</v>
      </c>
      <c r="E56" s="17"/>
      <c r="F56" s="46">
        <v>0.08</v>
      </c>
      <c r="G56" s="43" t="s">
        <v>160</v>
      </c>
      <c r="H56" s="70">
        <v>4.4999999999999998E-2</v>
      </c>
      <c r="I56" s="70">
        <v>0.113</v>
      </c>
      <c r="J56" s="70">
        <v>2.3900000000000001E-2</v>
      </c>
      <c r="K56" s="70">
        <v>0.03</v>
      </c>
      <c r="L56" s="29">
        <f t="shared" si="17"/>
        <v>2.6950000000000002E-2</v>
      </c>
      <c r="M56" s="29">
        <f t="shared" si="18"/>
        <v>6.1650000000000003E-2</v>
      </c>
      <c r="N56" s="32">
        <v>6.2E-2</v>
      </c>
      <c r="O56" s="32">
        <f>N56/N$65</f>
        <v>8.0310880829015524E-2</v>
      </c>
      <c r="P56" s="37">
        <v>0.08</v>
      </c>
      <c r="Q56" s="37">
        <f>N56/N$66</f>
        <v>0.21830985915492959</v>
      </c>
      <c r="R56" s="18" t="s">
        <v>187</v>
      </c>
      <c r="S56" s="56">
        <v>8</v>
      </c>
      <c r="T56" s="56">
        <v>14</v>
      </c>
      <c r="U56" s="56">
        <v>1</v>
      </c>
      <c r="V56" s="56">
        <v>7</v>
      </c>
      <c r="W56" s="56">
        <v>1</v>
      </c>
      <c r="X56" s="56">
        <v>0</v>
      </c>
      <c r="Y56" s="56">
        <f t="shared" si="15"/>
        <v>267.17399999999998</v>
      </c>
      <c r="Z56" s="18">
        <f t="shared" si="23"/>
        <v>267.17399999999998</v>
      </c>
      <c r="AA56" s="18">
        <f t="shared" si="20"/>
        <v>21.373919999999998</v>
      </c>
      <c r="AB56" s="19">
        <f t="shared" si="16"/>
        <v>5.464122022282656E-2</v>
      </c>
      <c r="AC56" s="19">
        <f t="shared" si="21"/>
        <v>1.1915530889712957E-2</v>
      </c>
      <c r="AD56" s="19">
        <f t="shared" si="22"/>
        <v>4.4598392394892314E-2</v>
      </c>
    </row>
    <row r="57" spans="1:37" hidden="1">
      <c r="A57" s="16"/>
      <c r="B57" s="16"/>
      <c r="C57" s="16" t="s">
        <v>151</v>
      </c>
      <c r="D57" s="16"/>
      <c r="E57" s="17"/>
      <c r="F57" s="46"/>
      <c r="G57" s="43"/>
      <c r="H57" s="70">
        <v>5.9999999999999995E-4</v>
      </c>
      <c r="I57" s="70"/>
      <c r="J57" s="70">
        <v>0</v>
      </c>
      <c r="K57" s="70">
        <v>0</v>
      </c>
      <c r="L57" s="29">
        <f t="shared" si="17"/>
        <v>0</v>
      </c>
      <c r="M57" s="29">
        <f t="shared" si="18"/>
        <v>2.9999999999999997E-4</v>
      </c>
      <c r="N57" s="29"/>
      <c r="O57" s="32"/>
      <c r="P57" s="37"/>
      <c r="Q57" s="37"/>
      <c r="R57" s="18"/>
      <c r="S57" s="56"/>
      <c r="T57" s="56"/>
      <c r="U57" s="56"/>
      <c r="V57" s="56"/>
      <c r="W57" s="56"/>
      <c r="X57" s="56"/>
      <c r="Y57" s="56">
        <f t="shared" si="15"/>
        <v>0</v>
      </c>
      <c r="Z57" s="18">
        <f t="shared" si="23"/>
        <v>0</v>
      </c>
      <c r="AA57" s="18">
        <f t="shared" si="20"/>
        <v>0</v>
      </c>
      <c r="AB57" s="19">
        <f t="shared" ref="AB57:AB60" si="24">AA57/AA$65</f>
        <v>0</v>
      </c>
      <c r="AC57" s="19">
        <f t="shared" si="21"/>
        <v>0</v>
      </c>
      <c r="AD57" s="19" t="e">
        <f t="shared" si="22"/>
        <v>#DIV/0!</v>
      </c>
    </row>
    <row r="58" spans="1:37" hidden="1">
      <c r="A58" s="16"/>
      <c r="B58" s="16"/>
      <c r="C58" s="16" t="s">
        <v>152</v>
      </c>
      <c r="D58" s="16"/>
      <c r="E58" s="17"/>
      <c r="F58" s="46"/>
      <c r="G58" s="43"/>
      <c r="H58" s="70">
        <v>1.1000000000000001E-3</v>
      </c>
      <c r="I58" s="70">
        <v>0</v>
      </c>
      <c r="J58" s="70">
        <v>2.0999999999999999E-3</v>
      </c>
      <c r="K58" s="70">
        <v>2.3999999999999998E-3</v>
      </c>
      <c r="L58" s="29">
        <f t="shared" si="17"/>
        <v>2.2499999999999998E-3</v>
      </c>
      <c r="M58" s="29">
        <f t="shared" si="18"/>
        <v>1.1166666666666666E-3</v>
      </c>
      <c r="N58" s="29"/>
      <c r="O58" s="32"/>
      <c r="P58" s="37"/>
      <c r="Q58" s="37"/>
      <c r="R58" s="18"/>
      <c r="S58" s="56"/>
      <c r="T58" s="56"/>
      <c r="U58" s="56"/>
      <c r="V58" s="56"/>
      <c r="W58" s="56"/>
      <c r="X58" s="56"/>
      <c r="Y58" s="56">
        <f t="shared" si="15"/>
        <v>0</v>
      </c>
      <c r="Z58" s="18">
        <f t="shared" si="23"/>
        <v>0</v>
      </c>
      <c r="AA58" s="18">
        <f t="shared" si="20"/>
        <v>0</v>
      </c>
      <c r="AB58" s="19">
        <f t="shared" si="24"/>
        <v>0</v>
      </c>
      <c r="AC58" s="19">
        <f t="shared" si="21"/>
        <v>0</v>
      </c>
      <c r="AD58" s="19" t="e">
        <f t="shared" si="22"/>
        <v>#DIV/0!</v>
      </c>
    </row>
    <row r="59" spans="1:37" hidden="1">
      <c r="A59" s="16"/>
      <c r="B59" s="16"/>
      <c r="C59" s="16" t="s">
        <v>154</v>
      </c>
      <c r="D59" s="16"/>
      <c r="E59" s="17"/>
      <c r="F59" s="46"/>
      <c r="G59" s="43"/>
      <c r="H59" s="70"/>
      <c r="I59" s="70">
        <v>2E-3</v>
      </c>
      <c r="J59" s="70">
        <v>3.8E-3</v>
      </c>
      <c r="K59" s="70">
        <v>2.5999999999999999E-3</v>
      </c>
      <c r="L59" s="29">
        <f t="shared" si="17"/>
        <v>3.1999999999999997E-3</v>
      </c>
      <c r="M59" s="29">
        <f t="shared" si="18"/>
        <v>2.5999999999999999E-3</v>
      </c>
      <c r="N59" s="29"/>
      <c r="O59" s="32"/>
      <c r="P59" s="37"/>
      <c r="Q59" s="37"/>
      <c r="R59" s="18"/>
      <c r="S59" s="56"/>
      <c r="T59" s="56"/>
      <c r="U59" s="56"/>
      <c r="V59" s="56"/>
      <c r="W59" s="56"/>
      <c r="X59" s="56"/>
      <c r="Y59" s="56">
        <f t="shared" si="15"/>
        <v>0</v>
      </c>
      <c r="Z59" s="18">
        <f t="shared" si="23"/>
        <v>0</v>
      </c>
      <c r="AA59" s="18">
        <f t="shared" si="20"/>
        <v>0</v>
      </c>
      <c r="AB59" s="19">
        <f t="shared" si="24"/>
        <v>0</v>
      </c>
      <c r="AC59" s="19">
        <f t="shared" si="21"/>
        <v>0</v>
      </c>
      <c r="AD59" s="19" t="e">
        <f t="shared" si="22"/>
        <v>#DIV/0!</v>
      </c>
    </row>
    <row r="60" spans="1:37">
      <c r="A60" s="16"/>
      <c r="B60" s="16"/>
      <c r="C60" s="16" t="s">
        <v>240</v>
      </c>
      <c r="D60" s="16" t="s">
        <v>237</v>
      </c>
      <c r="E60" s="17"/>
      <c r="F60" s="46">
        <v>0.03</v>
      </c>
      <c r="G60" s="43">
        <v>6</v>
      </c>
      <c r="H60" s="70">
        <f>0.0157+0.0131</f>
        <v>2.8799999999999999E-2</v>
      </c>
      <c r="I60" s="70">
        <f>0.007+0.0085</f>
        <v>1.55E-2</v>
      </c>
      <c r="J60" s="70">
        <f>0.009+0.0044</f>
        <v>1.3399999999999999E-2</v>
      </c>
      <c r="K60" s="70">
        <f>0.0096+0.0058</f>
        <v>1.5399999999999999E-2</v>
      </c>
      <c r="L60" s="29">
        <f t="shared" si="17"/>
        <v>1.44E-2</v>
      </c>
      <c r="M60" s="29">
        <f t="shared" si="18"/>
        <v>1.9566666666666666E-2</v>
      </c>
      <c r="N60" s="28">
        <v>0.02</v>
      </c>
      <c r="O60" s="32">
        <f>N60/N$65</f>
        <v>2.5906735751295328E-2</v>
      </c>
      <c r="P60" s="37">
        <v>2.5999999999999999E-2</v>
      </c>
      <c r="Q60" s="37"/>
      <c r="R60" s="18" t="s">
        <v>241</v>
      </c>
      <c r="S60" s="56">
        <v>56</v>
      </c>
      <c r="T60" s="56">
        <v>95</v>
      </c>
      <c r="U60" s="56">
        <v>3</v>
      </c>
      <c r="V60" s="56">
        <v>31</v>
      </c>
      <c r="W60" s="56">
        <v>0</v>
      </c>
      <c r="X60" s="56">
        <v>0</v>
      </c>
      <c r="Y60" s="56">
        <f t="shared" si="15"/>
        <v>1306.366</v>
      </c>
      <c r="Z60" s="18">
        <f t="shared" si="23"/>
        <v>1306.366</v>
      </c>
      <c r="AA60" s="18">
        <f t="shared" si="20"/>
        <v>39.190979999999996</v>
      </c>
      <c r="AB60" s="19">
        <f t="shared" si="24"/>
        <v>0.10018952859037515</v>
      </c>
      <c r="AC60" s="19">
        <f t="shared" si="21"/>
        <v>2.1848183804754704E-2</v>
      </c>
      <c r="AD60" s="19">
        <f t="shared" si="22"/>
        <v>1.6724397148084613E-2</v>
      </c>
    </row>
    <row r="61" spans="1:37" hidden="1">
      <c r="A61" s="16"/>
      <c r="B61" s="16"/>
      <c r="C61" s="16" t="s">
        <v>162</v>
      </c>
      <c r="D61" s="16" t="s">
        <v>170</v>
      </c>
      <c r="E61" s="17"/>
      <c r="F61" s="46"/>
      <c r="G61" s="43"/>
      <c r="H61" s="29"/>
      <c r="I61" s="29"/>
      <c r="J61" s="29"/>
      <c r="K61" s="29"/>
      <c r="L61" s="29"/>
      <c r="M61" s="29"/>
      <c r="N61" s="29"/>
      <c r="O61" s="32"/>
      <c r="P61" s="37"/>
      <c r="Q61" s="37"/>
      <c r="R61" s="18" t="s">
        <v>171</v>
      </c>
      <c r="S61" s="56">
        <v>42</v>
      </c>
      <c r="T61" s="56">
        <v>72</v>
      </c>
      <c r="U61" s="56">
        <v>2</v>
      </c>
      <c r="V61" s="56">
        <v>21</v>
      </c>
      <c r="W61" s="56">
        <v>0</v>
      </c>
      <c r="X61" s="56">
        <v>0</v>
      </c>
      <c r="Y61" s="56">
        <f t="shared" si="15"/>
        <v>941.03100000000006</v>
      </c>
      <c r="Z61" s="18">
        <f t="shared" si="23"/>
        <v>941.03100000000006</v>
      </c>
      <c r="AA61" s="18">
        <f>Z61*F61</f>
        <v>0</v>
      </c>
      <c r="AB61" s="19">
        <f>AA61/AA$65</f>
        <v>0</v>
      </c>
      <c r="AC61" s="19">
        <f t="shared" si="21"/>
        <v>0</v>
      </c>
      <c r="AD61" s="19">
        <f t="shared" si="22"/>
        <v>0</v>
      </c>
    </row>
    <row r="62" spans="1:37" hidden="1">
      <c r="A62" s="16"/>
      <c r="B62" s="16"/>
      <c r="C62" s="16" t="s">
        <v>163</v>
      </c>
      <c r="D62" s="16" t="s">
        <v>164</v>
      </c>
      <c r="E62" s="17"/>
      <c r="F62" s="46"/>
      <c r="G62" s="43"/>
      <c r="H62" s="29"/>
      <c r="I62" s="29"/>
      <c r="J62" s="29"/>
      <c r="K62" s="29"/>
      <c r="L62" s="29"/>
      <c r="M62" s="29"/>
      <c r="N62" s="29"/>
      <c r="O62" s="32"/>
      <c r="P62" s="37"/>
      <c r="Q62" s="37"/>
      <c r="R62" s="18" t="s">
        <v>169</v>
      </c>
      <c r="S62" s="56">
        <v>50</v>
      </c>
      <c r="T62" s="56">
        <v>85</v>
      </c>
      <c r="U62" s="56">
        <v>3</v>
      </c>
      <c r="V62" s="56">
        <v>26</v>
      </c>
      <c r="W62" s="56">
        <v>0</v>
      </c>
      <c r="X62" s="56">
        <v>0</v>
      </c>
      <c r="Y62" s="56">
        <f t="shared" si="15"/>
        <v>1144.2249999999999</v>
      </c>
      <c r="Z62" s="18">
        <f t="shared" si="23"/>
        <v>1144.2249999999999</v>
      </c>
      <c r="AA62" s="18">
        <f>Z62*F62</f>
        <v>0</v>
      </c>
      <c r="AB62" s="19">
        <f>AA62/AA$65</f>
        <v>0</v>
      </c>
      <c r="AC62" s="19">
        <f t="shared" si="21"/>
        <v>0</v>
      </c>
      <c r="AD62" s="19">
        <f t="shared" si="22"/>
        <v>0</v>
      </c>
    </row>
    <row r="63" spans="1:37">
      <c r="A63" s="16"/>
      <c r="B63" s="16"/>
      <c r="C63" s="16"/>
      <c r="D63" s="16" t="s">
        <v>97</v>
      </c>
      <c r="E63" s="17"/>
      <c r="F63" s="18"/>
      <c r="G63" s="43"/>
      <c r="H63" s="29"/>
      <c r="I63" s="29"/>
      <c r="J63" s="29"/>
      <c r="K63" s="29"/>
      <c r="L63" s="29"/>
      <c r="M63" s="29"/>
      <c r="N63" s="29"/>
      <c r="O63" s="29"/>
      <c r="P63" s="18"/>
      <c r="Q63" s="37"/>
      <c r="R63" s="18"/>
      <c r="S63" s="56"/>
      <c r="T63" s="56"/>
      <c r="U63" s="56"/>
      <c r="V63" s="56"/>
      <c r="W63" s="56"/>
      <c r="X63" s="56"/>
      <c r="Y63" s="56"/>
      <c r="Z63" s="18"/>
      <c r="AA63" s="18"/>
      <c r="AB63" s="19"/>
      <c r="AC63" s="19"/>
      <c r="AD63" s="19"/>
    </row>
    <row r="64" spans="1:37">
      <c r="A64" s="16"/>
      <c r="B64" s="16"/>
      <c r="C64" s="16"/>
      <c r="D64" s="16" t="s">
        <v>98</v>
      </c>
      <c r="E64" s="17"/>
      <c r="F64" s="18"/>
      <c r="G64" s="43"/>
      <c r="H64" s="29"/>
      <c r="I64" s="29"/>
      <c r="J64" s="29"/>
      <c r="K64" s="29"/>
      <c r="L64" s="29"/>
      <c r="M64" s="29"/>
      <c r="N64" s="29"/>
      <c r="O64" s="29"/>
      <c r="P64" s="18"/>
      <c r="Q64" s="37"/>
      <c r="R64" s="18"/>
      <c r="S64" s="56"/>
      <c r="T64" s="56"/>
      <c r="U64" s="56"/>
      <c r="V64" s="56"/>
      <c r="W64" s="56"/>
      <c r="X64" s="56"/>
      <c r="Y64" s="56"/>
      <c r="Z64" s="18"/>
      <c r="AA64" s="18"/>
      <c r="AB64" s="19"/>
      <c r="AC64" s="19"/>
      <c r="AD64" s="19"/>
    </row>
    <row r="65" spans="1:30">
      <c r="A65" s="16"/>
      <c r="B65" s="16"/>
      <c r="C65" s="16"/>
      <c r="D65" s="16"/>
      <c r="E65" s="17"/>
      <c r="F65" s="18">
        <f>SUM(F36:F62)</f>
        <v>0.99600000000000022</v>
      </c>
      <c r="G65" s="43"/>
      <c r="H65" s="29">
        <f>SUM(H36:H64)</f>
        <v>0.68540000000000001</v>
      </c>
      <c r="I65" s="29">
        <f>SUM(I36:I64)</f>
        <v>0.49670000000000003</v>
      </c>
      <c r="J65" s="29">
        <f>SUM(J36:J64)</f>
        <v>1.0059999999999998</v>
      </c>
      <c r="K65" s="29">
        <f>SUM(K36:K64)</f>
        <v>0.99869999999999959</v>
      </c>
      <c r="L65" s="29">
        <f>SUM(L36:L64)</f>
        <v>1.0023500000000001</v>
      </c>
      <c r="M65" s="29"/>
      <c r="N65" s="29">
        <f>SUM(N36:N64)</f>
        <v>0.77200000000000024</v>
      </c>
      <c r="O65" s="29"/>
      <c r="P65" s="18">
        <f>SUM(P36:P64)</f>
        <v>0.99900000000000022</v>
      </c>
      <c r="Q65" s="37"/>
      <c r="R65" s="18"/>
      <c r="S65" s="56"/>
      <c r="T65" s="56"/>
      <c r="U65" s="56"/>
      <c r="V65" s="56"/>
      <c r="W65" s="56"/>
      <c r="X65" s="56"/>
      <c r="Y65" s="56"/>
      <c r="Z65" s="18"/>
      <c r="AA65" s="18">
        <f>SUM(AA36:AA64)</f>
        <v>391.16842400000007</v>
      </c>
      <c r="AB65" s="19"/>
      <c r="AC65" s="19"/>
      <c r="AD65" s="19"/>
    </row>
    <row r="66" spans="1:30">
      <c r="N66" s="25">
        <f>SUM(N36,N42,N45,N46,N47,N56,N55)</f>
        <v>0.28399999999999997</v>
      </c>
    </row>
    <row r="67" spans="1:30">
      <c r="A67" s="20" t="s">
        <v>41</v>
      </c>
      <c r="B67" s="20">
        <f>AI4</f>
        <v>3.1152647975077881E-3</v>
      </c>
      <c r="C67" s="20" t="s">
        <v>118</v>
      </c>
      <c r="D67" s="20" t="s">
        <v>192</v>
      </c>
      <c r="E67" s="21"/>
      <c r="F67" s="22">
        <v>1</v>
      </c>
      <c r="G67" s="44"/>
      <c r="H67" s="30"/>
      <c r="I67" s="30"/>
      <c r="J67" s="30"/>
      <c r="K67" s="30"/>
      <c r="L67" s="30"/>
      <c r="M67" s="30"/>
      <c r="N67" s="30"/>
      <c r="O67" s="30"/>
      <c r="P67" s="38"/>
      <c r="Q67" s="38"/>
      <c r="R67" s="22" t="s">
        <v>119</v>
      </c>
      <c r="S67" s="22"/>
      <c r="T67" s="22"/>
      <c r="U67" s="22"/>
      <c r="V67" s="22"/>
      <c r="W67" s="22"/>
      <c r="X67" s="22"/>
      <c r="Y67" s="22"/>
      <c r="Z67" s="22">
        <v>162.13999999999999</v>
      </c>
      <c r="AA67" s="22"/>
      <c r="AB67" s="23">
        <v>1</v>
      </c>
      <c r="AC67" s="23">
        <f>AB67*B67</f>
        <v>3.1152647975077881E-3</v>
      </c>
      <c r="AD67" s="23">
        <f>AC67/Z67*1000</f>
        <v>1.9213425419438684E-2</v>
      </c>
    </row>
  </sheetData>
  <sortState ref="C2:F24">
    <sortCondition ref="C2:C24"/>
  </sortState>
  <phoneticPr fontId="10" type="noConversion"/>
  <pageMargins left="0.7" right="0.7" top="0.75" bottom="0.75" header="0.3" footer="0.3"/>
  <pageSetup scale="62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B1" workbookViewId="0">
      <selection activeCell="G24" sqref="G24"/>
    </sheetView>
  </sheetViews>
  <sheetFormatPr baseColWidth="10" defaultColWidth="8.83203125" defaultRowHeight="12" x14ac:dyDescent="0"/>
  <cols>
    <col min="1" max="1" width="0" hidden="1" customWidth="1"/>
    <col min="2" max="2" width="8.83203125" style="25"/>
    <col min="5" max="5" width="0" hidden="1" customWidth="1"/>
  </cols>
  <sheetData>
    <row r="1" spans="1:7">
      <c r="A1" s="7">
        <v>0.45015547875607576</v>
      </c>
      <c r="B1" s="26">
        <f>-1*A1</f>
        <v>-0.45015547875607576</v>
      </c>
      <c r="C1" s="4" t="s">
        <v>1</v>
      </c>
      <c r="E1">
        <v>0.50563000000000002</v>
      </c>
      <c r="F1">
        <f t="shared" ref="F1:F24" si="0">-1*E1</f>
        <v>-0.50563000000000002</v>
      </c>
      <c r="G1" t="s">
        <v>206</v>
      </c>
    </row>
    <row r="2" spans="1:7">
      <c r="A2" s="7">
        <v>0.30914291914573871</v>
      </c>
      <c r="B2" s="26">
        <f t="shared" ref="B2:B45" si="1">-1*A2</f>
        <v>-0.30914291914573871</v>
      </c>
      <c r="C2" s="4" t="s">
        <v>21</v>
      </c>
      <c r="E2">
        <v>0.35926000000000002</v>
      </c>
      <c r="F2">
        <f t="shared" si="0"/>
        <v>-0.35926000000000002</v>
      </c>
      <c r="G2" t="s">
        <v>212</v>
      </c>
    </row>
    <row r="3" spans="1:7">
      <c r="A3" s="7">
        <v>0.23863663934057019</v>
      </c>
      <c r="B3" s="26">
        <f t="shared" si="1"/>
        <v>-0.23863663934057019</v>
      </c>
      <c r="C3" s="4" t="s">
        <v>22</v>
      </c>
      <c r="E3">
        <v>0.27942</v>
      </c>
      <c r="F3">
        <f t="shared" si="0"/>
        <v>-0.27942</v>
      </c>
      <c r="G3" t="s">
        <v>205</v>
      </c>
    </row>
    <row r="4" spans="1:7">
      <c r="A4" s="7">
        <v>0.28744867920568684</v>
      </c>
      <c r="B4" s="26">
        <f t="shared" si="1"/>
        <v>-0.28744867920568684</v>
      </c>
      <c r="C4" s="4" t="s">
        <v>23</v>
      </c>
      <c r="E4">
        <v>0.35260999999999998</v>
      </c>
      <c r="F4">
        <f t="shared" si="0"/>
        <v>-0.35260999999999998</v>
      </c>
      <c r="G4" t="s">
        <v>203</v>
      </c>
    </row>
    <row r="5" spans="1:7">
      <c r="A5" s="7">
        <v>9.2200519745220338E-2</v>
      </c>
      <c r="B5" s="26">
        <f t="shared" si="1"/>
        <v>-9.2200519745220338E-2</v>
      </c>
      <c r="C5" s="4" t="s">
        <v>24</v>
      </c>
      <c r="E5">
        <v>4.6571000000000001E-2</v>
      </c>
      <c r="F5">
        <f t="shared" si="0"/>
        <v>-4.6571000000000001E-2</v>
      </c>
      <c r="G5" t="s">
        <v>207</v>
      </c>
    </row>
    <row r="6" spans="1:7">
      <c r="A6" s="7">
        <v>0.33626071907080357</v>
      </c>
      <c r="B6" s="26">
        <f t="shared" si="1"/>
        <v>-0.33626071907080357</v>
      </c>
      <c r="C6" s="4" t="s">
        <v>25</v>
      </c>
      <c r="E6">
        <v>0.38586999999999999</v>
      </c>
      <c r="F6">
        <f t="shared" si="0"/>
        <v>-0.38586999999999999</v>
      </c>
      <c r="G6" t="s">
        <v>202</v>
      </c>
    </row>
    <row r="7" spans="1:7">
      <c r="A7" s="7">
        <v>0.21694239940051838</v>
      </c>
      <c r="B7" s="26">
        <f t="shared" si="1"/>
        <v>-0.21694239940051838</v>
      </c>
      <c r="C7" s="4" t="s">
        <v>26</v>
      </c>
      <c r="E7">
        <v>0.32600000000000001</v>
      </c>
      <c r="F7">
        <f t="shared" si="0"/>
        <v>-0.32600000000000001</v>
      </c>
      <c r="G7" t="s">
        <v>208</v>
      </c>
    </row>
    <row r="8" spans="1:7">
      <c r="A8" s="7">
        <v>0.39049631892093323</v>
      </c>
      <c r="B8" s="26">
        <f t="shared" si="1"/>
        <v>-0.39049631892093323</v>
      </c>
      <c r="C8" s="4" t="s">
        <v>199</v>
      </c>
      <c r="E8">
        <v>0.53888999999999998</v>
      </c>
      <c r="F8">
        <f t="shared" si="0"/>
        <v>-0.53888999999999998</v>
      </c>
      <c r="G8" t="s">
        <v>200</v>
      </c>
    </row>
    <row r="9" spans="1:7">
      <c r="A9" s="7">
        <v>0.11931831967028508</v>
      </c>
      <c r="B9" s="26">
        <f t="shared" si="1"/>
        <v>-0.11931831967028508</v>
      </c>
      <c r="C9" s="4" t="s">
        <v>27</v>
      </c>
      <c r="E9">
        <v>0.12640999999999999</v>
      </c>
      <c r="F9">
        <f t="shared" si="0"/>
        <v>-0.12640999999999999</v>
      </c>
      <c r="G9" t="s">
        <v>226</v>
      </c>
    </row>
    <row r="10" spans="1:7">
      <c r="A10" s="7">
        <v>0.28202511922067391</v>
      </c>
      <c r="B10" s="26">
        <f t="shared" si="1"/>
        <v>-0.28202511922067391</v>
      </c>
      <c r="C10" s="4" t="s">
        <v>28</v>
      </c>
      <c r="E10">
        <v>0.28608</v>
      </c>
      <c r="F10">
        <f t="shared" si="0"/>
        <v>-0.28608</v>
      </c>
      <c r="G10" t="s">
        <v>228</v>
      </c>
    </row>
    <row r="11" spans="1:7">
      <c r="A11" s="7">
        <v>0.48812039865116641</v>
      </c>
      <c r="B11" s="26">
        <f t="shared" si="1"/>
        <v>-0.48812039865116641</v>
      </c>
      <c r="C11" s="4" t="s">
        <v>29</v>
      </c>
      <c r="E11">
        <v>0.54554000000000002</v>
      </c>
      <c r="F11">
        <f t="shared" si="0"/>
        <v>-0.54554000000000002</v>
      </c>
      <c r="G11" t="s">
        <v>229</v>
      </c>
    </row>
    <row r="12" spans="1:7">
      <c r="A12" s="7">
        <v>0.30914291914573877</v>
      </c>
      <c r="B12" s="26">
        <f t="shared" si="1"/>
        <v>-0.30914291914573877</v>
      </c>
      <c r="C12" s="4" t="s">
        <v>30</v>
      </c>
      <c r="E12">
        <v>0.59211000000000003</v>
      </c>
      <c r="F12">
        <f t="shared" si="0"/>
        <v>-0.59211000000000003</v>
      </c>
      <c r="G12" t="s">
        <v>211</v>
      </c>
    </row>
    <row r="13" spans="1:7">
      <c r="A13" s="7">
        <v>0.13016543964031105</v>
      </c>
      <c r="B13" s="26">
        <f t="shared" si="1"/>
        <v>-0.13016543964031105</v>
      </c>
      <c r="C13" s="4" t="s">
        <v>31</v>
      </c>
      <c r="E13">
        <v>0.15301999999999999</v>
      </c>
      <c r="F13">
        <f t="shared" si="0"/>
        <v>-0.15301999999999999</v>
      </c>
      <c r="G13" t="s">
        <v>213</v>
      </c>
    </row>
    <row r="14" spans="1:7">
      <c r="A14" s="7">
        <v>0.21151883941550542</v>
      </c>
      <c r="B14" s="26">
        <f t="shared" si="1"/>
        <v>-0.21151883941550542</v>
      </c>
      <c r="C14" s="4" t="s">
        <v>32</v>
      </c>
      <c r="E14">
        <v>0.25946999999999998</v>
      </c>
      <c r="F14">
        <f t="shared" si="0"/>
        <v>-0.25946999999999998</v>
      </c>
      <c r="G14" t="s">
        <v>231</v>
      </c>
    </row>
    <row r="15" spans="1:7">
      <c r="A15" s="7">
        <v>0.27660155923566099</v>
      </c>
      <c r="B15" s="26">
        <f t="shared" si="1"/>
        <v>-0.27660155923566099</v>
      </c>
      <c r="C15" s="4" t="s">
        <v>33</v>
      </c>
      <c r="E15">
        <v>0.41248000000000001</v>
      </c>
      <c r="F15">
        <f t="shared" si="0"/>
        <v>-0.41248000000000001</v>
      </c>
      <c r="G15" t="s">
        <v>232</v>
      </c>
    </row>
    <row r="16" spans="1:7">
      <c r="A16" s="7">
        <v>0.37422563896589423</v>
      </c>
      <c r="B16" s="26">
        <f t="shared" si="1"/>
        <v>-0.37422563896589423</v>
      </c>
      <c r="C16" s="4" t="s">
        <v>34</v>
      </c>
      <c r="E16">
        <v>0.39252999999999999</v>
      </c>
      <c r="F16">
        <f t="shared" si="0"/>
        <v>-0.39252999999999999</v>
      </c>
      <c r="G16" t="s">
        <v>209</v>
      </c>
    </row>
    <row r="17" spans="1:7">
      <c r="A17" s="7">
        <v>0.3145664791307517</v>
      </c>
      <c r="B17" s="26">
        <f t="shared" si="1"/>
        <v>-0.3145664791307517</v>
      </c>
      <c r="C17" s="4" t="s">
        <v>35</v>
      </c>
      <c r="E17">
        <v>0.31269000000000002</v>
      </c>
      <c r="F17">
        <f t="shared" si="0"/>
        <v>-0.31269000000000002</v>
      </c>
      <c r="G17" t="s">
        <v>210</v>
      </c>
    </row>
    <row r="18" spans="1:7">
      <c r="A18" s="7">
        <v>7.0506279805168479E-2</v>
      </c>
      <c r="B18" s="26">
        <f t="shared" si="1"/>
        <v>-7.0506279805168479E-2</v>
      </c>
      <c r="C18" s="4" t="s">
        <v>36</v>
      </c>
      <c r="E18">
        <v>1.3306E-2</v>
      </c>
      <c r="F18">
        <f t="shared" si="0"/>
        <v>-1.3306E-2</v>
      </c>
      <c r="G18" t="s">
        <v>230</v>
      </c>
    </row>
    <row r="19" spans="1:7">
      <c r="A19" s="7">
        <v>0.17355391952041477</v>
      </c>
      <c r="B19" s="26">
        <f t="shared" si="1"/>
        <v>-0.17355391952041477</v>
      </c>
      <c r="C19" s="4" t="s">
        <v>37</v>
      </c>
      <c r="E19">
        <v>0.15967000000000001</v>
      </c>
      <c r="F19">
        <f t="shared" si="0"/>
        <v>-0.15967000000000001</v>
      </c>
      <c r="G19" t="s">
        <v>227</v>
      </c>
    </row>
    <row r="20" spans="1:7">
      <c r="A20" s="7">
        <v>0.35795495901085544</v>
      </c>
      <c r="B20" s="26">
        <f t="shared" si="1"/>
        <v>-0.35795495901085544</v>
      </c>
      <c r="C20" s="4" t="s">
        <v>38</v>
      </c>
      <c r="E20">
        <v>0.35260999999999998</v>
      </c>
      <c r="F20">
        <f t="shared" si="0"/>
        <v>-0.35260999999999998</v>
      </c>
      <c r="G20" t="s">
        <v>235</v>
      </c>
    </row>
    <row r="21" spans="1:7">
      <c r="A21" s="15">
        <v>3.5956526166598189E-2</v>
      </c>
      <c r="B21" s="27">
        <f t="shared" si="1"/>
        <v>-3.5956526166598189E-2</v>
      </c>
      <c r="C21" s="12" t="s">
        <v>45</v>
      </c>
      <c r="E21">
        <v>7.9142999999999998E-4</v>
      </c>
      <c r="F21">
        <f t="shared" si="0"/>
        <v>-7.9142999999999998E-4</v>
      </c>
      <c r="G21" t="s">
        <v>223</v>
      </c>
    </row>
    <row r="22" spans="1:7">
      <c r="A22" s="15">
        <v>2.3971017444398803E-2</v>
      </c>
      <c r="B22" s="27">
        <f t="shared" si="1"/>
        <v>-2.3971017444398803E-2</v>
      </c>
      <c r="C22" s="12" t="s">
        <v>46</v>
      </c>
      <c r="E22">
        <v>1.3475E-3</v>
      </c>
      <c r="F22">
        <f t="shared" si="0"/>
        <v>-1.3475E-3</v>
      </c>
      <c r="G22" t="s">
        <v>222</v>
      </c>
    </row>
    <row r="23" spans="1:7">
      <c r="A23" s="15">
        <v>2.3971017444398803E-2</v>
      </c>
      <c r="B23" s="27">
        <f t="shared" si="1"/>
        <v>-2.3971017444398803E-2</v>
      </c>
      <c r="C23" s="12" t="s">
        <v>47</v>
      </c>
      <c r="E23">
        <v>6.6788999999999998E-4</v>
      </c>
      <c r="F23">
        <f t="shared" si="0"/>
        <v>-6.6788999999999998E-4</v>
      </c>
      <c r="G23" t="s">
        <v>221</v>
      </c>
    </row>
    <row r="24" spans="1:7">
      <c r="A24" s="15">
        <v>3.5956526166598196E-2</v>
      </c>
      <c r="B24" s="27">
        <f t="shared" si="1"/>
        <v>-3.5956526166598196E-2</v>
      </c>
      <c r="C24" s="12" t="s">
        <v>48</v>
      </c>
      <c r="E24">
        <v>9.1259000000000002E-4</v>
      </c>
      <c r="F24">
        <f t="shared" si="0"/>
        <v>-9.1259000000000002E-4</v>
      </c>
      <c r="G24" t="s">
        <v>224</v>
      </c>
    </row>
    <row r="25" spans="1:7">
      <c r="A25" s="11">
        <v>2.3971402808595939E-2</v>
      </c>
      <c r="B25" s="28">
        <f t="shared" si="1"/>
        <v>-2.3971402808595939E-2</v>
      </c>
      <c r="C25" s="8" t="s">
        <v>69</v>
      </c>
    </row>
    <row r="26" spans="1:7">
      <c r="A26" s="11">
        <v>3.6648586986218798E-2</v>
      </c>
      <c r="B26" s="28">
        <f t="shared" si="1"/>
        <v>-3.6648586986218798E-2</v>
      </c>
      <c r="C26" s="8" t="s">
        <v>70</v>
      </c>
      <c r="E26">
        <v>5.1038999999999998E-3</v>
      </c>
      <c r="F26">
        <f>-1*E26</f>
        <v>-5.1038999999999998E-3</v>
      </c>
      <c r="G26" t="s">
        <v>215</v>
      </c>
    </row>
    <row r="27" spans="1:7">
      <c r="A27" s="11">
        <v>3.319117311959438E-2</v>
      </c>
      <c r="B27" s="28">
        <f t="shared" si="1"/>
        <v>-3.319117311959438E-2</v>
      </c>
      <c r="C27" s="8" t="s">
        <v>71</v>
      </c>
      <c r="E27">
        <v>2.5463E-3</v>
      </c>
      <c r="F27">
        <f>-1*E27</f>
        <v>-2.5463E-3</v>
      </c>
      <c r="G27" t="s">
        <v>204</v>
      </c>
    </row>
    <row r="28" spans="1:7">
      <c r="A28" s="11">
        <v>2.1435965973071368E-2</v>
      </c>
      <c r="B28" s="28">
        <f t="shared" si="1"/>
        <v>-2.1435965973071368E-2</v>
      </c>
      <c r="C28" s="8" t="s">
        <v>190</v>
      </c>
      <c r="E28">
        <v>3.6254E-3</v>
      </c>
      <c r="F28">
        <f>-1*E28</f>
        <v>-3.6254E-3</v>
      </c>
      <c r="G28" t="s">
        <v>220</v>
      </c>
    </row>
    <row r="29" spans="1:7">
      <c r="A29" s="19">
        <v>2.7873995246807694E-2</v>
      </c>
      <c r="B29" s="76">
        <f t="shared" si="1"/>
        <v>-2.7873995246807694E-2</v>
      </c>
      <c r="C29" s="45" t="s">
        <v>85</v>
      </c>
      <c r="E29">
        <v>1.1853</v>
      </c>
      <c r="F29">
        <f>-1*E29</f>
        <v>-1.1853</v>
      </c>
      <c r="G29" t="s">
        <v>234</v>
      </c>
    </row>
    <row r="30" spans="1:7">
      <c r="A30" s="19">
        <v>0.18396836862893079</v>
      </c>
      <c r="B30" s="37">
        <f t="shared" si="1"/>
        <v>-0.18396836862893079</v>
      </c>
      <c r="C30" s="16" t="s">
        <v>86</v>
      </c>
      <c r="E30">
        <v>1.7591000000000001</v>
      </c>
      <c r="F30">
        <f>-1*E30</f>
        <v>-1.7591000000000001</v>
      </c>
      <c r="G30" t="s">
        <v>193</v>
      </c>
    </row>
    <row r="31" spans="1:7">
      <c r="A31" s="19">
        <v>7.2472387641700012E-2</v>
      </c>
      <c r="B31" s="76">
        <f t="shared" si="1"/>
        <v>-7.2472387641700012E-2</v>
      </c>
      <c r="C31" s="45" t="s">
        <v>87</v>
      </c>
    </row>
    <row r="32" spans="1:7">
      <c r="A32" s="19">
        <v>1.1149598098723077E-2</v>
      </c>
      <c r="B32" s="76">
        <f t="shared" si="1"/>
        <v>-1.1149598098723077E-2</v>
      </c>
      <c r="C32" s="45" t="s">
        <v>88</v>
      </c>
    </row>
    <row r="33" spans="1:7">
      <c r="A33" s="19">
        <v>1.1149598098723078E-2</v>
      </c>
      <c r="B33" s="76">
        <f t="shared" si="1"/>
        <v>-1.1149598098723078E-2</v>
      </c>
      <c r="C33" s="45" t="s">
        <v>89</v>
      </c>
    </row>
    <row r="34" spans="1:7">
      <c r="A34" s="19">
        <v>1.6724397148084616E-2</v>
      </c>
      <c r="B34" s="76">
        <f t="shared" si="1"/>
        <v>-1.6724397148084616E-2</v>
      </c>
      <c r="C34" s="45" t="s">
        <v>90</v>
      </c>
      <c r="E34">
        <v>2.0051999999999999</v>
      </c>
      <c r="F34">
        <f>-1*E34</f>
        <v>-2.0051999999999999</v>
      </c>
      <c r="G34" t="s">
        <v>214</v>
      </c>
    </row>
    <row r="35" spans="1:7">
      <c r="A35" s="19">
        <v>1.6724397148084616E-2</v>
      </c>
      <c r="B35" s="76">
        <f t="shared" si="1"/>
        <v>-1.6724397148084616E-2</v>
      </c>
      <c r="C35" s="45" t="s">
        <v>91</v>
      </c>
      <c r="E35">
        <v>6.8513000000000002</v>
      </c>
      <c r="F35">
        <f>-1*E35</f>
        <v>-6.8513000000000002</v>
      </c>
      <c r="G35" t="s">
        <v>217</v>
      </c>
    </row>
    <row r="36" spans="1:7">
      <c r="A36" s="19">
        <v>1.114959809872308E-2</v>
      </c>
      <c r="B36" s="76">
        <f t="shared" si="1"/>
        <v>-1.114959809872308E-2</v>
      </c>
      <c r="C36" s="45" t="s">
        <v>92</v>
      </c>
      <c r="E36">
        <v>0.62378999999999996</v>
      </c>
      <c r="F36">
        <f>-1*E36</f>
        <v>-0.62378999999999996</v>
      </c>
      <c r="G36" t="s">
        <v>233</v>
      </c>
    </row>
    <row r="37" spans="1:7">
      <c r="A37" s="19">
        <v>8.9196784789784614E-2</v>
      </c>
      <c r="B37" s="76">
        <f t="shared" si="1"/>
        <v>-8.9196784789784614E-2</v>
      </c>
      <c r="C37" s="45" t="s">
        <v>93</v>
      </c>
      <c r="E37">
        <v>16.5305</v>
      </c>
      <c r="F37">
        <f>-1*E37</f>
        <v>-16.5305</v>
      </c>
      <c r="G37" t="s">
        <v>216</v>
      </c>
    </row>
    <row r="38" spans="1:7">
      <c r="A38" s="19">
        <v>3.3448794296169235E-3</v>
      </c>
      <c r="B38" s="76">
        <f t="shared" si="1"/>
        <v>-3.3448794296169235E-3</v>
      </c>
      <c r="C38" s="45" t="s">
        <v>94</v>
      </c>
      <c r="E38">
        <v>0.76680000000000004</v>
      </c>
      <c r="F38">
        <f>-1*E38</f>
        <v>-0.76680000000000004</v>
      </c>
      <c r="G38" t="s">
        <v>219</v>
      </c>
    </row>
    <row r="39" spans="1:7">
      <c r="A39" s="19">
        <v>1.1149598098723078E-2</v>
      </c>
      <c r="B39" s="76">
        <f t="shared" si="1"/>
        <v>-1.1149598098723078E-2</v>
      </c>
      <c r="C39" s="45" t="s">
        <v>96</v>
      </c>
    </row>
    <row r="40" spans="1:7">
      <c r="A40" s="19">
        <v>1.6724397148084616E-2</v>
      </c>
      <c r="B40" s="76">
        <f t="shared" si="1"/>
        <v>-1.6724397148084616E-2</v>
      </c>
      <c r="C40" s="45" t="s">
        <v>134</v>
      </c>
    </row>
    <row r="41" spans="1:7">
      <c r="A41" s="19">
        <v>1.6724397148084616E-2</v>
      </c>
      <c r="B41" s="76">
        <f t="shared" si="1"/>
        <v>-1.6724397148084616E-2</v>
      </c>
      <c r="C41" s="45" t="s">
        <v>135</v>
      </c>
    </row>
    <row r="42" spans="1:7">
      <c r="A42" s="19">
        <v>5.5747990493615392E-3</v>
      </c>
      <c r="B42" s="37">
        <f t="shared" si="1"/>
        <v>-5.5747990493615392E-3</v>
      </c>
      <c r="C42" s="16" t="s">
        <v>141</v>
      </c>
      <c r="E42">
        <v>0.32440999999999998</v>
      </c>
      <c r="F42">
        <f>-1*E42</f>
        <v>-0.32440999999999998</v>
      </c>
      <c r="G42" t="s">
        <v>218</v>
      </c>
    </row>
    <row r="43" spans="1:7">
      <c r="A43" s="19">
        <v>4.4598392394892314E-2</v>
      </c>
      <c r="B43" s="76">
        <f t="shared" si="1"/>
        <v>-4.4598392394892314E-2</v>
      </c>
      <c r="C43" s="45" t="s">
        <v>150</v>
      </c>
    </row>
    <row r="44" spans="1:7">
      <c r="A44" s="19">
        <v>1.6724397148084613E-2</v>
      </c>
      <c r="B44" s="76">
        <f t="shared" si="1"/>
        <v>-1.6724397148084613E-2</v>
      </c>
      <c r="C44" s="45" t="s">
        <v>237</v>
      </c>
    </row>
    <row r="45" spans="1:7">
      <c r="A45" s="23">
        <v>1.9213425419438684E-2</v>
      </c>
      <c r="B45" s="30">
        <f t="shared" si="1"/>
        <v>-1.9213425419438684E-2</v>
      </c>
      <c r="C45" s="20" t="s">
        <v>192</v>
      </c>
    </row>
    <row r="46" spans="1:7">
      <c r="A46">
        <v>-24</v>
      </c>
      <c r="B46">
        <v>-24</v>
      </c>
      <c r="C46" t="s">
        <v>242</v>
      </c>
      <c r="E46">
        <v>20.6508</v>
      </c>
      <c r="F46">
        <f>-1*E46</f>
        <v>-20.6508</v>
      </c>
      <c r="G46" t="s">
        <v>195</v>
      </c>
    </row>
    <row r="47" spans="1:7">
      <c r="A47">
        <v>-24</v>
      </c>
      <c r="B47">
        <v>-24</v>
      </c>
      <c r="C47" t="s">
        <v>243</v>
      </c>
      <c r="E47">
        <v>20.6508</v>
      </c>
      <c r="F47">
        <f>-1*E47</f>
        <v>-20.6508</v>
      </c>
      <c r="G47" t="s">
        <v>196</v>
      </c>
    </row>
    <row r="48" spans="1:7">
      <c r="A48">
        <v>24</v>
      </c>
      <c r="B48">
        <v>24</v>
      </c>
      <c r="C48" t="s">
        <v>244</v>
      </c>
      <c r="E48">
        <v>20.6508</v>
      </c>
      <c r="F48">
        <f>E48</f>
        <v>20.6508</v>
      </c>
      <c r="G48" t="s">
        <v>194</v>
      </c>
    </row>
    <row r="49" spans="1:7">
      <c r="A49">
        <v>24</v>
      </c>
      <c r="B49">
        <v>24</v>
      </c>
      <c r="C49" t="s">
        <v>245</v>
      </c>
      <c r="E49">
        <v>20.6508</v>
      </c>
      <c r="F49">
        <f t="shared" ref="F49:F50" si="2">E49</f>
        <v>20.6508</v>
      </c>
      <c r="G49" t="s">
        <v>197</v>
      </c>
    </row>
    <row r="50" spans="1:7">
      <c r="A50">
        <v>24</v>
      </c>
      <c r="B50">
        <v>24</v>
      </c>
      <c r="C50" t="s">
        <v>246</v>
      </c>
      <c r="E50">
        <v>20.6508</v>
      </c>
      <c r="F50">
        <f t="shared" si="2"/>
        <v>20.6508</v>
      </c>
      <c r="G50" t="s">
        <v>198</v>
      </c>
    </row>
    <row r="52" spans="1:7">
      <c r="E52">
        <v>7100</v>
      </c>
      <c r="F52">
        <f t="shared" ref="F52" si="3">-1*E52</f>
        <v>-7100</v>
      </c>
      <c r="G52" t="s">
        <v>225</v>
      </c>
    </row>
  </sheetData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cp:lastPrinted>2013-01-30T21:57:58Z</cp:lastPrinted>
  <dcterms:created xsi:type="dcterms:W3CDTF">2011-12-21T16:40:29Z</dcterms:created>
  <dcterms:modified xsi:type="dcterms:W3CDTF">2013-01-30T23:05:33Z</dcterms:modified>
</cp:coreProperties>
</file>