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\src\hdr4000t\apps\octo\service\obama\main\tvservice\svc\si\test\"/>
    </mc:Choice>
  </mc:AlternateContent>
  <bookViews>
    <workbookView xWindow="0" yWindow="0" windowWidth="26565" windowHeight="10155" activeTab="3"/>
  </bookViews>
  <sheets>
    <sheet name="Base" sheetId="5" r:id="rId1"/>
    <sheet name="AudioConfig" sheetId="4" r:id="rId2"/>
    <sheet name="AudioSelection" sheetId="1" r:id="rId3"/>
    <sheet name="AudioEsList" sheetId="2" r:id="rId4"/>
  </sheets>
  <definedNames>
    <definedName name="AD_REF">AudioEsList!$C$8</definedName>
    <definedName name="AUDIO_PID">AudioEsList!$C$4</definedName>
    <definedName name="AudioTrackList">AudioTrackTable[]</definedName>
    <definedName name="LANG0_REF">AudioEsList!$C$5</definedName>
    <definedName name="LANG1_REF">AudioEsList!$C$6</definedName>
    <definedName name="MULTI_REF">AudioEsList!$C$7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I18" i="2" s="1"/>
  <c r="G18" i="2"/>
  <c r="K18" i="2"/>
  <c r="J25" i="4" l="1"/>
  <c r="J24" i="4"/>
  <c r="J23" i="4"/>
  <c r="J22" i="4"/>
  <c r="J21" i="4"/>
  <c r="J20" i="4"/>
  <c r="J19" i="4"/>
  <c r="J18" i="4"/>
  <c r="F5" i="2" l="1"/>
  <c r="G9" i="2"/>
  <c r="L9" i="4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F8" i="1"/>
  <c r="Z8" i="1" s="1"/>
  <c r="F9" i="1"/>
  <c r="Z9" i="1" s="1"/>
  <c r="F10" i="1"/>
  <c r="Z10" i="1" s="1"/>
  <c r="F11" i="1"/>
  <c r="Z11" i="1" s="1"/>
  <c r="F12" i="1"/>
  <c r="Z12" i="1" s="1"/>
  <c r="F13" i="1"/>
  <c r="Z13" i="1" s="1"/>
  <c r="F14" i="1"/>
  <c r="Z14" i="1" s="1"/>
  <c r="F15" i="1"/>
  <c r="Z15" i="1" s="1"/>
  <c r="F16" i="1"/>
  <c r="Z16" i="1" s="1"/>
  <c r="F17" i="1"/>
  <c r="Z17" i="1" s="1"/>
  <c r="F18" i="1"/>
  <c r="Z18" i="1" s="1"/>
  <c r="F19" i="1"/>
  <c r="Z19" i="1" s="1"/>
  <c r="F20" i="1"/>
  <c r="Z20" i="1" s="1"/>
  <c r="F21" i="1"/>
  <c r="Z21" i="1" s="1"/>
  <c r="F22" i="1"/>
  <c r="Z22" i="1" s="1"/>
  <c r="F23" i="1"/>
  <c r="Z23" i="1" s="1"/>
  <c r="E8" i="1"/>
  <c r="T8" i="1" s="1"/>
  <c r="E9" i="1"/>
  <c r="T9" i="1" s="1"/>
  <c r="E10" i="1"/>
  <c r="T10" i="1" s="1"/>
  <c r="E11" i="1"/>
  <c r="T11" i="1" s="1"/>
  <c r="E12" i="1"/>
  <c r="T12" i="1" s="1"/>
  <c r="E13" i="1"/>
  <c r="T13" i="1" s="1"/>
  <c r="E14" i="1"/>
  <c r="T14" i="1" s="1"/>
  <c r="E15" i="1"/>
  <c r="T15" i="1" s="1"/>
  <c r="E16" i="1"/>
  <c r="T16" i="1" s="1"/>
  <c r="E17" i="1"/>
  <c r="T17" i="1" s="1"/>
  <c r="E18" i="1"/>
  <c r="T18" i="1" s="1"/>
  <c r="E19" i="1"/>
  <c r="T19" i="1" s="1"/>
  <c r="E20" i="1"/>
  <c r="T20" i="1" s="1"/>
  <c r="E21" i="1"/>
  <c r="T21" i="1" s="1"/>
  <c r="E22" i="1"/>
  <c r="T22" i="1" s="1"/>
  <c r="E23" i="1"/>
  <c r="T23" i="1" s="1"/>
  <c r="C4" i="2"/>
  <c r="I6" i="2" s="1"/>
  <c r="C5" i="2"/>
  <c r="M10" i="2" s="1"/>
  <c r="C6" i="2"/>
  <c r="M11" i="2" s="1"/>
  <c r="C7" i="2"/>
  <c r="C8" i="2"/>
  <c r="I13" i="2"/>
  <c r="I12" i="2"/>
  <c r="I11" i="2"/>
  <c r="J13" i="2"/>
  <c r="J12" i="2"/>
  <c r="J11" i="2"/>
  <c r="J10" i="2"/>
  <c r="H13" i="2"/>
  <c r="H12" i="2"/>
  <c r="H11" i="2"/>
  <c r="H10" i="2"/>
  <c r="G17" i="2"/>
  <c r="G16" i="2"/>
  <c r="G15" i="2"/>
  <c r="G7" i="2"/>
  <c r="G6" i="2"/>
  <c r="E3" i="2"/>
  <c r="L3" i="4"/>
  <c r="L4" i="4"/>
  <c r="K18" i="4" s="1"/>
  <c r="L5" i="4"/>
  <c r="K19" i="4" s="1"/>
  <c r="L6" i="4"/>
  <c r="K20" i="4" s="1"/>
  <c r="L7" i="4"/>
  <c r="K21" i="4" s="1"/>
  <c r="L8" i="4"/>
  <c r="L10" i="4"/>
  <c r="K22" i="4" s="1"/>
  <c r="L11" i="4"/>
  <c r="K23" i="4" s="1"/>
  <c r="L12" i="4"/>
  <c r="L13" i="4"/>
  <c r="K25" i="4" s="1"/>
  <c r="L14" i="4"/>
  <c r="K24" i="4" s="1"/>
  <c r="L15" i="4"/>
  <c r="K26" i="4" s="1"/>
  <c r="K13" i="2"/>
  <c r="K12" i="2"/>
  <c r="I7" i="2"/>
  <c r="I16" i="2"/>
  <c r="I15" i="2"/>
  <c r="G14" i="2"/>
  <c r="K14" i="2"/>
  <c r="I9" i="2"/>
  <c r="K9" i="2"/>
  <c r="K4" i="2"/>
  <c r="K5" i="2"/>
  <c r="K19" i="2"/>
  <c r="K20" i="2"/>
  <c r="K21" i="2"/>
  <c r="K7" i="2"/>
  <c r="K15" i="2"/>
  <c r="K16" i="2"/>
  <c r="K17" i="2"/>
  <c r="N10" i="2" l="1"/>
  <c r="I10" i="2" s="1"/>
  <c r="I17" i="2"/>
  <c r="G23" i="1"/>
  <c r="G19" i="1"/>
  <c r="G15" i="1"/>
  <c r="G11" i="1"/>
  <c r="G20" i="1"/>
  <c r="G16" i="1"/>
  <c r="G12" i="1"/>
  <c r="G8" i="1"/>
  <c r="G21" i="1"/>
  <c r="G17" i="1"/>
  <c r="G13" i="1"/>
  <c r="G9" i="1"/>
  <c r="G22" i="1"/>
  <c r="G18" i="1"/>
  <c r="G14" i="1"/>
  <c r="X8" i="1"/>
  <c r="G10" i="1"/>
  <c r="AG12" i="1"/>
  <c r="AG9" i="1"/>
  <c r="M8" i="2"/>
  <c r="I8" i="2" s="1"/>
  <c r="K10" i="2"/>
  <c r="K11" i="2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S8" i="1"/>
  <c r="S9" i="1"/>
  <c r="S10" i="1"/>
  <c r="S11" i="1"/>
  <c r="S12" i="1"/>
  <c r="V12" i="1" s="1"/>
  <c r="S13" i="1"/>
  <c r="S14" i="1"/>
  <c r="S15" i="1"/>
  <c r="S16" i="1"/>
  <c r="V16" i="1" s="1"/>
  <c r="S17" i="1"/>
  <c r="S18" i="1"/>
  <c r="S19" i="1"/>
  <c r="S20" i="1"/>
  <c r="V20" i="1" s="1"/>
  <c r="S21" i="1"/>
  <c r="S22" i="1"/>
  <c r="S23" i="1"/>
  <c r="V21" i="1" l="1"/>
  <c r="V17" i="1"/>
  <c r="V8" i="1"/>
  <c r="V23" i="1"/>
  <c r="V13" i="1"/>
  <c r="V9" i="1"/>
  <c r="V19" i="1"/>
  <c r="V22" i="1"/>
  <c r="V15" i="1"/>
  <c r="V11" i="1"/>
  <c r="V18" i="1"/>
  <c r="V14" i="1"/>
  <c r="V10" i="1"/>
  <c r="O8" i="1"/>
  <c r="AC8" i="1" s="1"/>
  <c r="O9" i="1"/>
  <c r="AC9" i="1" s="1"/>
  <c r="O10" i="1"/>
  <c r="AC10" i="1" s="1"/>
  <c r="O11" i="1"/>
  <c r="AC11" i="1" s="1"/>
  <c r="O12" i="1"/>
  <c r="AC12" i="1" s="1"/>
  <c r="O13" i="1"/>
  <c r="AC13" i="1" s="1"/>
  <c r="O14" i="1"/>
  <c r="AC14" i="1" s="1"/>
  <c r="O15" i="1"/>
  <c r="AC15" i="1" s="1"/>
  <c r="O16" i="1"/>
  <c r="AC16" i="1" s="1"/>
  <c r="O17" i="1"/>
  <c r="AC17" i="1" s="1"/>
  <c r="O18" i="1"/>
  <c r="AC18" i="1" s="1"/>
  <c r="O19" i="1"/>
  <c r="AC19" i="1" s="1"/>
  <c r="O20" i="1"/>
  <c r="AC20" i="1" s="1"/>
  <c r="O21" i="1"/>
  <c r="AC21" i="1" s="1"/>
  <c r="O22" i="1"/>
  <c r="AC22" i="1" s="1"/>
  <c r="O23" i="1"/>
  <c r="AC23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U9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I8" i="1"/>
  <c r="I9" i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AA22" i="1" l="1"/>
  <c r="AB22" i="1" s="1"/>
  <c r="AA18" i="1"/>
  <c r="AB18" i="1" s="1"/>
  <c r="AA14" i="1"/>
  <c r="AB14" i="1" s="1"/>
  <c r="AA10" i="1"/>
  <c r="AB10" i="1" s="1"/>
  <c r="AA20" i="1"/>
  <c r="AB20" i="1" s="1"/>
  <c r="AA16" i="1"/>
  <c r="AB16" i="1" s="1"/>
  <c r="AA12" i="1"/>
  <c r="AB12" i="1" s="1"/>
  <c r="AA8" i="1"/>
  <c r="AB8" i="1" s="1"/>
  <c r="H18" i="1"/>
  <c r="Q18" i="1" s="1"/>
  <c r="H21" i="1"/>
  <c r="H17" i="1"/>
  <c r="H13" i="1"/>
  <c r="H9" i="1"/>
  <c r="H22" i="1"/>
  <c r="Q22" i="1" s="1"/>
  <c r="AF22" i="1" s="1"/>
  <c r="H10" i="1"/>
  <c r="Q10" i="1" s="1"/>
  <c r="H20" i="1"/>
  <c r="H16" i="1"/>
  <c r="H12" i="1"/>
  <c r="H8" i="1"/>
  <c r="H14" i="1"/>
  <c r="Q14" i="1" s="1"/>
  <c r="H23" i="1"/>
  <c r="H19" i="1"/>
  <c r="H15" i="1"/>
  <c r="H11" i="1"/>
  <c r="J21" i="1"/>
  <c r="J17" i="1"/>
  <c r="J13" i="1"/>
  <c r="J9" i="1"/>
  <c r="J20" i="1"/>
  <c r="J16" i="1"/>
  <c r="J12" i="1"/>
  <c r="J8" i="1"/>
  <c r="J23" i="1"/>
  <c r="J19" i="1"/>
  <c r="J15" i="1"/>
  <c r="J11" i="1"/>
  <c r="AA17" i="1"/>
  <c r="AB17" i="1" s="1"/>
  <c r="AA9" i="1"/>
  <c r="AB9" i="1" s="1"/>
  <c r="AA21" i="1"/>
  <c r="AB21" i="1" s="1"/>
  <c r="AA13" i="1"/>
  <c r="AB13" i="1" s="1"/>
  <c r="AA23" i="1"/>
  <c r="AB23" i="1" s="1"/>
  <c r="AA19" i="1"/>
  <c r="AB19" i="1" s="1"/>
  <c r="AA15" i="1"/>
  <c r="AB15" i="1" s="1"/>
  <c r="AA11" i="1"/>
  <c r="AB11" i="1" s="1"/>
  <c r="X11" i="1"/>
  <c r="X22" i="1"/>
  <c r="X18" i="1"/>
  <c r="X14" i="1"/>
  <c r="X10" i="1"/>
  <c r="X15" i="1"/>
  <c r="X21" i="1"/>
  <c r="X17" i="1"/>
  <c r="X13" i="1"/>
  <c r="X9" i="1"/>
  <c r="X23" i="1"/>
  <c r="X20" i="1"/>
  <c r="X16" i="1"/>
  <c r="X12" i="1"/>
  <c r="X19" i="1"/>
  <c r="AF14" i="1" l="1"/>
  <c r="AF10" i="1"/>
  <c r="AF18" i="1"/>
  <c r="R12" i="1"/>
  <c r="AD12" i="1" s="1"/>
  <c r="Q23" i="1"/>
  <c r="AF23" i="1" s="1"/>
  <c r="Q11" i="1"/>
  <c r="AF11" i="1" s="1"/>
  <c r="Q20" i="1"/>
  <c r="AF20" i="1" s="1"/>
  <c r="Q9" i="1"/>
  <c r="AF9" i="1" s="1"/>
  <c r="Q12" i="1"/>
  <c r="AF12" i="1" s="1"/>
  <c r="Q19" i="1"/>
  <c r="AF19" i="1" s="1"/>
  <c r="Q17" i="1"/>
  <c r="AF17" i="1" s="1"/>
  <c r="Q16" i="1"/>
  <c r="AF16" i="1" s="1"/>
  <c r="Q21" i="1"/>
  <c r="AF21" i="1" s="1"/>
  <c r="Q15" i="1"/>
  <c r="AF15" i="1" s="1"/>
  <c r="R8" i="1"/>
  <c r="AD8" i="1" s="1"/>
  <c r="Q8" i="1"/>
  <c r="AF8" i="1" s="1"/>
  <c r="Q13" i="1"/>
  <c r="AF13" i="1" s="1"/>
  <c r="R11" i="1"/>
  <c r="AD11" i="1" s="1"/>
  <c r="R10" i="1"/>
  <c r="AD10" i="1" s="1"/>
  <c r="R18" i="1"/>
  <c r="AD18" i="1" s="1"/>
  <c r="R14" i="1"/>
  <c r="AD14" i="1" s="1"/>
  <c r="R22" i="1"/>
  <c r="AD22" i="1" s="1"/>
  <c r="R16" i="1"/>
  <c r="AD16" i="1" s="1"/>
  <c r="R19" i="1"/>
  <c r="AD19" i="1" s="1"/>
  <c r="R20" i="1"/>
  <c r="AD20" i="1" s="1"/>
  <c r="R9" i="1"/>
  <c r="AD9" i="1" s="1"/>
  <c r="R17" i="1"/>
  <c r="AD17" i="1" s="1"/>
  <c r="R15" i="1"/>
  <c r="AD15" i="1" s="1"/>
  <c r="R23" i="1"/>
  <c r="AD23" i="1" s="1"/>
  <c r="R13" i="1"/>
  <c r="AD13" i="1" s="1"/>
  <c r="R21" i="1"/>
  <c r="AD21" i="1" s="1"/>
  <c r="AE22" i="1" l="1"/>
  <c r="AE18" i="1"/>
  <c r="AE20" i="1"/>
  <c r="AE14" i="1"/>
  <c r="AE10" i="1"/>
  <c r="AE21" i="1"/>
  <c r="AE16" i="1"/>
  <c r="AE23" i="1"/>
  <c r="AE17" i="1"/>
  <c r="AE12" i="1"/>
  <c r="AE19" i="1"/>
  <c r="AE13" i="1"/>
  <c r="AE8" i="1"/>
  <c r="AE15" i="1"/>
  <c r="AE9" i="1"/>
  <c r="AE11" i="1"/>
</calcChain>
</file>

<file path=xl/sharedStrings.xml><?xml version="1.0" encoding="utf-8"?>
<sst xmlns="http://schemas.openxmlformats.org/spreadsheetml/2006/main" count="327" uniqueCount="205">
  <si>
    <t>Lang0</t>
    <phoneticPr fontId="2" type="noConversion"/>
  </si>
  <si>
    <t>Lang1</t>
    <phoneticPr fontId="2" type="noConversion"/>
  </si>
  <si>
    <t>Multi</t>
    <phoneticPr fontId="2" type="noConversion"/>
  </si>
  <si>
    <t>Audio Description</t>
    <phoneticPr fontId="2" type="noConversion"/>
  </si>
  <si>
    <t>eng</t>
    <phoneticPr fontId="2" type="noConversion"/>
  </si>
  <si>
    <t>yes</t>
    <phoneticPr fontId="2" type="noConversion"/>
  </si>
  <si>
    <t>no</t>
    <phoneticPr fontId="2" type="noConversion"/>
  </si>
  <si>
    <t>""</t>
    <phoneticPr fontId="2" type="noConversion"/>
  </si>
  <si>
    <t>ger</t>
    <phoneticPr fontId="2" type="noConversion"/>
  </si>
  <si>
    <t>Track</t>
    <phoneticPr fontId="2" type="noConversion"/>
  </si>
  <si>
    <t>Score</t>
    <phoneticPr fontId="2" type="noConversion"/>
  </si>
  <si>
    <t>Item</t>
    <phoneticPr fontId="2" type="noConversion"/>
  </si>
  <si>
    <t>item</t>
    <phoneticPr fontId="2" type="noConversion"/>
  </si>
  <si>
    <t>value</t>
    <phoneticPr fontId="2" type="noConversion"/>
  </si>
  <si>
    <t>Priority</t>
    <phoneticPr fontId="2" type="noConversion"/>
  </si>
  <si>
    <t>Lang_Aud0</t>
    <phoneticPr fontId="2" type="noConversion"/>
  </si>
  <si>
    <t>Lang_Aud1</t>
    <phoneticPr fontId="2" type="noConversion"/>
  </si>
  <si>
    <t>Lang_Menu</t>
    <phoneticPr fontId="2" type="noConversion"/>
  </si>
  <si>
    <t>Lang_Aud0</t>
    <phoneticPr fontId="2" type="noConversion"/>
  </si>
  <si>
    <t>Lang_Aud1</t>
    <phoneticPr fontId="2" type="noConversion"/>
  </si>
  <si>
    <t>Lang_Menu</t>
    <phoneticPr fontId="2" type="noConversion"/>
  </si>
  <si>
    <t>First_Track</t>
    <phoneticPr fontId="2" type="noConversion"/>
  </si>
  <si>
    <t>Multichannel_User</t>
    <phoneticPr fontId="2" type="noConversion"/>
  </si>
  <si>
    <t>Lang_User</t>
    <phoneticPr fontId="2" type="noConversion"/>
  </si>
  <si>
    <t>Lang_User</t>
    <phoneticPr fontId="2" type="noConversion"/>
  </si>
  <si>
    <t>IsFirstTrack</t>
    <phoneticPr fontId="2" type="noConversion"/>
  </si>
  <si>
    <t>Audio_Description_User</t>
    <phoneticPr fontId="2" type="noConversion"/>
  </si>
  <si>
    <t>Audio_Description_User</t>
    <phoneticPr fontId="2" type="noConversion"/>
  </si>
  <si>
    <t>Multichannel_User</t>
    <phoneticPr fontId="2" type="noConversion"/>
  </si>
  <si>
    <t>AudioDescriptionSelUser</t>
    <phoneticPr fontId="2" type="noConversion"/>
  </si>
  <si>
    <t>Language Score</t>
    <phoneticPr fontId="2" type="noConversion"/>
  </si>
  <si>
    <t>Multichannel Score</t>
    <phoneticPr fontId="2" type="noConversion"/>
  </si>
  <si>
    <t>AudioDescription Score</t>
    <phoneticPr fontId="2" type="noConversion"/>
  </si>
  <si>
    <t>Track Score</t>
    <phoneticPr fontId="2" type="noConversion"/>
  </si>
  <si>
    <t>Lang_Base</t>
  </si>
  <si>
    <t>Audio_Description_Base</t>
  </si>
  <si>
    <t>Multichannel_Base</t>
  </si>
  <si>
    <t>Value</t>
    <phoneticPr fontId="2" type="noConversion"/>
  </si>
  <si>
    <t>Reference</t>
    <phoneticPr fontId="2" type="noConversion"/>
  </si>
  <si>
    <t>Lang_Base</t>
    <phoneticPr fontId="2" type="noConversion"/>
  </si>
  <si>
    <t>Lang_Base</t>
    <phoneticPr fontId="2" type="noConversion"/>
  </si>
  <si>
    <t>Audio_Description_Base</t>
    <phoneticPr fontId="2" type="noConversion"/>
  </si>
  <si>
    <t>Audio_Description_Base</t>
    <phoneticPr fontId="2" type="noConversion"/>
  </si>
  <si>
    <t>Multichannel_Base</t>
    <phoneticPr fontId="2" type="noConversion"/>
  </si>
  <si>
    <t>Multichannel_Base</t>
    <phoneticPr fontId="2" type="noConversion"/>
  </si>
  <si>
    <t>Score</t>
    <phoneticPr fontId="2" type="noConversion"/>
  </si>
  <si>
    <t>Selection Summary</t>
    <phoneticPr fontId="2" type="noConversion"/>
  </si>
  <si>
    <t>AudioDescription Selected</t>
    <phoneticPr fontId="2" type="noConversion"/>
  </si>
  <si>
    <t>Matched Language</t>
    <phoneticPr fontId="2" type="noConversion"/>
  </si>
  <si>
    <t>IsDualMono</t>
    <phoneticPr fontId="2" type="noConversion"/>
  </si>
  <si>
    <t>Dual_Mono_Base</t>
    <phoneticPr fontId="2" type="noConversion"/>
  </si>
  <si>
    <t>IsLangMatchedUser</t>
    <phoneticPr fontId="2" type="noConversion"/>
  </si>
  <si>
    <t>IsLangMatchedAud0</t>
    <phoneticPr fontId="2" type="noConversion"/>
  </si>
  <si>
    <t>IsLangMatchedAud1</t>
    <phoneticPr fontId="2" type="noConversion"/>
  </si>
  <si>
    <t>IsLangMatchedMenu</t>
    <phoneticPr fontId="2" type="noConversion"/>
  </si>
  <si>
    <t>IsMultiSelectedByUser</t>
    <phoneticPr fontId="2" type="noConversion"/>
  </si>
  <si>
    <t>IsMultiSelectedByMenu</t>
    <phoneticPr fontId="2" type="noConversion"/>
  </si>
  <si>
    <t>IsMultichannelSelected</t>
    <phoneticPr fontId="2" type="noConversion"/>
  </si>
  <si>
    <t>Multichannel_Menu</t>
    <phoneticPr fontId="2" type="noConversion"/>
  </si>
  <si>
    <t>Multichannel_Menu</t>
    <phoneticPr fontId="2" type="noConversion"/>
  </si>
  <si>
    <t>Audio_Description_Menu</t>
    <phoneticPr fontId="2" type="noConversion"/>
  </si>
  <si>
    <t>swe</t>
  </si>
  <si>
    <t>AudioDescriptionSelMenu</t>
    <phoneticPr fontId="2" type="noConversion"/>
  </si>
  <si>
    <t>LangUser Score</t>
    <phoneticPr fontId="2" type="noConversion"/>
  </si>
  <si>
    <t>LangAud0 Score</t>
    <phoneticPr fontId="2" type="noConversion"/>
  </si>
  <si>
    <t>LangAud1 Score</t>
    <phoneticPr fontId="2" type="noConversion"/>
  </si>
  <si>
    <t>LangMenu Score</t>
    <phoneticPr fontId="2" type="noConversion"/>
  </si>
  <si>
    <t>Selected Language</t>
    <phoneticPr fontId="2" type="noConversion"/>
  </si>
  <si>
    <t>Description</t>
    <phoneticPr fontId="2" type="noConversion"/>
  </si>
  <si>
    <t>Order</t>
    <phoneticPr fontId="2" type="noConversion"/>
  </si>
  <si>
    <t>DualMono Score</t>
    <phoneticPr fontId="2" type="noConversion"/>
  </si>
  <si>
    <t>dan</t>
    <phoneticPr fontId="2" type="noConversion"/>
  </si>
  <si>
    <t>.eSuppAudioEditorial</t>
    <phoneticPr fontId="2" type="noConversion"/>
  </si>
  <si>
    <t>Value0</t>
    <phoneticPr fontId="2" type="noConversion"/>
  </si>
  <si>
    <t>Value1</t>
    <phoneticPr fontId="2" type="noConversion"/>
  </si>
  <si>
    <t>Value Org</t>
    <phoneticPr fontId="2" type="noConversion"/>
  </si>
  <si>
    <t>AD Value</t>
    <phoneticPr fontId="2" type="noConversion"/>
  </si>
  <si>
    <t>},</t>
  </si>
  <si>
    <t>},</t>
    <phoneticPr fontId="2" type="noConversion"/>
  </si>
  <si>
    <t>Value2</t>
    <phoneticPr fontId="2" type="noConversion"/>
  </si>
  <si>
    <t>Lang1 Ref</t>
    <phoneticPr fontId="2" type="noConversion"/>
  </si>
  <si>
    <t>Value</t>
    <phoneticPr fontId="2" type="noConversion"/>
  </si>
  <si>
    <t>.usPid</t>
    <phoneticPr fontId="2" type="noConversion"/>
  </si>
  <si>
    <t>.eAudCodec</t>
    <phoneticPr fontId="2" type="noConversion"/>
  </si>
  <si>
    <t>.bCaDesFound</t>
    <phoneticPr fontId="2" type="noConversion"/>
  </si>
  <si>
    <t>Audio Index</t>
    <phoneticPr fontId="2" type="noConversion"/>
  </si>
  <si>
    <t>Lang0 Ref</t>
    <phoneticPr fontId="2" type="noConversion"/>
  </si>
  <si>
    <t>Multi Ref</t>
    <phoneticPr fontId="2" type="noConversion"/>
  </si>
  <si>
    <t>AD Ref</t>
    <phoneticPr fontId="2" type="noConversion"/>
  </si>
  <si>
    <t>item1</t>
    <phoneticPr fontId="2" type="noConversion"/>
  </si>
  <si>
    <t>},</t>
    <phoneticPr fontId="2" type="noConversion"/>
  </si>
  <si>
    <t>};</t>
    <phoneticPr fontId="2" type="noConversion"/>
  </si>
  <si>
    <t>item2</t>
  </si>
  <si>
    <t>{</t>
    <phoneticPr fontId="2" type="noConversion"/>
  </si>
  <si>
    <t>item3</t>
  </si>
  <si>
    <t>Value02</t>
  </si>
  <si>
    <t>}</t>
    <phoneticPr fontId="2" type="noConversion"/>
  </si>
  <si>
    <t>Audio PID</t>
    <phoneticPr fontId="2" type="noConversion"/>
  </si>
  <si>
    <t>Value</t>
    <phoneticPr fontId="2" type="noConversion"/>
  </si>
  <si>
    <t>Track</t>
    <phoneticPr fontId="2" type="noConversion"/>
  </si>
  <si>
    <t>Lang0</t>
    <phoneticPr fontId="2" type="noConversion"/>
  </si>
  <si>
    <t>Lang1</t>
    <phoneticPr fontId="2" type="noConversion"/>
  </si>
  <si>
    <t>Multi</t>
    <phoneticPr fontId="2" type="noConversion"/>
  </si>
  <si>
    <t>Audio Description</t>
    <phoneticPr fontId="2" type="noConversion"/>
  </si>
  <si>
    <t>eng</t>
  </si>
  <si>
    <t>ger</t>
  </si>
  <si>
    <t>nor</t>
  </si>
  <si>
    <t>dan</t>
  </si>
  <si>
    <t>fin</t>
  </si>
  <si>
    <t>""</t>
    <phoneticPr fontId="2" type="noConversion"/>
  </si>
  <si>
    <t>rus</t>
  </si>
  <si>
    <t>""</t>
    <phoneticPr fontId="2" type="noConversion"/>
  </si>
  <si>
    <t>""</t>
    <phoneticPr fontId="2" type="noConversion"/>
  </si>
  <si>
    <t>""</t>
    <phoneticPr fontId="2" type="noConversion"/>
  </si>
  <si>
    <t>""</t>
    <phoneticPr fontId="2" type="noConversion"/>
  </si>
  <si>
    <t>yes</t>
  </si>
  <si>
    <t>no</t>
  </si>
  <si>
    <t>yes</t>
    <phoneticPr fontId="2" type="noConversion"/>
  </si>
  <si>
    <t>Es Var Name</t>
    <phoneticPr fontId="2" type="noConversion"/>
  </si>
  <si>
    <t>Es Struct Name</t>
    <phoneticPr fontId="2" type="noConversion"/>
  </si>
  <si>
    <t>svcSi_AudioEs_t</t>
    <phoneticPr fontId="2" type="noConversion"/>
  </si>
  <si>
    <t>astAudioEsList</t>
    <phoneticPr fontId="2" type="noConversion"/>
  </si>
  <si>
    <t>Aud Pid Field</t>
    <phoneticPr fontId="2" type="noConversion"/>
  </si>
  <si>
    <t>Aud CompTag Field</t>
    <phoneticPr fontId="2" type="noConversion"/>
  </si>
  <si>
    <t>Aud CaDesFound Field</t>
    <phoneticPr fontId="2" type="noConversion"/>
  </si>
  <si>
    <t>Aud ChannelNum Field</t>
    <phoneticPr fontId="2" type="noConversion"/>
  </si>
  <si>
    <t>Aud SuppAE Field</t>
    <phoneticPr fontId="2" type="noConversion"/>
  </si>
  <si>
    <t>LangInfo Type Field</t>
    <phoneticPr fontId="2" type="noConversion"/>
  </si>
  <si>
    <t>.ucComponentTag</t>
    <phoneticPr fontId="2" type="noConversion"/>
  </si>
  <si>
    <t>.eAudCodec</t>
    <phoneticPr fontId="2" type="noConversion"/>
  </si>
  <si>
    <t>Aud Codec</t>
    <phoneticPr fontId="2" type="noConversion"/>
  </si>
  <si>
    <t>.astIsoLangInfo</t>
    <phoneticPr fontId="2" type="noConversion"/>
  </si>
  <si>
    <t>.ucChannelNum</t>
    <phoneticPr fontId="2" type="noConversion"/>
  </si>
  <si>
    <t>.eAudType</t>
    <phoneticPr fontId="2" type="noConversion"/>
  </si>
  <si>
    <t>.szIso639LangCode</t>
    <phoneticPr fontId="2" type="noConversion"/>
  </si>
  <si>
    <t>Aud LangInfo Field</t>
    <phoneticPr fontId="2" type="noConversion"/>
  </si>
  <si>
    <t>LangInfo Iso639 Field</t>
    <phoneticPr fontId="2" type="noConversion"/>
  </si>
  <si>
    <t>Aud Codec Dolby Value</t>
    <phoneticPr fontId="2" type="noConversion"/>
  </si>
  <si>
    <t>eDxAUDIO_CODEC_DOLBY_AC3</t>
    <phoneticPr fontId="2" type="noConversion"/>
  </si>
  <si>
    <t>eDxAUDIO_CODEC_MPEG</t>
  </si>
  <si>
    <t>Aud Codec MPEG Value</t>
    <phoneticPr fontId="2" type="noConversion"/>
  </si>
  <si>
    <t>eAUDIO_TYPE_VISUAL_IMPAIRED</t>
    <phoneticPr fontId="2" type="noConversion"/>
  </si>
  <si>
    <t>eAUDIO_TYPE_UNDEFINED</t>
    <phoneticPr fontId="2" type="noConversion"/>
  </si>
  <si>
    <t>Aud Type AD Value</t>
    <phoneticPr fontId="2" type="noConversion"/>
  </si>
  <si>
    <t>Aud Type Undef Value</t>
    <phoneticPr fontId="2" type="noConversion"/>
  </si>
  <si>
    <t>eAUDIO_TYPE_SUPP_MAIN</t>
    <phoneticPr fontId="2" type="noConversion"/>
  </si>
  <si>
    <t>Aud Supp AE Main Value</t>
    <phoneticPr fontId="2" type="noConversion"/>
  </si>
  <si>
    <t>""</t>
    <phoneticPr fontId="2" type="noConversion"/>
  </si>
  <si>
    <t>Item_On</t>
    <phoneticPr fontId="2" type="noConversion"/>
  </si>
  <si>
    <t>Item_Off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</si>
  <si>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</si>
  <si>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</si>
  <si>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</si>
  <si>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</si>
  <si>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nor</t>
    <phoneticPr fontId="2" type="noConversion"/>
  </si>
  <si>
    <t>fin</t>
    <phoneticPr fontId="2" type="noConversion"/>
  </si>
  <si>
    <t>rus</t>
    <phoneticPr fontId="2" type="noConversion"/>
  </si>
  <si>
    <t>fra</t>
  </si>
  <si>
    <t>fra</t>
    <phoneticPr fontId="2" type="noConversion"/>
  </si>
  <si>
    <t>no</t>
    <phoneticPr fontId="2" type="noConversion"/>
  </si>
  <si>
    <t>""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</si>
  <si>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</si>
  <si>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</si>
  <si>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</si>
  <si>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fin</t>
    <phoneticPr fontId="2" type="noConversion"/>
  </si>
  <si>
    <t>fin</t>
    <phoneticPr fontId="2" type="noConversion"/>
  </si>
  <si>
    <t>fin</t>
    <phoneticPr fontId="2" type="noConversion"/>
  </si>
  <si>
    <t>no</t>
    <phoneticPr fontId="2" type="noConversion"/>
  </si>
  <si>
    <t>yes</t>
    <phoneticPr fontId="2" type="noConversion"/>
  </si>
  <si>
    <t>Item1</t>
    <phoneticPr fontId="2" type="noConversion"/>
  </si>
  <si>
    <t>Value1</t>
    <phoneticPr fontId="2" type="noConversion"/>
  </si>
  <si>
    <t>Item2</t>
    <phoneticPr fontId="2" type="noConversion"/>
  </si>
  <si>
    <t>Multi User</t>
    <phoneticPr fontId="2" type="noConversion"/>
  </si>
  <si>
    <t>Lang User</t>
    <phoneticPr fontId="2" type="noConversion"/>
  </si>
  <si>
    <t>Lang Aud0</t>
    <phoneticPr fontId="2" type="noConversion"/>
  </si>
  <si>
    <t>Lang Aud1</t>
    <phoneticPr fontId="2" type="noConversion"/>
  </si>
  <si>
    <t>Lang Menu</t>
    <phoneticPr fontId="2" type="noConversion"/>
  </si>
  <si>
    <t>AD User</t>
    <phoneticPr fontId="2" type="noConversion"/>
  </si>
  <si>
    <t>dan</t>
    <phoneticPr fontId="2" type="noConversion"/>
  </si>
  <si>
    <t>Multi Menu</t>
    <phoneticPr fontId="2" type="noConversion"/>
  </si>
  <si>
    <t>no</t>
    <phoneticPr fontId="2" type="noConversion"/>
  </si>
  <si>
    <t>AD Menu</t>
    <phoneticPr fontId="2" type="noConversion"/>
  </si>
  <si>
    <t>no</t>
    <phoneticPr fontId="2" type="noConversion"/>
  </si>
  <si>
    <t>swe</t>
    <phoneticPr fontId="2" type="noConversion"/>
  </si>
  <si>
    <t>humax@!</t>
    <phoneticPr fontId="2" type="noConversion"/>
  </si>
  <si>
    <t>보호해제암호</t>
    <phoneticPr fontId="2" type="noConversion"/>
  </si>
  <si>
    <t>Aud Mix Type Field</t>
  </si>
  <si>
    <t>.ucMixType</t>
  </si>
  <si>
    <t>AD Sub Type</t>
    <phoneticPr fontId="2" type="noConversion"/>
  </si>
  <si>
    <t>ad_broadcast_mix</t>
    <phoneticPr fontId="2" type="noConversion"/>
  </si>
  <si>
    <t>ad_receiver_mix</t>
    <phoneticPr fontId="2" type="noConversion"/>
  </si>
  <si>
    <t>ad_na</t>
    <phoneticPr fontId="2" type="noConversion"/>
  </si>
  <si>
    <t>BM</t>
  </si>
  <si>
    <t>BM</t>
    <phoneticPr fontId="2" type="noConversion"/>
  </si>
  <si>
    <t>RM</t>
    <phoneticPr fontId="2" type="noConversion"/>
  </si>
  <si>
    <t>n/a</t>
  </si>
  <si>
    <t>n/a</t>
    <phoneticPr fontId="2" type="noConversion"/>
  </si>
  <si>
    <t>n/a</t>
    <phoneticPr fontId="2" type="noConversion"/>
  </si>
  <si>
    <t>BM</t>
    <phoneticPr fontId="2" type="noConversion"/>
  </si>
  <si>
    <t>BM</t>
    <phoneticPr fontId="2" type="noConversion"/>
  </si>
  <si>
    <t>BM</t>
    <phoneticPr fontId="2" type="noConversion"/>
  </si>
  <si>
    <t>BM</t>
    <phoneticPr fontId="2" type="noConversion"/>
  </si>
  <si>
    <t>AD Sub Type</t>
    <phoneticPr fontId="2" type="noConversion"/>
  </si>
  <si>
    <t>eAUDIO_TYPE_SUPP_AD_VISUAL_IMPARED</t>
    <phoneticPr fontId="2" type="noConversion"/>
  </si>
  <si>
    <t>Aud Supp AE AD VI 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</si>
</sst>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;[Red]\-#,##0\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41" fontId="3" fillId="0" borderId="0" xfId="1" applyFont="1">
      <alignment vertical="center"/>
    </xf>
    <xf numFmtId="0" fontId="5" fillId="0" borderId="0" xfId="0" applyFont="1">
      <alignment vertical="center"/>
    </xf>
    <xf numFmtId="176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NumberFormat="1" applyFont="1">
      <alignment vertical="center"/>
    </xf>
    <xf numFmtId="0" fontId="6" fillId="0" borderId="0" xfId="0" quotePrefix="1" applyFont="1">
      <alignment vertical="center"/>
    </xf>
    <xf numFmtId="176" fontId="4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41" fontId="4" fillId="0" borderId="0" xfId="1" applyNumberFormat="1" applyFont="1">
      <alignment vertical="center"/>
    </xf>
    <xf numFmtId="0" fontId="7" fillId="0" borderId="0" xfId="0" quotePrefix="1" applyFont="1">
      <alignment vertical="center"/>
    </xf>
    <xf numFmtId="0" fontId="5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86">
    <dxf>
      <fill>
        <patternFill>
          <bgColor theme="7" tint="0.39994506668294322"/>
        </patternFill>
      </fill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/>
        <color rgb="FFFF0000"/>
      </font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i val="0"/>
        <u/>
      </font>
      <fill>
        <patternFill patternType="solid"/>
      </fill>
      <border>
        <left style="dashed">
          <color theme="8" tint="-0.24994659260841701"/>
        </left>
        <right style="dashed">
          <color theme="8" tint="-0.24994659260841701"/>
        </right>
        <top style="dashed">
          <color theme="8" tint="-0.24994659260841701"/>
        </top>
        <bottom style="dashed">
          <color theme="8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8" name="BaseTable" displayName="BaseTable" ref="B4:C9" totalsRowShown="0" headerRowDxfId="85" dataDxfId="84">
  <autoFilter ref="B4:C9"/>
  <tableColumns count="2">
    <tableColumn id="1" name="Item" dataDxfId="83"/>
    <tableColumn id="2" name="Value" dataDxfId="8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AudioPriorityTable" displayName="AudioPriorityTable" ref="I2:L15" totalsRowShown="0" headerRowDxfId="81" dataDxfId="80">
  <autoFilter ref="I2:L15"/>
  <tableColumns count="4">
    <tableColumn id="1" name="Item" dataDxfId="79"/>
    <tableColumn id="2" name="Value" dataDxfId="78"/>
    <tableColumn id="3" name="Reference" dataDxfId="77">
      <calculatedColumnFormula>VLOOKUP("Lang_Base", AudioPriorityTable[], 2, FALSE) + AudioPriorityTable[Value]</calculatedColumnFormula>
    </tableColumn>
    <tableColumn id="4" name="Score" dataDxfId="76">
      <calculatedColumnFormula>IFERROR(VLOOKUP(AudioPriorityTable[Reference], AudioPriorityTable[], 2, FALSE), 0) + AudioPriorityTable[Value]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AudioConfiguration" displayName="AudioConfiguration" ref="I17:K26" totalsRowShown="0" headerRowDxfId="75" dataDxfId="74">
  <autoFilter ref="I17:K26"/>
  <tableColumns count="3">
    <tableColumn id="1" name="item" dataDxfId="73"/>
    <tableColumn id="2" name="value" dataDxfId="72"/>
    <tableColumn id="3" name="Priority" dataDxfId="71">
      <calculatedColumnFormula>VLOOKUP(AudioConfiguration[item], AudioPriorityTable[], 4, FALSE)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7" name="AudioTrackDb" displayName="AudioTrackDb" ref="B2:G37" totalsRowShown="0" headerRowDxfId="70" dataDxfId="69">
  <autoFilter ref="B2:G37"/>
  <tableColumns count="6">
    <tableColumn id="1" name="Track" dataDxfId="68"/>
    <tableColumn id="2" name="Lang0" dataDxfId="67"/>
    <tableColumn id="3" name="Lang1" dataDxfId="66"/>
    <tableColumn id="4" name="Multi" dataDxfId="65"/>
    <tableColumn id="5" name="Audio Description" dataDxfId="64"/>
    <tableColumn id="7" name="AD Sub Type" dataDxfId="7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1" name="AudioTrackTable" displayName="AudioTrackTable" ref="B7:AG23" totalsRowShown="0" headerRowDxfId="63" dataDxfId="62">
  <autoFilter ref="B7:AG23"/>
  <sortState ref="B24:O47">
    <sortCondition ref="B23:B47"/>
  </sortState>
  <tableColumns count="32">
    <tableColumn id="1" name="Track" dataDxfId="61"/>
    <tableColumn id="2" name="Lang0" dataDxfId="60">
      <calculatedColumnFormula>IF(ISBLANK(AudioTrackTable[Track]), "", IFERROR(VLOOKUP(AudioTrackTable[Track], AudioTrackDb[], 2, FALSE), ""))</calculatedColumnFormula>
    </tableColumn>
    <tableColumn id="3" name="Lang1" dataDxfId="59">
      <calculatedColumnFormula>IF(ISBLANK(AudioTrackTable[Track]), "", IFERROR(VLOOKUP(AudioTrackTable[Track], AudioTrackDb[], 3, FALSE), ""))</calculatedColumnFormula>
    </tableColumn>
    <tableColumn id="4" name="Multi" dataDxfId="58">
      <calculatedColumnFormula>IF(ISBLANK(AudioTrackTable[Track]), "no", IFERROR(VLOOKUP(AudioTrackTable[Track], AudioTrackDb[], 4, FALSE), "no"))</calculatedColumnFormula>
    </tableColumn>
    <tableColumn id="5" name="Audio Description" dataDxfId="57">
      <calculatedColumnFormula>IF(ISBLANK(AudioTrackTable[Track]), "no", IFERROR(VLOOKUP(AudioTrackTable[Track], AudioTrackDb[], 5, FALSE), "no"))</calculatedColumnFormula>
    </tableColumn>
    <tableColumn id="8" name="IsLangMatchedUser" dataDxfId="56">
      <calculatedColumnFormula>OR(EXACT(VLOOKUP("Lang_User", AudioConfiguration[], 2, FALSE), IF(LEN(AudioTrackTable[Lang0])=3, AudioTrackTable[Lang0], "error")), EXACT(VLOOKUP("Lang_User", AudioConfiguration[], 2, FALSE), IF(LEN(AudioTrackTable[Lang1])=3, AudioTrackTable[Lang1], "error")))</calculatedColumnFormula>
    </tableColumn>
    <tableColumn id="28" name="LangUser Score" dataDxfId="55">
      <calculatedColumnFormula>AudioTrackTable[IsLangMatchedUser]*VLOOKUP("Lang_User", AudioConfiguration[], 3, FALSE)</calculatedColumnFormula>
    </tableColumn>
    <tableColumn id="12" name="IsLangMatchedAud0" dataDxfId="54">
      <calculatedColumnFormula>OR(EXACT(VLOOKUP("Lang_Aud0", AudioConfiguration[], 2, FALSE), AudioTrackTable[Lang0]), EXACT(VLOOKUP("Lang_Aud0", AudioConfiguration[], 2, FALSE), AudioTrackTable[Lang1]))</calculatedColumnFormula>
    </tableColumn>
    <tableColumn id="29" name="LangAud0 Score" dataDxfId="53">
      <calculatedColumnFormula>AudioTrackTable[IsLangMatchedAud0]*VLOOKUP("Lang_Aud0", AudioConfiguration[], 3, FALSE)</calculatedColumnFormula>
    </tableColumn>
    <tableColumn id="9" name="IsLangMatchedAud1" dataDxfId="52">
      <calculatedColumnFormula>OR(EXACT(VLOOKUP("Lang_Aud1", AudioConfiguration[], 2, FALSE), AudioTrackTable[Lang0]), EXACT(VLOOKUP("Lang_Aud1", AudioConfiguration[], 2, FALSE), AudioTrackTable[Lang1]))</calculatedColumnFormula>
    </tableColumn>
    <tableColumn id="30" name="LangAud1 Score" dataDxfId="51">
      <calculatedColumnFormula>AudioTrackTable[IsLangMatchedAud1]*VLOOKUP("Lang_Aud1", AudioConfiguration[], 3, FALSE)</calculatedColumnFormula>
    </tableColumn>
    <tableColumn id="13" name="IsLangMatchedMenu" dataDxfId="50">
      <calculatedColumnFormula>OR(EXACT(VLOOKUP("Lang_Menu", AudioConfiguration[], 2, FALSE), AudioTrackTable[Lang0]), EXACT(VLOOKUP("Lang_Menu", AudioConfiguration[], 2, FALSE), AudioTrackTable[Lang1]))</calculatedColumnFormula>
    </tableColumn>
    <tableColumn id="31" name="LangMenu Score" dataDxfId="49">
      <calculatedColumnFormula>AudioTrackTable[IsLangMatchedMenu]*VLOOKUP("Lang_Menu", AudioConfiguration[], 3, FALSE)</calculatedColumnFormula>
    </tableColumn>
    <tableColumn id="26" name="IsDualMono" dataDxfId="48">
      <calculatedColumnFormula>AND(LEN(AudioTrackTable[[#This Row],[Lang0]])=3, LEN(AudioTrackTable[[#This Row],[Lang1]])=3)</calculatedColumnFormula>
    </tableColumn>
    <tableColumn id="22" name="Matched Language" dataDxfId="47">
      <calculatedColumnFormula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calculatedColumnFormula>
    </tableColumn>
    <tableColumn id="32" name="Selected Language" dataDxfId="46">
      <calculatedColumnFormula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calculatedColumnFormula>
    </tableColumn>
    <tableColumn id="17" name="Language Score" dataDxfId="45" dataCellStyle="쉼표 [0]">
      <calculatedColumnFormula>MAX(AudioTrackTable[[#This Row],[LangUser Score]], AudioTrackTable[[#This Row],[LangAud0 Score]], AudioTrackTable[[#This Row],[LangAud1 Score]], AudioTrackTable[[#This Row],[LangMenu Score]], VLOOKUP("Lang_Base", AudioPriorityTable[], 4, FALSE))</calculatedColumnFormula>
    </tableColumn>
    <tableColumn id="15" name="IsMultiSelectedByUser" dataDxfId="44">
      <calculatedColumnFormula>IF(EXACT(TRIM(LOWER(AudioTrackTable[Multi])), "yes"), EXACT(TRIM(LOWER(VLOOKUP("Multichannel_User", AudioConfiguration[], 2, FALSE))), "yes"), FALSE())</calculatedColumnFormula>
    </tableColumn>
    <tableColumn id="10" name="IsMultiSelectedByMenu" dataDxfId="43">
      <calculatedColumnFormula>IF(EXACT(TRIM(LOWER(AudioTrackTable[Multi])), "yes"), EXACT(TRIM(LOWER(VLOOKUP("Multichannel_Menu", AudioConfiguration[], 2, FALSE))), "yes"), FALSE())</calculatedColumnFormula>
    </tableColumn>
    <tableColumn id="23" name="IsMultichannelSelected" dataDxfId="42">
      <calculatedColumnFormula>OR(AudioTrackTable[[#This Row],[IsMultiSelectedByUser]:[IsMultiSelectedByMenu]])</calculatedColumnFormula>
    </tableColumn>
    <tableColumn id="18" name="Multichannel Score" dataDxfId="41" dataCellStyle="쉼표 [0]">
      <calculatedColumnFormula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calculatedColumnFormula>
    </tableColumn>
    <tableColumn id="14" name="IsFirstTrack" dataDxfId="40"/>
    <tableColumn id="20" name="Track Score" dataDxfId="39" dataCellStyle="쉼표 [0]">
      <calculatedColumnFormula>AudioTrackTable[IsFirstTrack]*VLOOKUP("First_Track", AudioConfiguration[], 3, FALSE)</calculatedColumnFormula>
    </tableColumn>
    <tableColumn id="16" name="AudioDescriptionSelUser" dataDxfId="38">
      <calculatedColumnFormula>IF(EXACT(TRIM(LOWER(VLOOKUP("Audio_Description_User", AudioConfiguration[], 2, FALSE))), TRIM(LOWER(AudioTrackTable[Audio Description]))), EXACT(TRIM(LOWER(AudioTrackTable[Audio Description])), "yes"), FALSE())</calculatedColumnFormula>
    </tableColumn>
    <tableColumn id="11" name="AudioDescriptionSelMenu" dataDxfId="37">
      <calculatedColumnFormula>IF(EXACT(TRIM(LOWER(VLOOKUP("Audio_Description_Menu", AudioConfiguration[], 2, FALSE))), TRIM(LOWER(AudioTrackTable[Audio Description]))), EXACT(TRIM(LOWER(AudioTrackTable[Audio Description])), "yes"), FALSE())</calculatedColumnFormula>
    </tableColumn>
    <tableColumn id="24" name="AudioDescription Selected" dataDxfId="36">
      <calculatedColumnFormula>OR(AudioTrackTable[[#This Row],[AudioDescriptionSelUser]:[AudioDescriptionSelMenu]])</calculatedColumnFormula>
    </tableColumn>
    <tableColumn id="19" name="AudioDescription Score" dataDxfId="35" dataCellStyle="쉼표 [0]">
      <calculatedColumnFormula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calculatedColumnFormula>
    </tableColumn>
    <tableColumn id="34" name="DualMono Score" dataDxfId="34" dataCellStyle="쉼표 [0]">
      <calculatedColumnFormula>AudioTrackTable[IsDualMono]*VLOOKUP("Dual_Mono_Base", AudioPriorityTable[], 4, FALSE)</calculatedColumnFormula>
    </tableColumn>
    <tableColumn id="6" name="Score" dataDxfId="33" dataCellStyle="쉼표 [0]">
      <calculatedColumnFormula>AudioTrackTable[Language Score]+AudioTrackTable[Multichannel Score]+AudioTrackTable[AudioDescription Score]+AudioTrackTable[Track Score]+AudioTrackTable[DualMono Score]</calculatedColumnFormula>
    </tableColumn>
    <tableColumn id="33" name="Order" dataDxfId="32" dataCellStyle="쉼표 [0]">
      <calculatedColumnFormula>_xlfn.RANK.EQ(AudioTrackTable[[#This Row],[Score]],AudioTrackTable[Score], 0)</calculatedColumnFormula>
    </tableColumn>
    <tableColumn id="21" name="Selection Summary" dataDxfId="31" dataCellStyle="쉼표 [0]">
      <calculatedColumnFormula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calculatedColumnFormula>
    </tableColumn>
    <tableColumn id="27" name="Description" dataDxfId="30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9" name="Configuration" displayName="Configuration" ref="B1:E5" totalsRowShown="0" headerRowDxfId="29" dataDxfId="28">
  <autoFilter ref="B1:E5"/>
  <tableColumns count="4">
    <tableColumn id="1" name="Item1" dataDxfId="27"/>
    <tableColumn id="2" name="Value1" dataDxfId="26"/>
    <tableColumn id="3" name="Item2" dataDxfId="25"/>
    <tableColumn id="4" name="Value2" dataDxfId="24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E2:N21" totalsRowShown="0" headerRowDxfId="23" dataDxfId="22">
  <autoFilter ref="E2:N21"/>
  <tableColumns count="10">
    <tableColumn id="1" name="Item" dataDxfId="21"/>
    <tableColumn id="8" name="item1" dataDxfId="20"/>
    <tableColumn id="9" name="item2" dataDxfId="19"/>
    <tableColumn id="11" name="item3" dataDxfId="18"/>
    <tableColumn id="2" name="Value0" dataDxfId="17"/>
    <tableColumn id="12" name="Value02" dataDxfId="16"/>
    <tableColumn id="3" name="Value1" dataDxfId="15">
      <calculatedColumnFormula>IF(LEN(표4[Value Org]) = 3, "{ '" &amp; MID(표4[Value Org], 1, 1) &amp; "', '" &amp; MID(표4[Value Org], 2, 1) &amp; "', '" &amp; MID(표4[Value Org], 3, 1) &amp; "' }", "")</calculatedColumnFormula>
    </tableColumn>
    <tableColumn id="4" name="Value2" dataDxfId="14"/>
    <tableColumn id="5" name="Value Org" dataDxfId="13"/>
    <tableColumn id="6" name="AD Value" dataDxfId="12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id="6" name="AudRef" displayName="AudRef" ref="B2:C27" totalsRowShown="0" headerRowDxfId="11" dataDxfId="10">
  <autoFilter ref="B2:C27"/>
  <tableColumns count="2">
    <tableColumn id="1" name="Item" dataDxfId="9"/>
    <tableColumn id="2" name="Value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8" sqref="C8"/>
    </sheetView>
  </sheetViews>
  <sheetFormatPr defaultRowHeight="12" x14ac:dyDescent="0.3"/>
  <cols>
    <col min="1" max="1" width="9" style="8"/>
    <col min="2" max="2" width="13.75" style="8" bestFit="1" customWidth="1"/>
    <col min="3" max="16384" width="9" style="8"/>
  </cols>
  <sheetData>
    <row r="2" spans="2:3" x14ac:dyDescent="0.3">
      <c r="B2" s="8" t="s">
        <v>185</v>
      </c>
      <c r="C2" s="11" t="s">
        <v>184</v>
      </c>
    </row>
    <row r="4" spans="2:3" x14ac:dyDescent="0.3">
      <c r="B4" s="8" t="s">
        <v>11</v>
      </c>
      <c r="C4" s="8" t="s">
        <v>98</v>
      </c>
    </row>
    <row r="5" spans="2:3" x14ac:dyDescent="0.3">
      <c r="B5" s="8" t="s">
        <v>148</v>
      </c>
      <c r="C5" s="8" t="s">
        <v>5</v>
      </c>
    </row>
    <row r="6" spans="2:3" x14ac:dyDescent="0.3">
      <c r="B6" s="8" t="s">
        <v>149</v>
      </c>
      <c r="C6" s="8" t="s">
        <v>150</v>
      </c>
    </row>
    <row r="7" spans="2:3" x14ac:dyDescent="0.3">
      <c r="B7" s="9" t="s">
        <v>189</v>
      </c>
      <c r="C7" s="9" t="s">
        <v>193</v>
      </c>
    </row>
    <row r="8" spans="2:3" x14ac:dyDescent="0.3">
      <c r="B8" s="9" t="s">
        <v>190</v>
      </c>
      <c r="C8" s="15" t="s">
        <v>194</v>
      </c>
    </row>
    <row r="9" spans="2:3" x14ac:dyDescent="0.3">
      <c r="B9" s="9" t="s">
        <v>191</v>
      </c>
      <c r="C9" s="9" t="s">
        <v>196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workbookViewId="0">
      <selection activeCell="F12" sqref="F12"/>
    </sheetView>
  </sheetViews>
  <sheetFormatPr defaultRowHeight="12" x14ac:dyDescent="0.3"/>
  <cols>
    <col min="1" max="1" width="9" style="9"/>
    <col min="2" max="2" width="7.5" style="9" bestFit="1" customWidth="1"/>
    <col min="3" max="4" width="7.875" style="9" bestFit="1" customWidth="1"/>
    <col min="5" max="5" width="7.25" style="9" bestFit="1" customWidth="1"/>
    <col min="6" max="6" width="16.875" style="9" bestFit="1" customWidth="1"/>
    <col min="7" max="7" width="16.875" style="9" customWidth="1"/>
    <col min="8" max="8" width="9" style="9"/>
    <col min="9" max="9" width="19.125" style="9" bestFit="1" customWidth="1"/>
    <col min="10" max="10" width="7.5" style="9" bestFit="1" customWidth="1"/>
    <col min="11" max="11" width="18.125" style="9" bestFit="1" customWidth="1"/>
    <col min="12" max="12" width="7.5" style="9" bestFit="1" customWidth="1"/>
    <col min="13" max="16384" width="9" style="9"/>
  </cols>
  <sheetData>
    <row r="2" spans="2:12" x14ac:dyDescent="0.3">
      <c r="B2" s="9" t="s">
        <v>99</v>
      </c>
      <c r="C2" s="9" t="s">
        <v>100</v>
      </c>
      <c r="D2" s="9" t="s">
        <v>101</v>
      </c>
      <c r="E2" s="9" t="s">
        <v>102</v>
      </c>
      <c r="F2" s="9" t="s">
        <v>103</v>
      </c>
      <c r="G2" s="9" t="s">
        <v>188</v>
      </c>
      <c r="I2" s="9" t="s">
        <v>11</v>
      </c>
      <c r="J2" s="9" t="s">
        <v>37</v>
      </c>
      <c r="K2" s="9" t="s">
        <v>38</v>
      </c>
      <c r="L2" s="9" t="s">
        <v>45</v>
      </c>
    </row>
    <row r="3" spans="2:12" x14ac:dyDescent="0.3">
      <c r="B3" s="9">
        <v>0</v>
      </c>
      <c r="C3" s="9" t="s">
        <v>104</v>
      </c>
      <c r="D3" s="9" t="s">
        <v>111</v>
      </c>
      <c r="E3" s="9" t="s">
        <v>115</v>
      </c>
      <c r="F3" s="9" t="s">
        <v>117</v>
      </c>
      <c r="G3" s="9" t="s">
        <v>192</v>
      </c>
      <c r="I3" s="9" t="s">
        <v>34</v>
      </c>
      <c r="J3" s="9">
        <v>1000</v>
      </c>
      <c r="L3" s="9">
        <f>IFERROR(VLOOKUP(AudioPriorityTable[Reference], AudioPriorityTable[], 2, FALSE), 0) + AudioPriorityTable[Value]</f>
        <v>1000</v>
      </c>
    </row>
    <row r="4" spans="2:12" x14ac:dyDescent="0.3">
      <c r="B4" s="9">
        <v>1</v>
      </c>
      <c r="C4" s="9" t="s">
        <v>104</v>
      </c>
      <c r="D4" s="9" t="s">
        <v>109</v>
      </c>
      <c r="E4" s="9" t="s">
        <v>115</v>
      </c>
      <c r="F4" s="9" t="s">
        <v>116</v>
      </c>
      <c r="G4" s="9" t="s">
        <v>197</v>
      </c>
      <c r="I4" s="9" t="s">
        <v>24</v>
      </c>
      <c r="J4" s="9">
        <v>4000</v>
      </c>
      <c r="K4" s="9" t="s">
        <v>40</v>
      </c>
      <c r="L4" s="9">
        <f>IFERROR(VLOOKUP(AudioPriorityTable[Reference], AudioPriorityTable[], 2, FALSE), 0) + AudioPriorityTable[Value]</f>
        <v>5000</v>
      </c>
    </row>
    <row r="5" spans="2:12" x14ac:dyDescent="0.3">
      <c r="B5" s="9">
        <v>2</v>
      </c>
      <c r="C5" s="9" t="s">
        <v>104</v>
      </c>
      <c r="D5" s="9" t="s">
        <v>109</v>
      </c>
      <c r="E5" s="9" t="s">
        <v>116</v>
      </c>
      <c r="F5" s="9" t="s">
        <v>115</v>
      </c>
      <c r="G5" s="9" t="s">
        <v>198</v>
      </c>
      <c r="I5" s="9" t="s">
        <v>15</v>
      </c>
      <c r="J5" s="9">
        <v>3000</v>
      </c>
      <c r="K5" s="9" t="s">
        <v>39</v>
      </c>
      <c r="L5" s="9">
        <f>IFERROR(VLOOKUP(AudioPriorityTable[Reference], AudioPriorityTable[], 2, FALSE), 0) + AudioPriorityTable[Value]</f>
        <v>4000</v>
      </c>
    </row>
    <row r="6" spans="2:12" x14ac:dyDescent="0.3">
      <c r="B6" s="9">
        <v>3</v>
      </c>
      <c r="C6" s="9" t="s">
        <v>104</v>
      </c>
      <c r="D6" s="9" t="s">
        <v>112</v>
      </c>
      <c r="E6" s="9" t="s">
        <v>116</v>
      </c>
      <c r="F6" s="9" t="s">
        <v>116</v>
      </c>
      <c r="G6" s="9" t="s">
        <v>195</v>
      </c>
      <c r="I6" s="9" t="s">
        <v>16</v>
      </c>
      <c r="J6" s="9">
        <v>2000</v>
      </c>
      <c r="K6" s="9" t="s">
        <v>39</v>
      </c>
      <c r="L6" s="9">
        <f>IFERROR(VLOOKUP(AudioPriorityTable[Reference], AudioPriorityTable[], 2, FALSE), 0) + AudioPriorityTable[Value]</f>
        <v>3000</v>
      </c>
    </row>
    <row r="7" spans="2:12" x14ac:dyDescent="0.3">
      <c r="B7" s="9">
        <v>4</v>
      </c>
      <c r="C7" s="9" t="s">
        <v>105</v>
      </c>
      <c r="D7" s="9" t="s">
        <v>113</v>
      </c>
      <c r="E7" s="9" t="s">
        <v>115</v>
      </c>
      <c r="F7" s="9" t="s">
        <v>115</v>
      </c>
      <c r="G7" s="9" t="s">
        <v>198</v>
      </c>
      <c r="I7" s="9" t="s">
        <v>17</v>
      </c>
      <c r="J7" s="9">
        <v>1000</v>
      </c>
      <c r="K7" s="9" t="s">
        <v>39</v>
      </c>
      <c r="L7" s="9">
        <f>IFERROR(VLOOKUP(AudioPriorityTable[Reference], AudioPriorityTable[], 2, FALSE), 0) + AudioPriorityTable[Value]</f>
        <v>2000</v>
      </c>
    </row>
    <row r="8" spans="2:12" x14ac:dyDescent="0.3">
      <c r="B8" s="9">
        <v>5</v>
      </c>
      <c r="C8" s="9" t="s">
        <v>105</v>
      </c>
      <c r="D8" s="9" t="s">
        <v>113</v>
      </c>
      <c r="E8" s="9" t="s">
        <v>115</v>
      </c>
      <c r="F8" s="9" t="s">
        <v>116</v>
      </c>
      <c r="G8" s="9" t="s">
        <v>195</v>
      </c>
      <c r="I8" s="9" t="s">
        <v>50</v>
      </c>
      <c r="J8" s="9">
        <v>-10</v>
      </c>
      <c r="K8" s="10"/>
      <c r="L8" s="10">
        <f>IFERROR(VLOOKUP(AudioPriorityTable[Reference], AudioPriorityTable[], 2, FALSE), 0) + AudioPriorityTable[Value]</f>
        <v>-10</v>
      </c>
    </row>
    <row r="9" spans="2:12" x14ac:dyDescent="0.3">
      <c r="B9" s="9">
        <v>6</v>
      </c>
      <c r="C9" s="9" t="s">
        <v>105</v>
      </c>
      <c r="D9" s="9" t="s">
        <v>113</v>
      </c>
      <c r="E9" s="9" t="s">
        <v>116</v>
      </c>
      <c r="F9" s="9" t="s">
        <v>115</v>
      </c>
      <c r="G9" s="9" t="s">
        <v>199</v>
      </c>
      <c r="I9" s="9" t="s">
        <v>35</v>
      </c>
      <c r="J9" s="9">
        <v>-10</v>
      </c>
      <c r="L9" s="9">
        <f>IFERROR(VLOOKUP(AudioPriorityTable[Reference], AudioPriorityTable[], 2, FALSE), 0) + AudioPriorityTable[Value]</f>
        <v>-10</v>
      </c>
    </row>
    <row r="10" spans="2:12" x14ac:dyDescent="0.3">
      <c r="B10" s="9">
        <v>7</v>
      </c>
      <c r="C10" s="9" t="s">
        <v>105</v>
      </c>
      <c r="D10" s="9" t="s">
        <v>113</v>
      </c>
      <c r="E10" s="9" t="s">
        <v>116</v>
      </c>
      <c r="F10" s="9" t="s">
        <v>116</v>
      </c>
      <c r="G10" s="9" t="s">
        <v>195</v>
      </c>
      <c r="I10" s="9" t="s">
        <v>27</v>
      </c>
      <c r="J10" s="9">
        <v>20010</v>
      </c>
      <c r="K10" s="9" t="s">
        <v>41</v>
      </c>
      <c r="L10" s="9">
        <f>IFERROR(VLOOKUP(AudioPriorityTable[Reference], AudioPriorityTable[], 2, FALSE), 0) + AudioPriorityTable[Value]</f>
        <v>20000</v>
      </c>
    </row>
    <row r="11" spans="2:12" x14ac:dyDescent="0.3">
      <c r="B11" s="9">
        <v>8</v>
      </c>
      <c r="C11" s="9" t="s">
        <v>61</v>
      </c>
      <c r="D11" s="9" t="s">
        <v>113</v>
      </c>
      <c r="E11" s="9" t="s">
        <v>115</v>
      </c>
      <c r="F11" s="9" t="s">
        <v>115</v>
      </c>
      <c r="G11" s="9" t="s">
        <v>198</v>
      </c>
      <c r="I11" s="9" t="s">
        <v>60</v>
      </c>
      <c r="J11" s="9">
        <v>10010</v>
      </c>
      <c r="K11" s="9" t="s">
        <v>42</v>
      </c>
      <c r="L11" s="9">
        <f>IFERROR(VLOOKUP(AudioPriorityTable[Reference], AudioPriorityTable[], 2, FALSE), 0) + AudioPriorityTable[Value]</f>
        <v>10000</v>
      </c>
    </row>
    <row r="12" spans="2:12" x14ac:dyDescent="0.3">
      <c r="B12" s="9">
        <v>9</v>
      </c>
      <c r="C12" s="9" t="s">
        <v>61</v>
      </c>
      <c r="D12" s="9" t="s">
        <v>113</v>
      </c>
      <c r="E12" s="9" t="s">
        <v>115</v>
      </c>
      <c r="F12" s="9" t="s">
        <v>116</v>
      </c>
      <c r="G12" s="9" t="s">
        <v>195</v>
      </c>
      <c r="I12" s="9" t="s">
        <v>36</v>
      </c>
      <c r="J12" s="9">
        <v>0</v>
      </c>
      <c r="L12" s="9">
        <f>IFERROR(VLOOKUP(AudioPriorityTable[Reference], AudioPriorityTable[], 2, FALSE), 0) + AudioPriorityTable[Value]</f>
        <v>0</v>
      </c>
    </row>
    <row r="13" spans="2:12" x14ac:dyDescent="0.3">
      <c r="B13" s="9">
        <v>10</v>
      </c>
      <c r="C13" s="9" t="s">
        <v>61</v>
      </c>
      <c r="D13" s="9" t="s">
        <v>113</v>
      </c>
      <c r="E13" s="9" t="s">
        <v>116</v>
      </c>
      <c r="F13" s="9" t="s">
        <v>115</v>
      </c>
      <c r="G13" s="9" t="s">
        <v>200</v>
      </c>
      <c r="I13" s="9" t="s">
        <v>58</v>
      </c>
      <c r="J13" s="9">
        <v>100</v>
      </c>
      <c r="K13" s="9" t="s">
        <v>43</v>
      </c>
      <c r="L13" s="9">
        <f>IFERROR(VLOOKUP(AudioPriorityTable[Reference], AudioPriorityTable[], 2, FALSE), 0) + AudioPriorityTable[Value]</f>
        <v>100</v>
      </c>
    </row>
    <row r="14" spans="2:12" x14ac:dyDescent="0.3">
      <c r="B14" s="9">
        <v>11</v>
      </c>
      <c r="C14" s="9" t="s">
        <v>61</v>
      </c>
      <c r="D14" s="9" t="s">
        <v>113</v>
      </c>
      <c r="E14" s="9" t="s">
        <v>116</v>
      </c>
      <c r="F14" s="9" t="s">
        <v>116</v>
      </c>
      <c r="G14" s="9" t="s">
        <v>195</v>
      </c>
      <c r="I14" s="9" t="s">
        <v>22</v>
      </c>
      <c r="J14" s="9">
        <v>200</v>
      </c>
      <c r="K14" s="9" t="s">
        <v>44</v>
      </c>
      <c r="L14" s="9">
        <f>IFERROR(VLOOKUP(AudioPriorityTable[Reference], AudioPriorityTable[], 2, FALSE), 0) + AudioPriorityTable[Value]</f>
        <v>200</v>
      </c>
    </row>
    <row r="15" spans="2:12" x14ac:dyDescent="0.3">
      <c r="B15" s="9">
        <v>12</v>
      </c>
      <c r="C15" s="9" t="s">
        <v>106</v>
      </c>
      <c r="D15" s="9" t="s">
        <v>113</v>
      </c>
      <c r="E15" s="9" t="s">
        <v>115</v>
      </c>
      <c r="F15" s="9" t="s">
        <v>115</v>
      </c>
      <c r="G15" s="9" t="s">
        <v>198</v>
      </c>
      <c r="I15" s="9" t="s">
        <v>21</v>
      </c>
      <c r="J15" s="9">
        <v>1</v>
      </c>
      <c r="L15" s="9">
        <f>IFERROR(VLOOKUP(AudioPriorityTable[Reference], AudioPriorityTable[], 2, FALSE), 0) + AudioPriorityTable[Value]</f>
        <v>1</v>
      </c>
    </row>
    <row r="16" spans="2:12" x14ac:dyDescent="0.3">
      <c r="B16" s="9">
        <v>13</v>
      </c>
      <c r="C16" s="9" t="s">
        <v>106</v>
      </c>
      <c r="D16" s="9" t="s">
        <v>113</v>
      </c>
      <c r="E16" s="9" t="s">
        <v>115</v>
      </c>
      <c r="F16" s="9" t="s">
        <v>116</v>
      </c>
      <c r="G16" s="9" t="s">
        <v>195</v>
      </c>
    </row>
    <row r="17" spans="2:17" x14ac:dyDescent="0.3">
      <c r="B17" s="9">
        <v>14</v>
      </c>
      <c r="C17" s="9" t="s">
        <v>106</v>
      </c>
      <c r="D17" s="9" t="s">
        <v>113</v>
      </c>
      <c r="E17" s="9" t="s">
        <v>116</v>
      </c>
      <c r="F17" s="9" t="s">
        <v>115</v>
      </c>
      <c r="G17" s="9" t="s">
        <v>200</v>
      </c>
      <c r="I17" s="9" t="s">
        <v>12</v>
      </c>
      <c r="J17" s="9" t="s">
        <v>13</v>
      </c>
      <c r="K17" s="9" t="s">
        <v>14</v>
      </c>
    </row>
    <row r="18" spans="2:17" x14ac:dyDescent="0.3">
      <c r="B18" s="9">
        <v>15</v>
      </c>
      <c r="C18" s="9" t="s">
        <v>106</v>
      </c>
      <c r="D18" s="9" t="s">
        <v>113</v>
      </c>
      <c r="E18" s="9" t="s">
        <v>151</v>
      </c>
      <c r="F18" s="9" t="s">
        <v>116</v>
      </c>
      <c r="G18" s="9" t="s">
        <v>195</v>
      </c>
      <c r="I18" s="9" t="s">
        <v>23</v>
      </c>
      <c r="J18" s="9" t="str">
        <f>IFERROR(VLOOKUP("Lang User", Configuration[[Item1]:[Value1]], 2, FALSE), "")</f>
        <v>swe</v>
      </c>
      <c r="K18" s="9">
        <f>VLOOKUP(AudioConfiguration[item], AudioPriorityTable[], 4, FALSE)</f>
        <v>5000</v>
      </c>
      <c r="P18" s="15"/>
      <c r="Q18" s="15"/>
    </row>
    <row r="19" spans="2:17" x14ac:dyDescent="0.3">
      <c r="B19" s="9">
        <v>16</v>
      </c>
      <c r="C19" s="9" t="s">
        <v>104</v>
      </c>
      <c r="D19" s="9" t="s">
        <v>61</v>
      </c>
      <c r="E19" s="9" t="s">
        <v>6</v>
      </c>
      <c r="F19" s="9" t="s">
        <v>6</v>
      </c>
      <c r="G19" s="9" t="s">
        <v>195</v>
      </c>
      <c r="I19" s="9" t="s">
        <v>18</v>
      </c>
      <c r="J19" s="9" t="str">
        <f>IFERROR(VLOOKUP("Lang Aud0", Configuration[[Item1]:[Value1]], 2, FALSE), "")</f>
        <v>dan</v>
      </c>
      <c r="K19" s="9">
        <f>VLOOKUP(AudioConfiguration[item], AudioPriorityTable[], 4, FALSE)</f>
        <v>4000</v>
      </c>
      <c r="P19" s="15"/>
      <c r="Q19" s="15"/>
    </row>
    <row r="20" spans="2:17" x14ac:dyDescent="0.3">
      <c r="B20" s="9">
        <v>17</v>
      </c>
      <c r="C20" s="9" t="s">
        <v>71</v>
      </c>
      <c r="D20" s="9" t="s">
        <v>154</v>
      </c>
      <c r="E20" s="9" t="s">
        <v>152</v>
      </c>
      <c r="F20" s="9" t="s">
        <v>116</v>
      </c>
      <c r="G20" s="9" t="s">
        <v>195</v>
      </c>
      <c r="I20" s="9" t="s">
        <v>19</v>
      </c>
      <c r="J20" s="9" t="str">
        <f>IFERROR(VLOOKUP("Lang Aud1", Configuration[[Item1]:[Value1]], 2, FALSE), "")</f>
        <v>eng</v>
      </c>
      <c r="K20" s="9">
        <f>VLOOKUP(AudioConfiguration[item], AudioPriorityTable[], 4, FALSE)</f>
        <v>3000</v>
      </c>
    </row>
    <row r="21" spans="2:17" x14ac:dyDescent="0.3">
      <c r="B21" s="9">
        <v>18</v>
      </c>
      <c r="C21" s="9" t="s">
        <v>155</v>
      </c>
      <c r="D21" s="9" t="s">
        <v>156</v>
      </c>
      <c r="E21" s="9" t="s">
        <v>6</v>
      </c>
      <c r="F21" s="9" t="s">
        <v>6</v>
      </c>
      <c r="G21" s="9" t="s">
        <v>195</v>
      </c>
      <c r="I21" s="9" t="s">
        <v>20</v>
      </c>
      <c r="J21" s="9" t="str">
        <f>IFERROR(VLOOKUP("Lang Menu", Configuration[[Item1]:[Value1]], 2, FALSE), "")</f>
        <v>nor</v>
      </c>
      <c r="K21" s="9">
        <f>VLOOKUP(AudioConfiguration[item], AudioPriorityTable[], 4, FALSE)</f>
        <v>2000</v>
      </c>
    </row>
    <row r="22" spans="2:17" x14ac:dyDescent="0.3">
      <c r="B22" s="9">
        <v>19</v>
      </c>
      <c r="C22" s="9" t="s">
        <v>158</v>
      </c>
      <c r="D22" s="9" t="s">
        <v>8</v>
      </c>
      <c r="E22" s="9" t="s">
        <v>6</v>
      </c>
      <c r="F22" s="9" t="s">
        <v>116</v>
      </c>
      <c r="G22" s="9" t="s">
        <v>195</v>
      </c>
      <c r="I22" s="9" t="s">
        <v>26</v>
      </c>
      <c r="J22" s="9" t="str">
        <f>IFERROR(VLOOKUP("AD User", Configuration[[Item2]:[Value2]], 2, FALSE), "")</f>
        <v>no</v>
      </c>
      <c r="K22" s="10">
        <f>VLOOKUP(AudioConfiguration[item], AudioPriorityTable[], 4, FALSE)</f>
        <v>20000</v>
      </c>
    </row>
    <row r="23" spans="2:17" x14ac:dyDescent="0.3">
      <c r="B23" s="9">
        <v>20</v>
      </c>
      <c r="C23" s="9" t="s">
        <v>61</v>
      </c>
      <c r="D23" s="9" t="s">
        <v>104</v>
      </c>
      <c r="E23" s="9" t="s">
        <v>6</v>
      </c>
      <c r="F23" s="9" t="s">
        <v>6</v>
      </c>
      <c r="G23" s="9" t="s">
        <v>195</v>
      </c>
      <c r="I23" s="9" t="s">
        <v>60</v>
      </c>
      <c r="J23" s="9" t="str">
        <f>IFERROR(VLOOKUP("AD Menu", Configuration[[Item2]:[Value2]], 2, FALSE), "")</f>
        <v>no</v>
      </c>
      <c r="K23" s="10">
        <f>VLOOKUP(AudioConfiguration[item], AudioPriorityTable[], 4, FALSE)</f>
        <v>10000</v>
      </c>
    </row>
    <row r="24" spans="2:17" x14ac:dyDescent="0.3">
      <c r="B24" s="9">
        <v>21</v>
      </c>
      <c r="C24" s="9" t="s">
        <v>106</v>
      </c>
      <c r="D24" s="9" t="s">
        <v>107</v>
      </c>
      <c r="E24" s="9" t="s">
        <v>6</v>
      </c>
      <c r="F24" s="9" t="s">
        <v>116</v>
      </c>
      <c r="G24" s="9" t="s">
        <v>195</v>
      </c>
      <c r="I24" s="9" t="s">
        <v>28</v>
      </c>
      <c r="J24" s="9" t="str">
        <f>IFERROR(VLOOKUP("Multi User", Configuration[[Item2]:[Value2]], 2, FALSE), "")</f>
        <v>no</v>
      </c>
      <c r="K24" s="9">
        <f>VLOOKUP(AudioConfiguration[item], AudioPriorityTable[], 4, FALSE)</f>
        <v>200</v>
      </c>
    </row>
    <row r="25" spans="2:17" x14ac:dyDescent="0.3">
      <c r="B25" s="9">
        <v>22</v>
      </c>
      <c r="C25" s="9" t="s">
        <v>110</v>
      </c>
      <c r="D25" s="9" t="s">
        <v>108</v>
      </c>
      <c r="E25" s="9" t="s">
        <v>6</v>
      </c>
      <c r="F25" s="9" t="s">
        <v>159</v>
      </c>
      <c r="G25" s="9" t="s">
        <v>195</v>
      </c>
      <c r="I25" s="9" t="s">
        <v>59</v>
      </c>
      <c r="J25" s="9" t="str">
        <f>IFERROR(VLOOKUP("Multi Menu", Configuration[[Item2]:[Value2]], 2, FALSE), "")</f>
        <v>no</v>
      </c>
      <c r="K25" s="9">
        <f>VLOOKUP(AudioConfiguration[item], AudioPriorityTable[], 4, FALSE)</f>
        <v>100</v>
      </c>
    </row>
    <row r="26" spans="2:17" x14ac:dyDescent="0.3">
      <c r="B26" s="9">
        <v>23</v>
      </c>
      <c r="C26" s="9" t="s">
        <v>105</v>
      </c>
      <c r="D26" s="9" t="s">
        <v>157</v>
      </c>
      <c r="E26" s="9" t="s">
        <v>152</v>
      </c>
      <c r="F26" s="9" t="s">
        <v>116</v>
      </c>
      <c r="G26" s="9" t="s">
        <v>195</v>
      </c>
      <c r="I26" s="9" t="s">
        <v>21</v>
      </c>
      <c r="J26" s="9">
        <v>1</v>
      </c>
      <c r="K26" s="10">
        <f>VLOOKUP(AudioConfiguration[item], AudioPriorityTable[], 4, FALSE)</f>
        <v>1</v>
      </c>
    </row>
    <row r="27" spans="2:17" x14ac:dyDescent="0.3">
      <c r="B27" s="9">
        <v>24</v>
      </c>
      <c r="C27" s="9" t="s">
        <v>109</v>
      </c>
      <c r="D27" s="9" t="s">
        <v>114</v>
      </c>
      <c r="E27" s="9" t="s">
        <v>153</v>
      </c>
      <c r="F27" s="9" t="s">
        <v>163</v>
      </c>
      <c r="G27" s="9" t="s">
        <v>198</v>
      </c>
    </row>
    <row r="28" spans="2:17" x14ac:dyDescent="0.3">
      <c r="B28" s="9">
        <v>25</v>
      </c>
      <c r="C28" s="9" t="s">
        <v>109</v>
      </c>
      <c r="D28" s="9" t="s">
        <v>109</v>
      </c>
      <c r="E28" s="9" t="s">
        <v>115</v>
      </c>
      <c r="F28" s="9" t="s">
        <v>116</v>
      </c>
      <c r="G28" s="9" t="s">
        <v>195</v>
      </c>
    </row>
    <row r="29" spans="2:17" x14ac:dyDescent="0.3">
      <c r="B29" s="9">
        <v>26</v>
      </c>
      <c r="C29" s="9" t="s">
        <v>147</v>
      </c>
      <c r="D29" s="9" t="s">
        <v>160</v>
      </c>
      <c r="E29" s="9" t="s">
        <v>161</v>
      </c>
      <c r="F29" s="9" t="s">
        <v>162</v>
      </c>
      <c r="G29" s="9" t="s">
        <v>198</v>
      </c>
    </row>
    <row r="30" spans="2:17" x14ac:dyDescent="0.3">
      <c r="B30" s="9">
        <v>27</v>
      </c>
      <c r="C30" s="9" t="s">
        <v>155</v>
      </c>
      <c r="D30" s="9" t="s">
        <v>7</v>
      </c>
      <c r="E30" s="9" t="s">
        <v>6</v>
      </c>
      <c r="F30" s="9" t="s">
        <v>6</v>
      </c>
      <c r="G30" s="9" t="s">
        <v>195</v>
      </c>
    </row>
    <row r="31" spans="2:17" x14ac:dyDescent="0.3">
      <c r="B31" s="9">
        <v>28</v>
      </c>
      <c r="C31" s="9" t="s">
        <v>164</v>
      </c>
      <c r="D31" s="9" t="s">
        <v>7</v>
      </c>
      <c r="E31" s="9" t="s">
        <v>167</v>
      </c>
      <c r="F31" s="9" t="s">
        <v>5</v>
      </c>
      <c r="G31" s="9" t="s">
        <v>198</v>
      </c>
    </row>
    <row r="32" spans="2:17" x14ac:dyDescent="0.3">
      <c r="B32" s="9">
        <v>29</v>
      </c>
      <c r="C32" s="9" t="s">
        <v>165</v>
      </c>
      <c r="D32" s="9" t="s">
        <v>147</v>
      </c>
      <c r="E32" s="9" t="s">
        <v>5</v>
      </c>
      <c r="F32" s="9" t="s">
        <v>6</v>
      </c>
      <c r="G32" s="9" t="s">
        <v>195</v>
      </c>
    </row>
    <row r="33" spans="2:7" x14ac:dyDescent="0.3">
      <c r="B33" s="9">
        <v>30</v>
      </c>
      <c r="C33" s="9" t="s">
        <v>166</v>
      </c>
      <c r="D33" s="9" t="s">
        <v>7</v>
      </c>
      <c r="E33" s="9" t="s">
        <v>168</v>
      </c>
      <c r="F33" s="9" t="s">
        <v>162</v>
      </c>
      <c r="G33" s="9" t="s">
        <v>201</v>
      </c>
    </row>
  </sheetData>
  <protectedRanges>
    <protectedRange algorithmName="SHA-512" hashValue="9lZKEqffcjKeBewvvFMYA0jcZD0RWbVJmpPiI1xxzpM46BYxQ7qVYsV6mPGfu6Pw5xZOL53yR0uvSE6JgP8/kw==" saltValue="2sRiGxC5r9MnqkPNcscgAA==" spinCount="100000" sqref="L3:L15" name="PriorityValue"/>
    <protectedRange algorithmName="SHA-512" hashValue="XxQoIy4oE+Ca2r0xPHBHiIS/160ui64PTQhIHFS7OK+8pI20Tbt2rqmTRcXPXvxYxSoqSN2Za6xpIOWZkntnmg==" saltValue="FggbMgcIymxPutvkXILQsQ==" spinCount="100000" sqref="B3:G37" name="AudioEsTable"/>
  </protectedRanges>
  <phoneticPr fontId="2" type="noConversion"/>
  <dataValidations count="1">
    <dataValidation type="list" allowBlank="1" showInputMessage="1" showErrorMessage="1" sqref="E3:F37">
      <formula1>$C$4:$C$5</formula1>
    </dataValidation>
  </dataValidations>
  <pageMargins left="0.7" right="0.7" top="0.75" bottom="0.75" header="0.3" footer="0.3"/>
  <ignoredErrors>
    <ignoredError sqref="K4:K14" calculatedColumn="1"/>
  </ignoredErrors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Base!$C$5:$C$6</xm:f>
          </x14:formula1>
          <xm:sqref>J22:J25</xm:sqref>
        </x14:dataValidation>
        <x14:dataValidation type="list" allowBlank="1" showInputMessage="1" showErrorMessage="1">
          <x14:formula1>
            <xm:f>Base!$C$7:$C$9</xm:f>
          </x14:formula1>
          <xm:sqref>G3:G37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8"/>
  <sheetViews>
    <sheetView zoomScale="85" zoomScaleNormal="85" workbookViewId="0">
      <pane xSplit="6" ySplit="7" topLeftCell="G8" activePane="bottomRight" state="frozen"/>
      <selection activeCell="D5" sqref="D5:D6"/>
      <selection pane="topRight" activeCell="D5" sqref="D5:D6"/>
      <selection pane="bottomLeft" activeCell="D5" sqref="D5:D6"/>
      <selection pane="bottomRight"/>
    </sheetView>
  </sheetViews>
  <sheetFormatPr defaultRowHeight="13.5" outlineLevelCol="1" x14ac:dyDescent="0.3"/>
  <cols>
    <col min="1" max="1" width="9" style="1"/>
    <col min="2" max="2" width="11.75" style="1" customWidth="1"/>
    <col min="3" max="3" width="10" style="1" customWidth="1"/>
    <col min="4" max="4" width="10.75" style="1" customWidth="1"/>
    <col min="5" max="5" width="8.25" style="1" bestFit="1" customWidth="1"/>
    <col min="6" max="6" width="16.375" style="1" customWidth="1"/>
    <col min="7" max="7" width="16.375" style="1" hidden="1" customWidth="1" outlineLevel="1"/>
    <col min="8" max="8" width="13.75" style="1" hidden="1" customWidth="1" outlineLevel="1"/>
    <col min="9" max="9" width="16.375" style="1" hidden="1" customWidth="1" outlineLevel="1"/>
    <col min="10" max="10" width="12.75" style="1" hidden="1" customWidth="1" outlineLevel="1"/>
    <col min="11" max="11" width="16.375" style="1" hidden="1" customWidth="1" outlineLevel="1"/>
    <col min="12" max="12" width="10.5" style="1" hidden="1" customWidth="1" outlineLevel="1"/>
    <col min="13" max="13" width="16.375" style="1" hidden="1" customWidth="1" outlineLevel="1"/>
    <col min="14" max="14" width="9.375" style="1" hidden="1" customWidth="1" outlineLevel="1"/>
    <col min="15" max="15" width="12.875" style="1" hidden="1" customWidth="1" outlineLevel="1"/>
    <col min="16" max="16" width="7.375" style="1" hidden="1" customWidth="1" outlineLevel="1"/>
    <col min="17" max="17" width="7.875" style="1" hidden="1" customWidth="1" outlineLevel="1"/>
    <col min="18" max="18" width="16.375" style="1" customWidth="1" collapsed="1"/>
    <col min="19" max="21" width="16.375" style="1" hidden="1" customWidth="1" outlineLevel="1"/>
    <col min="22" max="22" width="16.375" style="1" customWidth="1" collapsed="1"/>
    <col min="23" max="23" width="16.375" style="1" hidden="1" customWidth="1" outlineLevel="1"/>
    <col min="24" max="24" width="12.75" style="1" bestFit="1" customWidth="1" collapsed="1"/>
    <col min="25" max="25" width="24.375" style="1" hidden="1" customWidth="1" outlineLevel="1"/>
    <col min="26" max="26" width="25.75" style="1" hidden="1" customWidth="1" outlineLevel="1"/>
    <col min="27" max="27" width="25.875" style="1" hidden="1" customWidth="1" outlineLevel="1"/>
    <col min="28" max="28" width="10.375" style="1" customWidth="1" collapsed="1"/>
    <col min="29" max="29" width="16.375" style="1" customWidth="1"/>
    <col min="30" max="30" width="8.25" style="1" bestFit="1" customWidth="1"/>
    <col min="31" max="31" width="8.5" style="1" bestFit="1" customWidth="1"/>
    <col min="32" max="32" width="63.625" style="1" customWidth="1"/>
    <col min="33" max="41" width="15.625" style="1" customWidth="1"/>
    <col min="42" max="16384" width="9" style="1"/>
  </cols>
  <sheetData>
    <row r="1" spans="2:33" x14ac:dyDescent="0.3">
      <c r="B1" s="1" t="s">
        <v>169</v>
      </c>
      <c r="C1" s="1" t="s">
        <v>170</v>
      </c>
      <c r="D1" s="1" t="s">
        <v>171</v>
      </c>
      <c r="E1" s="1" t="s">
        <v>79</v>
      </c>
    </row>
    <row r="2" spans="2:33" x14ac:dyDescent="0.3">
      <c r="B2" s="1" t="s">
        <v>173</v>
      </c>
      <c r="C2" s="1" t="s">
        <v>183</v>
      </c>
      <c r="D2" s="1" t="s">
        <v>172</v>
      </c>
      <c r="E2" s="1" t="s">
        <v>6</v>
      </c>
    </row>
    <row r="3" spans="2:33" x14ac:dyDescent="0.3">
      <c r="B3" s="1" t="s">
        <v>174</v>
      </c>
      <c r="C3" s="1" t="s">
        <v>178</v>
      </c>
      <c r="D3" s="1" t="s">
        <v>179</v>
      </c>
      <c r="E3" s="1" t="s">
        <v>180</v>
      </c>
    </row>
    <row r="4" spans="2:33" x14ac:dyDescent="0.3">
      <c r="B4" s="1" t="s">
        <v>175</v>
      </c>
      <c r="C4" s="1" t="s">
        <v>4</v>
      </c>
      <c r="D4" s="1" t="s">
        <v>177</v>
      </c>
      <c r="E4" s="1" t="s">
        <v>182</v>
      </c>
    </row>
    <row r="5" spans="2:33" x14ac:dyDescent="0.3">
      <c r="B5" s="1" t="s">
        <v>176</v>
      </c>
      <c r="C5" s="1" t="s">
        <v>154</v>
      </c>
      <c r="D5" s="1" t="s">
        <v>181</v>
      </c>
      <c r="E5" s="1" t="s">
        <v>6</v>
      </c>
    </row>
    <row r="7" spans="2:33" x14ac:dyDescent="0.3">
      <c r="B7" s="1" t="s">
        <v>9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51</v>
      </c>
      <c r="H7" s="1" t="s">
        <v>63</v>
      </c>
      <c r="I7" s="1" t="s">
        <v>52</v>
      </c>
      <c r="J7" s="1" t="s">
        <v>64</v>
      </c>
      <c r="K7" s="1" t="s">
        <v>53</v>
      </c>
      <c r="L7" s="1" t="s">
        <v>65</v>
      </c>
      <c r="M7" s="1" t="s">
        <v>54</v>
      </c>
      <c r="N7" s="1" t="s">
        <v>66</v>
      </c>
      <c r="O7" s="1" t="s">
        <v>49</v>
      </c>
      <c r="P7" s="1" t="s">
        <v>48</v>
      </c>
      <c r="Q7" s="1" t="s">
        <v>67</v>
      </c>
      <c r="R7" s="1" t="s">
        <v>30</v>
      </c>
      <c r="S7" s="1" t="s">
        <v>55</v>
      </c>
      <c r="T7" s="1" t="s">
        <v>56</v>
      </c>
      <c r="U7" s="1" t="s">
        <v>57</v>
      </c>
      <c r="V7" s="1" t="s">
        <v>31</v>
      </c>
      <c r="W7" s="1" t="s">
        <v>25</v>
      </c>
      <c r="X7" s="1" t="s">
        <v>33</v>
      </c>
      <c r="Y7" s="1" t="s">
        <v>29</v>
      </c>
      <c r="Z7" s="1" t="s">
        <v>62</v>
      </c>
      <c r="AA7" s="1" t="s">
        <v>47</v>
      </c>
      <c r="AB7" s="1" t="s">
        <v>32</v>
      </c>
      <c r="AC7" s="1" t="s">
        <v>70</v>
      </c>
      <c r="AD7" s="1" t="s">
        <v>10</v>
      </c>
      <c r="AE7" s="1" t="s">
        <v>69</v>
      </c>
      <c r="AF7" s="1" t="s">
        <v>46</v>
      </c>
      <c r="AG7" s="2" t="s">
        <v>68</v>
      </c>
    </row>
    <row r="8" spans="2:33" x14ac:dyDescent="0.3">
      <c r="B8" s="1">
        <v>3</v>
      </c>
      <c r="C8" s="5" t="str">
        <f>IF(ISBLANK(AudioTrackTable[Track]), "", IFERROR(VLOOKUP(AudioTrackTable[Track], AudioTrackDb[], 2, FALSE), ""))</f>
        <v>eng</v>
      </c>
      <c r="D8" s="5" t="str">
        <f>IF(ISBLANK(AudioTrackTable[Track]), "", IFERROR(VLOOKUP(AudioTrackTable[Track], AudioTrackDb[], 3, FALSE), ""))</f>
        <v>""</v>
      </c>
      <c r="E8" s="5" t="str">
        <f>IF(ISBLANK(AudioTrackTable[Track]), "no", IFERROR(VLOOKUP(AudioTrackTable[Track], AudioTrackDb[], 4, FALSE), "no"))</f>
        <v>no</v>
      </c>
      <c r="F8" s="5" t="str">
        <f>IF(ISBLANK(AudioTrackTable[Track]), "no", IFERROR(VLOOKUP(AudioTrackTable[Track], AudioTrackDb[], 5, FALSE), "no"))</f>
        <v>no</v>
      </c>
      <c r="G8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8" s="1">
        <f>AudioTrackTable[IsLangMatchedUser]*VLOOKUP("Lang_User", AudioConfiguration[], 3, FALSE)</f>
        <v>0</v>
      </c>
      <c r="I8" s="1" t="b">
        <f>OR(EXACT(VLOOKUP("Lang_Aud0", AudioConfiguration[], 2, FALSE), AudioTrackTable[Lang0]), EXACT(VLOOKUP("Lang_Aud0", AudioConfiguration[], 2, FALSE), AudioTrackTable[Lang1]))</f>
        <v>0</v>
      </c>
      <c r="J8" s="1">
        <f>AudioTrackTable[IsLangMatchedAud0]*VLOOKUP("Lang_Aud0", AudioConfiguration[], 3, FALSE)</f>
        <v>0</v>
      </c>
      <c r="K8" s="1" t="b">
        <f>OR(EXACT(VLOOKUP("Lang_Aud1", AudioConfiguration[], 2, FALSE), AudioTrackTable[Lang0]), EXACT(VLOOKUP("Lang_Aud1", AudioConfiguration[], 2, FALSE), AudioTrackTable[Lang1]))</f>
        <v>1</v>
      </c>
      <c r="L8" s="1">
        <f>AudioTrackTable[IsLangMatchedAud1]*VLOOKUP("Lang_Aud1", AudioConfiguration[], 3, FALSE)</f>
        <v>3000</v>
      </c>
      <c r="M8" s="1" t="b">
        <f>OR(EXACT(VLOOKUP("Lang_Menu", AudioConfiguration[], 2, FALSE), AudioTrackTable[Lang0]), EXACT(VLOOKUP("Lang_Menu", AudioConfiguration[], 2, FALSE), AudioTrackTable[Lang1]))</f>
        <v>0</v>
      </c>
      <c r="N8" s="1">
        <f>AudioTrackTable[IsLangMatchedMenu]*VLOOKUP("Lang_Menu", AudioConfiguration[], 3, FALSE)</f>
        <v>0</v>
      </c>
      <c r="O8" s="1" t="b">
        <f>AND(LEN(AudioTrackTable[[#This Row],[Lang0]])=3, LEN(AudioTrackTable[[#This Row],[Lang1]])=3)</f>
        <v>0</v>
      </c>
      <c r="P8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[eng]</v>
      </c>
      <c r="Q8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[eng]</v>
      </c>
      <c r="R8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3000</v>
      </c>
      <c r="S8" s="7" t="b">
        <f>IF(EXACT(TRIM(LOWER(AudioTrackTable[Multi])), "yes"), EXACT(TRIM(LOWER(VLOOKUP("Multichannel_User", AudioConfiguration[], 2, FALSE))), "yes"), FALSE())</f>
        <v>0</v>
      </c>
      <c r="T8" s="7" t="b">
        <f>IF(EXACT(TRIM(LOWER(AudioTrackTable[Multi])), "yes"), EXACT(TRIM(LOWER(VLOOKUP("Multichannel_Menu", AudioConfiguration[], 2, FALSE))), "yes"), FALSE())</f>
        <v>0</v>
      </c>
      <c r="U8" s="7" t="b">
        <f>OR(AudioTrackTable[[#This Row],[IsMultiSelectedByUser]:[IsMultiSelectedByMenu]])</f>
        <v>0</v>
      </c>
      <c r="V8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8" s="7" t="b">
        <v>1</v>
      </c>
      <c r="X8" s="6">
        <f>AudioTrackTable[IsFirstTrack]*VLOOKUP("First_Track", AudioConfiguration[], 3, FALSE)</f>
        <v>1</v>
      </c>
      <c r="Y8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8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8" s="7" t="b">
        <f>OR(AudioTrackTable[[#This Row],[AudioDescriptionSelUser]:[AudioDescriptionSelMenu]])</f>
        <v>0</v>
      </c>
      <c r="AB8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8" s="6">
        <f>AudioTrackTable[IsDualMono]*VLOOKUP("Dual_Mono_Base", AudioPriorityTable[], 4, FALSE)</f>
        <v>0</v>
      </c>
      <c r="AD8" s="6">
        <f>AudioTrackTable[Language Score]+AudioTrackTable[Multichannel Score]+AudioTrackTable[AudioDescription Score]+AudioTrackTable[Track Score]+AudioTrackTable[DualMono Score]</f>
        <v>3001</v>
      </c>
      <c r="AE8" s="4">
        <f>_xlfn.RANK.EQ(AudioTrackTable[[#This Row],[Score]],AudioTrackTable[Score], 0)</f>
        <v>2</v>
      </c>
      <c r="AF8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[eng] , Multichannel : no , Audio Description : no , Dual Mono : no</v>
      </c>
      <c r="AG8" s="2"/>
    </row>
    <row r="9" spans="2:33" x14ac:dyDescent="0.3">
      <c r="B9" s="1">
        <v>7</v>
      </c>
      <c r="C9" s="5" t="str">
        <f>IF(ISBLANK(AudioTrackTable[Track]), "", IFERROR(VLOOKUP(AudioTrackTable[Track], AudioTrackDb[], 2, FALSE), ""))</f>
        <v>ger</v>
      </c>
      <c r="D9" s="5" t="str">
        <f>IF(ISBLANK(AudioTrackTable[Track]), "", IFERROR(VLOOKUP(AudioTrackTable[Track], AudioTrackDb[], 3, FALSE), ""))</f>
        <v>""</v>
      </c>
      <c r="E9" s="5" t="str">
        <f>IF(ISBLANK(AudioTrackTable[Track]), "no", IFERROR(VLOOKUP(AudioTrackTable[Track], AudioTrackDb[], 4, FALSE), "no"))</f>
        <v>no</v>
      </c>
      <c r="F9" s="5" t="str">
        <f>IF(ISBLANK(AudioTrackTable[Track]), "no", IFERROR(VLOOKUP(AudioTrackTable[Track], AudioTrackDb[], 5, FALSE), "no"))</f>
        <v>no</v>
      </c>
      <c r="G9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9" s="1">
        <f>AudioTrackTable[IsLangMatchedUser]*VLOOKUP("Lang_User", AudioConfiguration[], 3, FALSE)</f>
        <v>0</v>
      </c>
      <c r="I9" s="1" t="b">
        <f>OR(EXACT(VLOOKUP("Lang_Aud0", AudioConfiguration[], 2, FALSE), AudioTrackTable[Lang0]), EXACT(VLOOKUP("Lang_Aud0", AudioConfiguration[], 2, FALSE), AudioTrackTable[Lang1]))</f>
        <v>0</v>
      </c>
      <c r="J9" s="1">
        <f>AudioTrackTable[IsLangMatchedAud0]*VLOOKUP("Lang_Aud0", AudioConfiguration[], 3, FALSE)</f>
        <v>0</v>
      </c>
      <c r="K9" s="1" t="b">
        <f>OR(EXACT(VLOOKUP("Lang_Aud1", AudioConfiguration[], 2, FALSE), AudioTrackTable[Lang0]), EXACT(VLOOKUP("Lang_Aud1", AudioConfiguration[], 2, FALSE), AudioTrackTable[Lang1]))</f>
        <v>0</v>
      </c>
      <c r="L9" s="1">
        <f>AudioTrackTable[IsLangMatchedAud1]*VLOOKUP("Lang_Aud1", AudioConfiguration[], 3, FALSE)</f>
        <v>0</v>
      </c>
      <c r="M9" s="1" t="b">
        <f>OR(EXACT(VLOOKUP("Lang_Menu", AudioConfiguration[], 2, FALSE), AudioTrackTable[Lang0]), EXACT(VLOOKUP("Lang_Menu", AudioConfiguration[], 2, FALSE), AudioTrackTable[Lang1]))</f>
        <v>0</v>
      </c>
      <c r="N9" s="1">
        <f>AudioTrackTable[IsLangMatchedMenu]*VLOOKUP("Lang_Menu", AudioConfiguration[], 3, FALSE)</f>
        <v>0</v>
      </c>
      <c r="O9" s="1" t="b">
        <f>AND(LEN(AudioTrackTable[[#This Row],[Lang0]])=3, LEN(AudioTrackTable[[#This Row],[Lang1]])=3)</f>
        <v>0</v>
      </c>
      <c r="P9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9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9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9" s="7" t="b">
        <f>IF(EXACT(TRIM(LOWER(AudioTrackTable[Multi])), "yes"), EXACT(TRIM(LOWER(VLOOKUP("Multichannel_User", AudioConfiguration[], 2, FALSE))), "yes"), FALSE())</f>
        <v>0</v>
      </c>
      <c r="T9" s="7" t="b">
        <f>IF(EXACT(TRIM(LOWER(AudioTrackTable[Multi])), "yes"), EXACT(TRIM(LOWER(VLOOKUP("Multichannel_Menu", AudioConfiguration[], 2, FALSE))), "yes"), FALSE())</f>
        <v>0</v>
      </c>
      <c r="U9" s="7" t="b">
        <f>OR(AudioTrackTable[[#This Row],[IsMultiSelectedByUser]:[IsMultiSelectedByMenu]])</f>
        <v>0</v>
      </c>
      <c r="V9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9" s="7" t="b">
        <v>0</v>
      </c>
      <c r="X9" s="6">
        <f>AudioTrackTable[IsFirstTrack]*VLOOKUP("First_Track", AudioConfiguration[], 3, FALSE)</f>
        <v>0</v>
      </c>
      <c r="Y9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9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9" s="7" t="b">
        <f>OR(AudioTrackTable[[#This Row],[AudioDescriptionSelUser]:[AudioDescriptionSelMenu]])</f>
        <v>0</v>
      </c>
      <c r="AB9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9" s="6">
        <f>AudioTrackTable[IsDualMono]*VLOOKUP("Dual_Mono_Base", AudioPriorityTable[], 4, FALSE)</f>
        <v>0</v>
      </c>
      <c r="AD9" s="6">
        <f>AudioTrackTable[Language Score]+AudioTrackTable[Multichannel Score]+AudioTrackTable[AudioDescription Score]+AudioTrackTable[Track Score]+AudioTrackTable[DualMono Score]</f>
        <v>1000</v>
      </c>
      <c r="AE9" s="4">
        <f>_xlfn.RANK.EQ(AudioTrackTable[[#This Row],[Score]],AudioTrackTable[Score], 0)</f>
        <v>4</v>
      </c>
      <c r="AF9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9" s="2" t="b">
        <f>EXACT(VLOOKUP("Lang_User", AudioConfiguration[], 2, FALSE), IF(LEN(AudioTrackTable[Lang0])&gt;=3, AudioTrackTable[Lang0], "error"))</f>
        <v>0</v>
      </c>
    </row>
    <row r="10" spans="2:33" x14ac:dyDescent="0.3">
      <c r="B10" s="1">
        <v>15</v>
      </c>
      <c r="C10" s="5" t="str">
        <f>IF(ISBLANK(AudioTrackTable[Track]), "", IFERROR(VLOOKUP(AudioTrackTable[Track], AudioTrackDb[], 2, FALSE), ""))</f>
        <v>nor</v>
      </c>
      <c r="D10" s="5" t="str">
        <f>IF(ISBLANK(AudioTrackTable[Track]), "", IFERROR(VLOOKUP(AudioTrackTable[Track], AudioTrackDb[], 3, FALSE), ""))</f>
        <v>""</v>
      </c>
      <c r="E10" s="5" t="str">
        <f>IF(ISBLANK(AudioTrackTable[Track]), "no", IFERROR(VLOOKUP(AudioTrackTable[Track], AudioTrackDb[], 4, FALSE), "no"))</f>
        <v>no</v>
      </c>
      <c r="F10" s="5" t="str">
        <f>IF(ISBLANK(AudioTrackTable[Track]), "no", IFERROR(VLOOKUP(AudioTrackTable[Track], AudioTrackDb[], 5, FALSE), "no"))</f>
        <v>no</v>
      </c>
      <c r="G10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0" s="1">
        <f>AudioTrackTable[IsLangMatchedUser]*VLOOKUP("Lang_User", AudioConfiguration[], 3, FALSE)</f>
        <v>0</v>
      </c>
      <c r="I10" s="1" t="b">
        <f>OR(EXACT(VLOOKUP("Lang_Aud0", AudioConfiguration[], 2, FALSE), AudioTrackTable[Lang0]), EXACT(VLOOKUP("Lang_Aud0", AudioConfiguration[], 2, FALSE), AudioTrackTable[Lang1]))</f>
        <v>0</v>
      </c>
      <c r="J10" s="1">
        <f>AudioTrackTable[IsLangMatchedAud0]*VLOOKUP("Lang_Aud0", AudioConfiguration[], 3, FALSE)</f>
        <v>0</v>
      </c>
      <c r="K10" s="1" t="b">
        <f>OR(EXACT(VLOOKUP("Lang_Aud1", AudioConfiguration[], 2, FALSE), AudioTrackTable[Lang0]), EXACT(VLOOKUP("Lang_Aud1", AudioConfiguration[], 2, FALSE), AudioTrackTable[Lang1]))</f>
        <v>0</v>
      </c>
      <c r="L10" s="1">
        <f>AudioTrackTable[IsLangMatchedAud1]*VLOOKUP("Lang_Aud1", AudioConfiguration[], 3, FALSE)</f>
        <v>0</v>
      </c>
      <c r="M10" s="1" t="b">
        <f>OR(EXACT(VLOOKUP("Lang_Menu", AudioConfiguration[], 2, FALSE), AudioTrackTable[Lang0]), EXACT(VLOOKUP("Lang_Menu", AudioConfiguration[], 2, FALSE), AudioTrackTable[Lang1]))</f>
        <v>1</v>
      </c>
      <c r="N10" s="1">
        <f>AudioTrackTable[IsLangMatchedMenu]*VLOOKUP("Lang_Menu", AudioConfiguration[], 3, FALSE)</f>
        <v>2000</v>
      </c>
      <c r="O10" s="1" t="b">
        <f>AND(LEN(AudioTrackTable[[#This Row],[Lang0]])=3, LEN(AudioTrackTable[[#This Row],[Lang1]])=3)</f>
        <v>0</v>
      </c>
      <c r="P10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[nor]</v>
      </c>
      <c r="Q10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[nor]</v>
      </c>
      <c r="R10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2000</v>
      </c>
      <c r="S10" s="7" t="b">
        <f>IF(EXACT(TRIM(LOWER(AudioTrackTable[Multi])), "yes"), EXACT(TRIM(LOWER(VLOOKUP("Multichannel_User", AudioConfiguration[], 2, FALSE))), "yes"), FALSE())</f>
        <v>0</v>
      </c>
      <c r="T10" s="7" t="b">
        <f>IF(EXACT(TRIM(LOWER(AudioTrackTable[Multi])), "yes"), EXACT(TRIM(LOWER(VLOOKUP("Multichannel_Menu", AudioConfiguration[], 2, FALSE))), "yes"), FALSE())</f>
        <v>0</v>
      </c>
      <c r="U10" s="7" t="b">
        <f>OR(AudioTrackTable[[#This Row],[IsMultiSelectedByUser]:[IsMultiSelectedByMenu]])</f>
        <v>0</v>
      </c>
      <c r="V10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0" s="7" t="b">
        <v>0</v>
      </c>
      <c r="X10" s="6">
        <f>AudioTrackTable[IsFirstTrack]*VLOOKUP("First_Track", AudioConfiguration[], 3, FALSE)</f>
        <v>0</v>
      </c>
      <c r="Y10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0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0" s="7" t="b">
        <f>OR(AudioTrackTable[[#This Row],[AudioDescriptionSelUser]:[AudioDescriptionSelMenu]])</f>
        <v>0</v>
      </c>
      <c r="AB10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0" s="6">
        <f>AudioTrackTable[IsDualMono]*VLOOKUP("Dual_Mono_Base", AudioPriorityTable[], 4, FALSE)</f>
        <v>0</v>
      </c>
      <c r="AD10" s="6">
        <f>AudioTrackTable[Language Score]+AudioTrackTable[Multichannel Score]+AudioTrackTable[AudioDescription Score]+AudioTrackTable[Track Score]+AudioTrackTable[DualMono Score]</f>
        <v>2000</v>
      </c>
      <c r="AE10" s="4">
        <f>_xlfn.RANK.EQ(AudioTrackTable[[#This Row],[Score]],AudioTrackTable[Score], 0)</f>
        <v>3</v>
      </c>
      <c r="AF10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[nor] , Multichannel : no , Audio Description : no , Dual Mono : no</v>
      </c>
      <c r="AG10" s="2"/>
    </row>
    <row r="11" spans="2:33" x14ac:dyDescent="0.3">
      <c r="B11" s="1">
        <v>11</v>
      </c>
      <c r="C11" s="5" t="str">
        <f>IF(ISBLANK(AudioTrackTable[Track]), "", IFERROR(VLOOKUP(AudioTrackTable[Track], AudioTrackDb[], 2, FALSE), ""))</f>
        <v>swe</v>
      </c>
      <c r="D11" s="5" t="str">
        <f>IF(ISBLANK(AudioTrackTable[Track]), "", IFERROR(VLOOKUP(AudioTrackTable[Track], AudioTrackDb[], 3, FALSE), ""))</f>
        <v>""</v>
      </c>
      <c r="E11" s="5" t="str">
        <f>IF(ISBLANK(AudioTrackTable[Track]), "no", IFERROR(VLOOKUP(AudioTrackTable[Track], AudioTrackDb[], 4, FALSE), "no"))</f>
        <v>no</v>
      </c>
      <c r="F11" s="5" t="str">
        <f>IF(ISBLANK(AudioTrackTable[Track]), "no", IFERROR(VLOOKUP(AudioTrackTable[Track], AudioTrackDb[], 5, FALSE), "no"))</f>
        <v>no</v>
      </c>
      <c r="G11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1</v>
      </c>
      <c r="H11" s="1">
        <f>AudioTrackTable[IsLangMatchedUser]*VLOOKUP("Lang_User", AudioConfiguration[], 3, FALSE)</f>
        <v>5000</v>
      </c>
      <c r="I11" s="1" t="b">
        <f>OR(EXACT(VLOOKUP("Lang_Aud0", AudioConfiguration[], 2, FALSE), AudioTrackTable[Lang0]), EXACT(VLOOKUP("Lang_Aud0", AudioConfiguration[], 2, FALSE), AudioTrackTable[Lang1]))</f>
        <v>0</v>
      </c>
      <c r="J11" s="1">
        <f>AudioTrackTable[IsLangMatchedAud0]*VLOOKUP("Lang_Aud0", AudioConfiguration[], 3, FALSE)</f>
        <v>0</v>
      </c>
      <c r="K11" s="1" t="b">
        <f>OR(EXACT(VLOOKUP("Lang_Aud1", AudioConfiguration[], 2, FALSE), AudioTrackTable[Lang0]), EXACT(VLOOKUP("Lang_Aud1", AudioConfiguration[], 2, FALSE), AudioTrackTable[Lang1]))</f>
        <v>0</v>
      </c>
      <c r="L11" s="1">
        <f>AudioTrackTable[IsLangMatchedAud1]*VLOOKUP("Lang_Aud1", AudioConfiguration[], 3, FALSE)</f>
        <v>0</v>
      </c>
      <c r="M11" s="1" t="b">
        <f>OR(EXACT(VLOOKUP("Lang_Menu", AudioConfiguration[], 2, FALSE), AudioTrackTable[Lang0]), EXACT(VLOOKUP("Lang_Menu", AudioConfiguration[], 2, FALSE), AudioTrackTable[Lang1]))</f>
        <v>0</v>
      </c>
      <c r="N11" s="1">
        <f>AudioTrackTable[IsLangMatchedMenu]*VLOOKUP("Lang_Menu", AudioConfiguration[], 3, FALSE)</f>
        <v>0</v>
      </c>
      <c r="O11" s="1" t="b">
        <f>AND(LEN(AudioTrackTable[[#This Row],[Lang0]])=3, LEN(AudioTrackTable[[#This Row],[Lang1]])=3)</f>
        <v>0</v>
      </c>
      <c r="P11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[swe]</v>
      </c>
      <c r="Q11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[swe]</v>
      </c>
      <c r="R11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5000</v>
      </c>
      <c r="S11" s="7" t="b">
        <f>IF(EXACT(TRIM(LOWER(AudioTrackTable[Multi])), "yes"), EXACT(TRIM(LOWER(VLOOKUP("Multichannel_User", AudioConfiguration[], 2, FALSE))), "yes"), FALSE())</f>
        <v>0</v>
      </c>
      <c r="T11" s="7" t="b">
        <f>IF(EXACT(TRIM(LOWER(AudioTrackTable[Multi])), "yes"), EXACT(TRIM(LOWER(VLOOKUP("Multichannel_Menu", AudioConfiguration[], 2, FALSE))), "yes"), FALSE())</f>
        <v>0</v>
      </c>
      <c r="U11" s="7" t="b">
        <f>OR(AudioTrackTable[[#This Row],[IsMultiSelectedByUser]:[IsMultiSelectedByMenu]])</f>
        <v>0</v>
      </c>
      <c r="V11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1" s="7" t="b">
        <v>0</v>
      </c>
      <c r="X11" s="6">
        <f>AudioTrackTable[IsFirstTrack]*VLOOKUP("First_Track", AudioConfiguration[], 3, FALSE)</f>
        <v>0</v>
      </c>
      <c r="Y11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1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1" s="7" t="b">
        <f>OR(AudioTrackTable[[#This Row],[AudioDescriptionSelUser]:[AudioDescriptionSelMenu]])</f>
        <v>0</v>
      </c>
      <c r="AB11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1" s="6">
        <f>AudioTrackTable[IsDualMono]*VLOOKUP("Dual_Mono_Base", AudioPriorityTable[], 4, FALSE)</f>
        <v>0</v>
      </c>
      <c r="AD11" s="6">
        <f>AudioTrackTable[Language Score]+AudioTrackTable[Multichannel Score]+AudioTrackTable[AudioDescription Score]+AudioTrackTable[Track Score]+AudioTrackTable[DualMono Score]</f>
        <v>5000</v>
      </c>
      <c r="AE11" s="4">
        <f>_xlfn.RANK.EQ(AudioTrackTable[[#This Row],[Score]],AudioTrackTable[Score], 0)</f>
        <v>1</v>
      </c>
      <c r="AF11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[swe] , Multichannel : no , Audio Description : no , Dual Mono : no</v>
      </c>
      <c r="AG11" s="2"/>
    </row>
    <row r="12" spans="2:33" x14ac:dyDescent="0.3">
      <c r="B12" s="1">
        <v>28</v>
      </c>
      <c r="C12" s="5" t="str">
        <f>IF(ISBLANK(AudioTrackTable[Track]), "", IFERROR(VLOOKUP(AudioTrackTable[Track], AudioTrackDb[], 2, FALSE), ""))</f>
        <v>fin</v>
      </c>
      <c r="D12" s="5" t="str">
        <f>IF(ISBLANK(AudioTrackTable[Track]), "", IFERROR(VLOOKUP(AudioTrackTable[Track], AudioTrackDb[], 3, FALSE), ""))</f>
        <v>""</v>
      </c>
      <c r="E12" s="5" t="str">
        <f>IF(ISBLANK(AudioTrackTable[Track]), "no", IFERROR(VLOOKUP(AudioTrackTable[Track], AudioTrackDb[], 4, FALSE), "no"))</f>
        <v>no</v>
      </c>
      <c r="F12" s="5" t="str">
        <f>IF(ISBLANK(AudioTrackTable[Track]), "no", IFERROR(VLOOKUP(AudioTrackTable[Track], AudioTrackDb[], 5, FALSE), "no"))</f>
        <v>yes</v>
      </c>
      <c r="G12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2" s="1">
        <f>AudioTrackTable[IsLangMatchedUser]*VLOOKUP("Lang_User", AudioConfiguration[], 3, FALSE)</f>
        <v>0</v>
      </c>
      <c r="I12" s="1" t="b">
        <f>OR(EXACT(VLOOKUP("Lang_Aud0", AudioConfiguration[], 2, FALSE), AudioTrackTable[Lang0]), EXACT(VLOOKUP("Lang_Aud0", AudioConfiguration[], 2, FALSE), AudioTrackTable[Lang1]))</f>
        <v>0</v>
      </c>
      <c r="J12" s="1">
        <f>AudioTrackTable[IsLangMatchedAud0]*VLOOKUP("Lang_Aud0", AudioConfiguration[], 3, FALSE)</f>
        <v>0</v>
      </c>
      <c r="K12" s="1" t="b">
        <f>OR(EXACT(VLOOKUP("Lang_Aud1", AudioConfiguration[], 2, FALSE), AudioTrackTable[Lang0]), EXACT(VLOOKUP("Lang_Aud1", AudioConfiguration[], 2, FALSE), AudioTrackTable[Lang1]))</f>
        <v>0</v>
      </c>
      <c r="L12" s="1">
        <f>AudioTrackTable[IsLangMatchedAud1]*VLOOKUP("Lang_Aud1", AudioConfiguration[], 3, FALSE)</f>
        <v>0</v>
      </c>
      <c r="M12" s="1" t="b">
        <f>OR(EXACT(VLOOKUP("Lang_Menu", AudioConfiguration[], 2, FALSE), AudioTrackTable[Lang0]), EXACT(VLOOKUP("Lang_Menu", AudioConfiguration[], 2, FALSE), AudioTrackTable[Lang1]))</f>
        <v>0</v>
      </c>
      <c r="N12" s="1">
        <f>AudioTrackTable[IsLangMatchedMenu]*VLOOKUP("Lang_Menu", AudioConfiguration[], 3, FALSE)</f>
        <v>0</v>
      </c>
      <c r="O12" s="1" t="b">
        <f>AND(LEN(AudioTrackTable[[#This Row],[Lang0]])=3, LEN(AudioTrackTable[[#This Row],[Lang1]])=3)</f>
        <v>0</v>
      </c>
      <c r="P12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2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2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2" s="7" t="b">
        <f>IF(EXACT(TRIM(LOWER(AudioTrackTable[Multi])), "yes"), EXACT(TRIM(LOWER(VLOOKUP("Multichannel_User", AudioConfiguration[], 2, FALSE))), "yes"), FALSE())</f>
        <v>0</v>
      </c>
      <c r="T12" s="7" t="b">
        <f>IF(EXACT(TRIM(LOWER(AudioTrackTable[Multi])), "yes"), EXACT(TRIM(LOWER(VLOOKUP("Multichannel_Menu", AudioConfiguration[], 2, FALSE))), "yes"), FALSE())</f>
        <v>0</v>
      </c>
      <c r="U12" s="7" t="b">
        <f>OR(AudioTrackTable[[#This Row],[IsMultiSelectedByUser]:[IsMultiSelectedByMenu]])</f>
        <v>0</v>
      </c>
      <c r="V12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2" s="7" t="b">
        <v>0</v>
      </c>
      <c r="X12" s="6">
        <f>AudioTrackTable[IsFirstTrack]*VLOOKUP("First_Track", AudioConfiguration[], 3, FALSE)</f>
        <v>0</v>
      </c>
      <c r="Y12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2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2" s="7" t="b">
        <f>OR(AudioTrackTable[[#This Row],[AudioDescriptionSelUser]:[AudioDescriptionSelMenu]])</f>
        <v>0</v>
      </c>
      <c r="AB12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-10</v>
      </c>
      <c r="AC12" s="6">
        <f>AudioTrackTable[IsDualMono]*VLOOKUP("Dual_Mono_Base", AudioPriorityTable[], 4, FALSE)</f>
        <v>0</v>
      </c>
      <c r="AD12" s="6">
        <f>AudioTrackTable[Language Score]+AudioTrackTable[Multichannel Score]+AudioTrackTable[AudioDescription Score]+AudioTrackTable[Track Score]+AudioTrackTable[DualMono Score]</f>
        <v>990</v>
      </c>
      <c r="AE12" s="4">
        <f>_xlfn.RANK.EQ(AudioTrackTable[[#This Row],[Score]],AudioTrackTable[Score], 0)</f>
        <v>16</v>
      </c>
      <c r="AF12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2" s="2" t="b">
        <f>EXACT(VLOOKUP("Lang_User", AudioConfiguration[], 2, FALSE), IF(LEN(AudioTrackTable[Lang0])&gt;=3, AudioTrackTable[Lang0], "error"))</f>
        <v>0</v>
      </c>
    </row>
    <row r="13" spans="2:33" x14ac:dyDescent="0.3">
      <c r="C13" s="5" t="str">
        <f>IF(ISBLANK(AudioTrackTable[Track]), "", IFERROR(VLOOKUP(AudioTrackTable[Track], AudioTrackDb[], 2, FALSE), ""))</f>
        <v/>
      </c>
      <c r="D13" s="5" t="str">
        <f>IF(ISBLANK(AudioTrackTable[Track]), "", IFERROR(VLOOKUP(AudioTrackTable[Track], AudioTrackDb[], 3, FALSE), ""))</f>
        <v/>
      </c>
      <c r="E13" s="5" t="str">
        <f>IF(ISBLANK(AudioTrackTable[Track]), "no", IFERROR(VLOOKUP(AudioTrackTable[Track], AudioTrackDb[], 4, FALSE), "no"))</f>
        <v>no</v>
      </c>
      <c r="F13" s="5" t="str">
        <f>IF(ISBLANK(AudioTrackTable[Track]), "no", IFERROR(VLOOKUP(AudioTrackTable[Track], AudioTrackDb[], 5, FALSE), "no"))</f>
        <v>no</v>
      </c>
      <c r="G13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3" s="1">
        <f>AudioTrackTable[IsLangMatchedUser]*VLOOKUP("Lang_User", AudioConfiguration[], 3, FALSE)</f>
        <v>0</v>
      </c>
      <c r="I13" s="1" t="b">
        <f>OR(EXACT(VLOOKUP("Lang_Aud0", AudioConfiguration[], 2, FALSE), AudioTrackTable[Lang0]), EXACT(VLOOKUP("Lang_Aud0", AudioConfiguration[], 2, FALSE), AudioTrackTable[Lang1]))</f>
        <v>0</v>
      </c>
      <c r="J13" s="1">
        <f>AudioTrackTable[IsLangMatchedAud0]*VLOOKUP("Lang_Aud0", AudioConfiguration[], 3, FALSE)</f>
        <v>0</v>
      </c>
      <c r="K13" s="1" t="b">
        <f>OR(EXACT(VLOOKUP("Lang_Aud1", AudioConfiguration[], 2, FALSE), AudioTrackTable[Lang0]), EXACT(VLOOKUP("Lang_Aud1", AudioConfiguration[], 2, FALSE), AudioTrackTable[Lang1]))</f>
        <v>0</v>
      </c>
      <c r="L13" s="1">
        <f>AudioTrackTable[IsLangMatchedAud1]*VLOOKUP("Lang_Aud1", AudioConfiguration[], 3, FALSE)</f>
        <v>0</v>
      </c>
      <c r="M13" s="1" t="b">
        <f>OR(EXACT(VLOOKUP("Lang_Menu", AudioConfiguration[], 2, FALSE), AudioTrackTable[Lang0]), EXACT(VLOOKUP("Lang_Menu", AudioConfiguration[], 2, FALSE), AudioTrackTable[Lang1]))</f>
        <v>0</v>
      </c>
      <c r="N13" s="1">
        <f>AudioTrackTable[IsLangMatchedMenu]*VLOOKUP("Lang_Menu", AudioConfiguration[], 3, FALSE)</f>
        <v>0</v>
      </c>
      <c r="O13" s="1" t="b">
        <f>AND(LEN(AudioTrackTable[[#This Row],[Lang0]])=3, LEN(AudioTrackTable[[#This Row],[Lang1]])=3)</f>
        <v>0</v>
      </c>
      <c r="P13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3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3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3" s="7" t="b">
        <f>IF(EXACT(TRIM(LOWER(AudioTrackTable[Multi])), "yes"), EXACT(TRIM(LOWER(VLOOKUP("Multichannel_User", AudioConfiguration[], 2, FALSE))), "yes"), FALSE())</f>
        <v>0</v>
      </c>
      <c r="T13" s="7" t="b">
        <f>IF(EXACT(TRIM(LOWER(AudioTrackTable[Multi])), "yes"), EXACT(TRIM(LOWER(VLOOKUP("Multichannel_Menu", AudioConfiguration[], 2, FALSE))), "yes"), FALSE())</f>
        <v>0</v>
      </c>
      <c r="U13" s="7" t="b">
        <f>OR(AudioTrackTable[[#This Row],[IsMultiSelectedByUser]:[IsMultiSelectedByMenu]])</f>
        <v>0</v>
      </c>
      <c r="V13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3" s="7" t="b">
        <v>0</v>
      </c>
      <c r="X13" s="6">
        <f>AudioTrackTable[IsFirstTrack]*VLOOKUP("First_Track", AudioConfiguration[], 3, FALSE)</f>
        <v>0</v>
      </c>
      <c r="Y13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3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3" s="7" t="b">
        <f>OR(AudioTrackTable[[#This Row],[AudioDescriptionSelUser]:[AudioDescriptionSelMenu]])</f>
        <v>0</v>
      </c>
      <c r="AB13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3" s="6">
        <f>AudioTrackTable[IsDualMono]*VLOOKUP("Dual_Mono_Base", AudioPriorityTable[], 4, FALSE)</f>
        <v>0</v>
      </c>
      <c r="AD13" s="6">
        <f>AudioTrackTable[Language Score]+AudioTrackTable[Multichannel Score]+AudioTrackTable[AudioDescription Score]+AudioTrackTable[Track Score]+AudioTrackTable[DualMono Score]</f>
        <v>1000</v>
      </c>
      <c r="AE13" s="4">
        <f>_xlfn.RANK.EQ(AudioTrackTable[[#This Row],[Score]],AudioTrackTable[Score], 0)</f>
        <v>4</v>
      </c>
      <c r="AF13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3" s="2"/>
    </row>
    <row r="14" spans="2:33" x14ac:dyDescent="0.3">
      <c r="C14" s="5" t="str">
        <f>IF(ISBLANK(AudioTrackTable[Track]), "", IFERROR(VLOOKUP(AudioTrackTable[Track], AudioTrackDb[], 2, FALSE), ""))</f>
        <v/>
      </c>
      <c r="D14" s="5" t="str">
        <f>IF(ISBLANK(AudioTrackTable[Track]), "", IFERROR(VLOOKUP(AudioTrackTable[Track], AudioTrackDb[], 3, FALSE), ""))</f>
        <v/>
      </c>
      <c r="E14" s="5" t="str">
        <f>IF(ISBLANK(AudioTrackTable[Track]), "no", IFERROR(VLOOKUP(AudioTrackTable[Track], AudioTrackDb[], 4, FALSE), "no"))</f>
        <v>no</v>
      </c>
      <c r="F14" s="5" t="str">
        <f>IF(ISBLANK(AudioTrackTable[Track]), "no", IFERROR(VLOOKUP(AudioTrackTable[Track], AudioTrackDb[], 5, FALSE), "no"))</f>
        <v>no</v>
      </c>
      <c r="G14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4" s="1">
        <f>AudioTrackTable[IsLangMatchedUser]*VLOOKUP("Lang_User", AudioConfiguration[], 3, FALSE)</f>
        <v>0</v>
      </c>
      <c r="I14" s="1" t="b">
        <f>OR(EXACT(VLOOKUP("Lang_Aud0", AudioConfiguration[], 2, FALSE), AudioTrackTable[Lang0]), EXACT(VLOOKUP("Lang_Aud0", AudioConfiguration[], 2, FALSE), AudioTrackTable[Lang1]))</f>
        <v>0</v>
      </c>
      <c r="J14" s="1">
        <f>AudioTrackTable[IsLangMatchedAud0]*VLOOKUP("Lang_Aud0", AudioConfiguration[], 3, FALSE)</f>
        <v>0</v>
      </c>
      <c r="K14" s="1" t="b">
        <f>OR(EXACT(VLOOKUP("Lang_Aud1", AudioConfiguration[], 2, FALSE), AudioTrackTable[Lang0]), EXACT(VLOOKUP("Lang_Aud1", AudioConfiguration[], 2, FALSE), AudioTrackTable[Lang1]))</f>
        <v>0</v>
      </c>
      <c r="L14" s="1">
        <f>AudioTrackTable[IsLangMatchedAud1]*VLOOKUP("Lang_Aud1", AudioConfiguration[], 3, FALSE)</f>
        <v>0</v>
      </c>
      <c r="M14" s="1" t="b">
        <f>OR(EXACT(VLOOKUP("Lang_Menu", AudioConfiguration[], 2, FALSE), AudioTrackTable[Lang0]), EXACT(VLOOKUP("Lang_Menu", AudioConfiguration[], 2, FALSE), AudioTrackTable[Lang1]))</f>
        <v>0</v>
      </c>
      <c r="N14" s="1">
        <f>AudioTrackTable[IsLangMatchedMenu]*VLOOKUP("Lang_Menu", AudioConfiguration[], 3, FALSE)</f>
        <v>0</v>
      </c>
      <c r="O14" s="1" t="b">
        <f>AND(LEN(AudioTrackTable[[#This Row],[Lang0]])=3, LEN(AudioTrackTable[[#This Row],[Lang1]])=3)</f>
        <v>0</v>
      </c>
      <c r="P14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4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4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4" s="7" t="b">
        <f>IF(EXACT(TRIM(LOWER(AudioTrackTable[Multi])), "yes"), EXACT(TRIM(LOWER(VLOOKUP("Multichannel_User", AudioConfiguration[], 2, FALSE))), "yes"), FALSE())</f>
        <v>0</v>
      </c>
      <c r="T14" s="7" t="b">
        <f>IF(EXACT(TRIM(LOWER(AudioTrackTable[Multi])), "yes"), EXACT(TRIM(LOWER(VLOOKUP("Multichannel_Menu", AudioConfiguration[], 2, FALSE))), "yes"), FALSE())</f>
        <v>0</v>
      </c>
      <c r="U14" s="7" t="b">
        <f>OR(AudioTrackTable[[#This Row],[IsMultiSelectedByUser]:[IsMultiSelectedByMenu]])</f>
        <v>0</v>
      </c>
      <c r="V14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4" s="7" t="b">
        <v>0</v>
      </c>
      <c r="X14" s="6">
        <f>AudioTrackTable[IsFirstTrack]*VLOOKUP("First_Track", AudioConfiguration[], 3, FALSE)</f>
        <v>0</v>
      </c>
      <c r="Y14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4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4" s="7" t="b">
        <f>OR(AudioTrackTable[[#This Row],[AudioDescriptionSelUser]:[AudioDescriptionSelMenu]])</f>
        <v>0</v>
      </c>
      <c r="AB14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4" s="6">
        <f>AudioTrackTable[IsDualMono]*VLOOKUP("Dual_Mono_Base", AudioPriorityTable[], 4, FALSE)</f>
        <v>0</v>
      </c>
      <c r="AD14" s="6">
        <f>AudioTrackTable[Language Score]+AudioTrackTable[Multichannel Score]+AudioTrackTable[AudioDescription Score]+AudioTrackTable[Track Score]+AudioTrackTable[DualMono Score]</f>
        <v>1000</v>
      </c>
      <c r="AE14" s="4">
        <f>_xlfn.RANK.EQ(AudioTrackTable[[#This Row],[Score]],AudioTrackTable[Score], 0)</f>
        <v>4</v>
      </c>
      <c r="AF14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4" s="2"/>
    </row>
    <row r="15" spans="2:33" x14ac:dyDescent="0.3">
      <c r="C15" s="5" t="str">
        <f>IF(ISBLANK(AudioTrackTable[Track]), "", IFERROR(VLOOKUP(AudioTrackTable[Track], AudioTrackDb[], 2, FALSE), ""))</f>
        <v/>
      </c>
      <c r="D15" s="5" t="str">
        <f>IF(ISBLANK(AudioTrackTable[Track]), "", IFERROR(VLOOKUP(AudioTrackTable[Track], AudioTrackDb[], 3, FALSE), ""))</f>
        <v/>
      </c>
      <c r="E15" s="5" t="str">
        <f>IF(ISBLANK(AudioTrackTable[Track]), "no", IFERROR(VLOOKUP(AudioTrackTable[Track], AudioTrackDb[], 4, FALSE), "no"))</f>
        <v>no</v>
      </c>
      <c r="F15" s="5" t="str">
        <f>IF(ISBLANK(AudioTrackTable[Track]), "no", IFERROR(VLOOKUP(AudioTrackTable[Track], AudioTrackDb[], 5, FALSE), "no"))</f>
        <v>no</v>
      </c>
      <c r="G15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5" s="1">
        <f>AudioTrackTable[IsLangMatchedUser]*VLOOKUP("Lang_User", AudioConfiguration[], 3, FALSE)</f>
        <v>0</v>
      </c>
      <c r="I15" s="1" t="b">
        <f>OR(EXACT(VLOOKUP("Lang_Aud0", AudioConfiguration[], 2, FALSE), AudioTrackTable[Lang0]), EXACT(VLOOKUP("Lang_Aud0", AudioConfiguration[], 2, FALSE), AudioTrackTable[Lang1]))</f>
        <v>0</v>
      </c>
      <c r="J15" s="1">
        <f>AudioTrackTable[IsLangMatchedAud0]*VLOOKUP("Lang_Aud0", AudioConfiguration[], 3, FALSE)</f>
        <v>0</v>
      </c>
      <c r="K15" s="1" t="b">
        <f>OR(EXACT(VLOOKUP("Lang_Aud1", AudioConfiguration[], 2, FALSE), AudioTrackTable[Lang0]), EXACT(VLOOKUP("Lang_Aud1", AudioConfiguration[], 2, FALSE), AudioTrackTable[Lang1]))</f>
        <v>0</v>
      </c>
      <c r="L15" s="1">
        <f>AudioTrackTable[IsLangMatchedAud1]*VLOOKUP("Lang_Aud1", AudioConfiguration[], 3, FALSE)</f>
        <v>0</v>
      </c>
      <c r="M15" s="1" t="b">
        <f>OR(EXACT(VLOOKUP("Lang_Menu", AudioConfiguration[], 2, FALSE), AudioTrackTable[Lang0]), EXACT(VLOOKUP("Lang_Menu", AudioConfiguration[], 2, FALSE), AudioTrackTable[Lang1]))</f>
        <v>0</v>
      </c>
      <c r="N15" s="1">
        <f>AudioTrackTable[IsLangMatchedMenu]*VLOOKUP("Lang_Menu", AudioConfiguration[], 3, FALSE)</f>
        <v>0</v>
      </c>
      <c r="O15" s="1" t="b">
        <f>AND(LEN(AudioTrackTable[[#This Row],[Lang0]])=3, LEN(AudioTrackTable[[#This Row],[Lang1]])=3)</f>
        <v>0</v>
      </c>
      <c r="P15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5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5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5" s="7" t="b">
        <f>IF(EXACT(TRIM(LOWER(AudioTrackTable[Multi])), "yes"), EXACT(TRIM(LOWER(VLOOKUP("Multichannel_User", AudioConfiguration[], 2, FALSE))), "yes"), FALSE())</f>
        <v>0</v>
      </c>
      <c r="T15" s="7" t="b">
        <f>IF(EXACT(TRIM(LOWER(AudioTrackTable[Multi])), "yes"), EXACT(TRIM(LOWER(VLOOKUP("Multichannel_Menu", AudioConfiguration[], 2, FALSE))), "yes"), FALSE())</f>
        <v>0</v>
      </c>
      <c r="U15" s="7" t="b">
        <f>OR(AudioTrackTable[[#This Row],[IsMultiSelectedByUser]:[IsMultiSelectedByMenu]])</f>
        <v>0</v>
      </c>
      <c r="V15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5" s="7" t="b">
        <v>0</v>
      </c>
      <c r="X15" s="6">
        <f>AudioTrackTable[IsFirstTrack]*VLOOKUP("First_Track", AudioConfiguration[], 3, FALSE)</f>
        <v>0</v>
      </c>
      <c r="Y15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5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5" s="7" t="b">
        <f>OR(AudioTrackTable[[#This Row],[AudioDescriptionSelUser]:[AudioDescriptionSelMenu]])</f>
        <v>0</v>
      </c>
      <c r="AB15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5" s="6">
        <f>AudioTrackTable[IsDualMono]*VLOOKUP("Dual_Mono_Base", AudioPriorityTable[], 4, FALSE)</f>
        <v>0</v>
      </c>
      <c r="AD15" s="6">
        <f>AudioTrackTable[Language Score]+AudioTrackTable[Multichannel Score]+AudioTrackTable[AudioDescription Score]+AudioTrackTable[Track Score]+AudioTrackTable[DualMono Score]</f>
        <v>1000</v>
      </c>
      <c r="AE15" s="4">
        <f>_xlfn.RANK.EQ(AudioTrackTable[[#This Row],[Score]],AudioTrackTable[Score], 0)</f>
        <v>4</v>
      </c>
      <c r="AF15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5" s="2"/>
    </row>
    <row r="16" spans="2:33" x14ac:dyDescent="0.3">
      <c r="C16" s="5" t="str">
        <f>IF(ISBLANK(AudioTrackTable[Track]), "", IFERROR(VLOOKUP(AudioTrackTable[Track], AudioTrackDb[], 2, FALSE), ""))</f>
        <v/>
      </c>
      <c r="D16" s="5" t="str">
        <f>IF(ISBLANK(AudioTrackTable[Track]), "", IFERROR(VLOOKUP(AudioTrackTable[Track], AudioTrackDb[], 3, FALSE), ""))</f>
        <v/>
      </c>
      <c r="E16" s="5" t="str">
        <f>IF(ISBLANK(AudioTrackTable[Track]), "no", IFERROR(VLOOKUP(AudioTrackTable[Track], AudioTrackDb[], 4, FALSE), "no"))</f>
        <v>no</v>
      </c>
      <c r="F16" s="5" t="str">
        <f>IF(ISBLANK(AudioTrackTable[Track]), "no", IFERROR(VLOOKUP(AudioTrackTable[Track], AudioTrackDb[], 5, FALSE), "no"))</f>
        <v>no</v>
      </c>
      <c r="G16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6" s="1">
        <f>AudioTrackTable[IsLangMatchedUser]*VLOOKUP("Lang_User", AudioConfiguration[], 3, FALSE)</f>
        <v>0</v>
      </c>
      <c r="I16" s="1" t="b">
        <f>OR(EXACT(VLOOKUP("Lang_Aud0", AudioConfiguration[], 2, FALSE), AudioTrackTable[Lang0]), EXACT(VLOOKUP("Lang_Aud0", AudioConfiguration[], 2, FALSE), AudioTrackTable[Lang1]))</f>
        <v>0</v>
      </c>
      <c r="J16" s="1">
        <f>AudioTrackTable[IsLangMatchedAud0]*VLOOKUP("Lang_Aud0", AudioConfiguration[], 3, FALSE)</f>
        <v>0</v>
      </c>
      <c r="K16" s="1" t="b">
        <f>OR(EXACT(VLOOKUP("Lang_Aud1", AudioConfiguration[], 2, FALSE), AudioTrackTable[Lang0]), EXACT(VLOOKUP("Lang_Aud1", AudioConfiguration[], 2, FALSE), AudioTrackTable[Lang1]))</f>
        <v>0</v>
      </c>
      <c r="L16" s="1">
        <f>AudioTrackTable[IsLangMatchedAud1]*VLOOKUP("Lang_Aud1", AudioConfiguration[], 3, FALSE)</f>
        <v>0</v>
      </c>
      <c r="M16" s="1" t="b">
        <f>OR(EXACT(VLOOKUP("Lang_Menu", AudioConfiguration[], 2, FALSE), AudioTrackTable[Lang0]), EXACT(VLOOKUP("Lang_Menu", AudioConfiguration[], 2, FALSE), AudioTrackTable[Lang1]))</f>
        <v>0</v>
      </c>
      <c r="N16" s="1">
        <f>AudioTrackTable[IsLangMatchedMenu]*VLOOKUP("Lang_Menu", AudioConfiguration[], 3, FALSE)</f>
        <v>0</v>
      </c>
      <c r="O16" s="1" t="b">
        <f>AND(LEN(AudioTrackTable[[#This Row],[Lang0]])=3, LEN(AudioTrackTable[[#This Row],[Lang1]])=3)</f>
        <v>0</v>
      </c>
      <c r="P16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6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6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6" s="7" t="b">
        <f>IF(EXACT(TRIM(LOWER(AudioTrackTable[Multi])), "yes"), EXACT(TRIM(LOWER(VLOOKUP("Multichannel_User", AudioConfiguration[], 2, FALSE))), "yes"), FALSE())</f>
        <v>0</v>
      </c>
      <c r="T16" s="7" t="b">
        <f>IF(EXACT(TRIM(LOWER(AudioTrackTable[Multi])), "yes"), EXACT(TRIM(LOWER(VLOOKUP("Multichannel_Menu", AudioConfiguration[], 2, FALSE))), "yes"), FALSE())</f>
        <v>0</v>
      </c>
      <c r="U16" s="7" t="b">
        <f>OR(AudioTrackTable[[#This Row],[IsMultiSelectedByUser]:[IsMultiSelectedByMenu]])</f>
        <v>0</v>
      </c>
      <c r="V16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6" s="7" t="b">
        <v>0</v>
      </c>
      <c r="X16" s="6">
        <f>AudioTrackTable[IsFirstTrack]*VLOOKUP("First_Track", AudioConfiguration[], 3, FALSE)</f>
        <v>0</v>
      </c>
      <c r="Y16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6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6" s="7" t="b">
        <f>OR(AudioTrackTable[[#This Row],[AudioDescriptionSelUser]:[AudioDescriptionSelMenu]])</f>
        <v>0</v>
      </c>
      <c r="AB16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6" s="6">
        <f>AudioTrackTable[IsDualMono]*VLOOKUP("Dual_Mono_Base", AudioPriorityTable[], 4, FALSE)</f>
        <v>0</v>
      </c>
      <c r="AD16" s="6">
        <f>AudioTrackTable[Language Score]+AudioTrackTable[Multichannel Score]+AudioTrackTable[AudioDescription Score]+AudioTrackTable[Track Score]+AudioTrackTable[DualMono Score]</f>
        <v>1000</v>
      </c>
      <c r="AE16" s="4">
        <f>_xlfn.RANK.EQ(AudioTrackTable[[#This Row],[Score]],AudioTrackTable[Score], 0)</f>
        <v>4</v>
      </c>
      <c r="AF16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6" s="2"/>
    </row>
    <row r="17" spans="2:33" x14ac:dyDescent="0.3">
      <c r="C17" s="5" t="str">
        <f>IF(ISBLANK(AudioTrackTable[Track]), "", IFERROR(VLOOKUP(AudioTrackTable[Track], AudioTrackDb[], 2, FALSE), ""))</f>
        <v/>
      </c>
      <c r="D17" s="5" t="str">
        <f>IF(ISBLANK(AudioTrackTable[Track]), "", IFERROR(VLOOKUP(AudioTrackTable[Track], AudioTrackDb[], 3, FALSE), ""))</f>
        <v/>
      </c>
      <c r="E17" s="5" t="str">
        <f>IF(ISBLANK(AudioTrackTable[Track]), "no", IFERROR(VLOOKUP(AudioTrackTable[Track], AudioTrackDb[], 4, FALSE), "no"))</f>
        <v>no</v>
      </c>
      <c r="F17" s="5" t="str">
        <f>IF(ISBLANK(AudioTrackTable[Track]), "no", IFERROR(VLOOKUP(AudioTrackTable[Track], AudioTrackDb[], 5, FALSE), "no"))</f>
        <v>no</v>
      </c>
      <c r="G17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7" s="1">
        <f>AudioTrackTable[IsLangMatchedUser]*VLOOKUP("Lang_User", AudioConfiguration[], 3, FALSE)</f>
        <v>0</v>
      </c>
      <c r="I17" s="1" t="b">
        <f>OR(EXACT(VLOOKUP("Lang_Aud0", AudioConfiguration[], 2, FALSE), AudioTrackTable[Lang0]), EXACT(VLOOKUP("Lang_Aud0", AudioConfiguration[], 2, FALSE), AudioTrackTable[Lang1]))</f>
        <v>0</v>
      </c>
      <c r="J17" s="1">
        <f>AudioTrackTable[IsLangMatchedAud0]*VLOOKUP("Lang_Aud0", AudioConfiguration[], 3, FALSE)</f>
        <v>0</v>
      </c>
      <c r="K17" s="1" t="b">
        <f>OR(EXACT(VLOOKUP("Lang_Aud1", AudioConfiguration[], 2, FALSE), AudioTrackTable[Lang0]), EXACT(VLOOKUP("Lang_Aud1", AudioConfiguration[], 2, FALSE), AudioTrackTable[Lang1]))</f>
        <v>0</v>
      </c>
      <c r="L17" s="1">
        <f>AudioTrackTable[IsLangMatchedAud1]*VLOOKUP("Lang_Aud1", AudioConfiguration[], 3, FALSE)</f>
        <v>0</v>
      </c>
      <c r="M17" s="1" t="b">
        <f>OR(EXACT(VLOOKUP("Lang_Menu", AudioConfiguration[], 2, FALSE), AudioTrackTable[Lang0]), EXACT(VLOOKUP("Lang_Menu", AudioConfiguration[], 2, FALSE), AudioTrackTable[Lang1]))</f>
        <v>0</v>
      </c>
      <c r="N17" s="1">
        <f>AudioTrackTable[IsLangMatchedMenu]*VLOOKUP("Lang_Menu", AudioConfiguration[], 3, FALSE)</f>
        <v>0</v>
      </c>
      <c r="O17" s="1" t="b">
        <f>AND(LEN(AudioTrackTable[[#This Row],[Lang0]])=3, LEN(AudioTrackTable[[#This Row],[Lang1]])=3)</f>
        <v>0</v>
      </c>
      <c r="P17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7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7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7" s="7" t="b">
        <f>IF(EXACT(TRIM(LOWER(AudioTrackTable[Multi])), "yes"), EXACT(TRIM(LOWER(VLOOKUP("Multichannel_User", AudioConfiguration[], 2, FALSE))), "yes"), FALSE())</f>
        <v>0</v>
      </c>
      <c r="T17" s="7" t="b">
        <f>IF(EXACT(TRIM(LOWER(AudioTrackTable[Multi])), "yes"), EXACT(TRIM(LOWER(VLOOKUP("Multichannel_Menu", AudioConfiguration[], 2, FALSE))), "yes"), FALSE())</f>
        <v>0</v>
      </c>
      <c r="U17" s="7" t="b">
        <f>OR(AudioTrackTable[[#This Row],[IsMultiSelectedByUser]:[IsMultiSelectedByMenu]])</f>
        <v>0</v>
      </c>
      <c r="V17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7" s="7" t="b">
        <v>0</v>
      </c>
      <c r="X17" s="6">
        <f>AudioTrackTable[IsFirstTrack]*VLOOKUP("First_Track", AudioConfiguration[], 3, FALSE)</f>
        <v>0</v>
      </c>
      <c r="Y17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7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7" s="7" t="b">
        <f>OR(AudioTrackTable[[#This Row],[AudioDescriptionSelUser]:[AudioDescriptionSelMenu]])</f>
        <v>0</v>
      </c>
      <c r="AB17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7" s="6">
        <f>AudioTrackTable[IsDualMono]*VLOOKUP("Dual_Mono_Base", AudioPriorityTable[], 4, FALSE)</f>
        <v>0</v>
      </c>
      <c r="AD17" s="6">
        <f>AudioTrackTable[Language Score]+AudioTrackTable[Multichannel Score]+AudioTrackTable[AudioDescription Score]+AudioTrackTable[Track Score]+AudioTrackTable[DualMono Score]</f>
        <v>1000</v>
      </c>
      <c r="AE17" s="4">
        <f>_xlfn.RANK.EQ(AudioTrackTable[[#This Row],[Score]],AudioTrackTable[Score], 0)</f>
        <v>4</v>
      </c>
      <c r="AF17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7" s="2"/>
    </row>
    <row r="18" spans="2:33" x14ac:dyDescent="0.3">
      <c r="C18" s="5" t="str">
        <f>IF(ISBLANK(AudioTrackTable[Track]), "", IFERROR(VLOOKUP(AudioTrackTable[Track], AudioTrackDb[], 2, FALSE), ""))</f>
        <v/>
      </c>
      <c r="D18" s="5" t="str">
        <f>IF(ISBLANK(AudioTrackTable[Track]), "", IFERROR(VLOOKUP(AudioTrackTable[Track], AudioTrackDb[], 3, FALSE), ""))</f>
        <v/>
      </c>
      <c r="E18" s="5" t="str">
        <f>IF(ISBLANK(AudioTrackTable[Track]), "no", IFERROR(VLOOKUP(AudioTrackTable[Track], AudioTrackDb[], 4, FALSE), "no"))</f>
        <v>no</v>
      </c>
      <c r="F18" s="5" t="str">
        <f>IF(ISBLANK(AudioTrackTable[Track]), "no", IFERROR(VLOOKUP(AudioTrackTable[Track], AudioTrackDb[], 5, FALSE), "no"))</f>
        <v>no</v>
      </c>
      <c r="G18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8" s="1">
        <f>AudioTrackTable[IsLangMatchedUser]*VLOOKUP("Lang_User", AudioConfiguration[], 3, FALSE)</f>
        <v>0</v>
      </c>
      <c r="I18" s="1" t="b">
        <f>OR(EXACT(VLOOKUP("Lang_Aud0", AudioConfiguration[], 2, FALSE), AudioTrackTable[Lang0]), EXACT(VLOOKUP("Lang_Aud0", AudioConfiguration[], 2, FALSE), AudioTrackTable[Lang1]))</f>
        <v>0</v>
      </c>
      <c r="J18" s="1">
        <f>AudioTrackTable[IsLangMatchedAud0]*VLOOKUP("Lang_Aud0", AudioConfiguration[], 3, FALSE)</f>
        <v>0</v>
      </c>
      <c r="K18" s="1" t="b">
        <f>OR(EXACT(VLOOKUP("Lang_Aud1", AudioConfiguration[], 2, FALSE), AudioTrackTable[Lang0]), EXACT(VLOOKUP("Lang_Aud1", AudioConfiguration[], 2, FALSE), AudioTrackTable[Lang1]))</f>
        <v>0</v>
      </c>
      <c r="L18" s="1">
        <f>AudioTrackTable[IsLangMatchedAud1]*VLOOKUP("Lang_Aud1", AudioConfiguration[], 3, FALSE)</f>
        <v>0</v>
      </c>
      <c r="M18" s="1" t="b">
        <f>OR(EXACT(VLOOKUP("Lang_Menu", AudioConfiguration[], 2, FALSE), AudioTrackTable[Lang0]), EXACT(VLOOKUP("Lang_Menu", AudioConfiguration[], 2, FALSE), AudioTrackTable[Lang1]))</f>
        <v>0</v>
      </c>
      <c r="N18" s="1">
        <f>AudioTrackTable[IsLangMatchedMenu]*VLOOKUP("Lang_Menu", AudioConfiguration[], 3, FALSE)</f>
        <v>0</v>
      </c>
      <c r="O18" s="1" t="b">
        <f>AND(LEN(AudioTrackTable[[#This Row],[Lang0]])=3, LEN(AudioTrackTable[[#This Row],[Lang1]])=3)</f>
        <v>0</v>
      </c>
      <c r="P18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8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8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8" s="7" t="b">
        <f>IF(EXACT(TRIM(LOWER(AudioTrackTable[Multi])), "yes"), EXACT(TRIM(LOWER(VLOOKUP("Multichannel_User", AudioConfiguration[], 2, FALSE))), "yes"), FALSE())</f>
        <v>0</v>
      </c>
      <c r="T18" s="7" t="b">
        <f>IF(EXACT(TRIM(LOWER(AudioTrackTable[Multi])), "yes"), EXACT(TRIM(LOWER(VLOOKUP("Multichannel_Menu", AudioConfiguration[], 2, FALSE))), "yes"), FALSE())</f>
        <v>0</v>
      </c>
      <c r="U18" s="7" t="b">
        <f>OR(AudioTrackTable[[#This Row],[IsMultiSelectedByUser]:[IsMultiSelectedByMenu]])</f>
        <v>0</v>
      </c>
      <c r="V18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8" s="7" t="b">
        <v>0</v>
      </c>
      <c r="X18" s="6">
        <f>AudioTrackTable[IsFirstTrack]*VLOOKUP("First_Track", AudioConfiguration[], 3, FALSE)</f>
        <v>0</v>
      </c>
      <c r="Y18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8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8" s="7" t="b">
        <f>OR(AudioTrackTable[[#This Row],[AudioDescriptionSelUser]:[AudioDescriptionSelMenu]])</f>
        <v>0</v>
      </c>
      <c r="AB18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8" s="6">
        <f>AudioTrackTable[IsDualMono]*VLOOKUP("Dual_Mono_Base", AudioPriorityTable[], 4, FALSE)</f>
        <v>0</v>
      </c>
      <c r="AD18" s="6">
        <f>AudioTrackTable[Language Score]+AudioTrackTable[Multichannel Score]+AudioTrackTable[AudioDescription Score]+AudioTrackTable[Track Score]+AudioTrackTable[DualMono Score]</f>
        <v>1000</v>
      </c>
      <c r="AE18" s="4">
        <f>_xlfn.RANK.EQ(AudioTrackTable[[#This Row],[Score]],AudioTrackTable[Score], 0)</f>
        <v>4</v>
      </c>
      <c r="AF18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8" s="2"/>
    </row>
    <row r="19" spans="2:33" x14ac:dyDescent="0.3">
      <c r="C19" s="5" t="str">
        <f>IF(ISBLANK(AudioTrackTable[Track]), "", IFERROR(VLOOKUP(AudioTrackTable[Track], AudioTrackDb[], 2, FALSE), ""))</f>
        <v/>
      </c>
      <c r="D19" s="5" t="str">
        <f>IF(ISBLANK(AudioTrackTable[Track]), "", IFERROR(VLOOKUP(AudioTrackTable[Track], AudioTrackDb[], 3, FALSE), ""))</f>
        <v/>
      </c>
      <c r="E19" s="5" t="str">
        <f>IF(ISBLANK(AudioTrackTable[Track]), "no", IFERROR(VLOOKUP(AudioTrackTable[Track], AudioTrackDb[], 4, FALSE), "no"))</f>
        <v>no</v>
      </c>
      <c r="F19" s="5" t="str">
        <f>IF(ISBLANK(AudioTrackTable[Track]), "no", IFERROR(VLOOKUP(AudioTrackTable[Track], AudioTrackDb[], 5, FALSE), "no"))</f>
        <v>no</v>
      </c>
      <c r="G19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19" s="1">
        <f>AudioTrackTable[IsLangMatchedUser]*VLOOKUP("Lang_User", AudioConfiguration[], 3, FALSE)</f>
        <v>0</v>
      </c>
      <c r="I19" s="1" t="b">
        <f>OR(EXACT(VLOOKUP("Lang_Aud0", AudioConfiguration[], 2, FALSE), AudioTrackTable[Lang0]), EXACT(VLOOKUP("Lang_Aud0", AudioConfiguration[], 2, FALSE), AudioTrackTable[Lang1]))</f>
        <v>0</v>
      </c>
      <c r="J19" s="1">
        <f>AudioTrackTable[IsLangMatchedAud0]*VLOOKUP("Lang_Aud0", AudioConfiguration[], 3, FALSE)</f>
        <v>0</v>
      </c>
      <c r="K19" s="1" t="b">
        <f>OR(EXACT(VLOOKUP("Lang_Aud1", AudioConfiguration[], 2, FALSE), AudioTrackTable[Lang0]), EXACT(VLOOKUP("Lang_Aud1", AudioConfiguration[], 2, FALSE), AudioTrackTable[Lang1]))</f>
        <v>0</v>
      </c>
      <c r="L19" s="1">
        <f>AudioTrackTable[IsLangMatchedAud1]*VLOOKUP("Lang_Aud1", AudioConfiguration[], 3, FALSE)</f>
        <v>0</v>
      </c>
      <c r="M19" s="1" t="b">
        <f>OR(EXACT(VLOOKUP("Lang_Menu", AudioConfiguration[], 2, FALSE), AudioTrackTable[Lang0]), EXACT(VLOOKUP("Lang_Menu", AudioConfiguration[], 2, FALSE), AudioTrackTable[Lang1]))</f>
        <v>0</v>
      </c>
      <c r="N19" s="1">
        <f>AudioTrackTable[IsLangMatchedMenu]*VLOOKUP("Lang_Menu", AudioConfiguration[], 3, FALSE)</f>
        <v>0</v>
      </c>
      <c r="O19" s="1" t="b">
        <f>AND(LEN(AudioTrackTable[[#This Row],[Lang0]])=3, LEN(AudioTrackTable[[#This Row],[Lang1]])=3)</f>
        <v>0</v>
      </c>
      <c r="P19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19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19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19" s="7" t="b">
        <f>IF(EXACT(TRIM(LOWER(AudioTrackTable[Multi])), "yes"), EXACT(TRIM(LOWER(VLOOKUP("Multichannel_User", AudioConfiguration[], 2, FALSE))), "yes"), FALSE())</f>
        <v>0</v>
      </c>
      <c r="T19" s="7" t="b">
        <f>IF(EXACT(TRIM(LOWER(AudioTrackTable[Multi])), "yes"), EXACT(TRIM(LOWER(VLOOKUP("Multichannel_Menu", AudioConfiguration[], 2, FALSE))), "yes"), FALSE())</f>
        <v>0</v>
      </c>
      <c r="U19" s="7" t="b">
        <f>OR(AudioTrackTable[[#This Row],[IsMultiSelectedByUser]:[IsMultiSelectedByMenu]])</f>
        <v>0</v>
      </c>
      <c r="V19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19" s="7" t="b">
        <v>0</v>
      </c>
      <c r="X19" s="6">
        <f>AudioTrackTable[IsFirstTrack]*VLOOKUP("First_Track", AudioConfiguration[], 3, FALSE)</f>
        <v>0</v>
      </c>
      <c r="Y19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19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19" s="7" t="b">
        <f>OR(AudioTrackTable[[#This Row],[AudioDescriptionSelUser]:[AudioDescriptionSelMenu]])</f>
        <v>0</v>
      </c>
      <c r="AB19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19" s="6">
        <f>AudioTrackTable[IsDualMono]*VLOOKUP("Dual_Mono_Base", AudioPriorityTable[], 4, FALSE)</f>
        <v>0</v>
      </c>
      <c r="AD19" s="6">
        <f>AudioTrackTable[Language Score]+AudioTrackTable[Multichannel Score]+AudioTrackTable[AudioDescription Score]+AudioTrackTable[Track Score]+AudioTrackTable[DualMono Score]</f>
        <v>1000</v>
      </c>
      <c r="AE19" s="4">
        <f>_xlfn.RANK.EQ(AudioTrackTable[[#This Row],[Score]],AudioTrackTable[Score], 0)</f>
        <v>4</v>
      </c>
      <c r="AF19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19" s="2"/>
    </row>
    <row r="20" spans="2:33" x14ac:dyDescent="0.3">
      <c r="C20" s="5" t="str">
        <f>IF(ISBLANK(AudioTrackTable[Track]), "", IFERROR(VLOOKUP(AudioTrackTable[Track], AudioTrackDb[], 2, FALSE), ""))</f>
        <v/>
      </c>
      <c r="D20" s="5" t="str">
        <f>IF(ISBLANK(AudioTrackTable[Track]), "", IFERROR(VLOOKUP(AudioTrackTable[Track], AudioTrackDb[], 3, FALSE), ""))</f>
        <v/>
      </c>
      <c r="E20" s="5" t="str">
        <f>IF(ISBLANK(AudioTrackTable[Track]), "no", IFERROR(VLOOKUP(AudioTrackTable[Track], AudioTrackDb[], 4, FALSE), "no"))</f>
        <v>no</v>
      </c>
      <c r="F20" s="5" t="str">
        <f>IF(ISBLANK(AudioTrackTable[Track]), "no", IFERROR(VLOOKUP(AudioTrackTable[Track], AudioTrackDb[], 5, FALSE), "no"))</f>
        <v>no</v>
      </c>
      <c r="G20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20" s="1">
        <f>AudioTrackTable[IsLangMatchedUser]*VLOOKUP("Lang_User", AudioConfiguration[], 3, FALSE)</f>
        <v>0</v>
      </c>
      <c r="I20" s="1" t="b">
        <f>OR(EXACT(VLOOKUP("Lang_Aud0", AudioConfiguration[], 2, FALSE), AudioTrackTable[Lang0]), EXACT(VLOOKUP("Lang_Aud0", AudioConfiguration[], 2, FALSE), AudioTrackTable[Lang1]))</f>
        <v>0</v>
      </c>
      <c r="J20" s="1">
        <f>AudioTrackTable[IsLangMatchedAud0]*VLOOKUP("Lang_Aud0", AudioConfiguration[], 3, FALSE)</f>
        <v>0</v>
      </c>
      <c r="K20" s="1" t="b">
        <f>OR(EXACT(VLOOKUP("Lang_Aud1", AudioConfiguration[], 2, FALSE), AudioTrackTable[Lang0]), EXACT(VLOOKUP("Lang_Aud1", AudioConfiguration[], 2, FALSE), AudioTrackTable[Lang1]))</f>
        <v>0</v>
      </c>
      <c r="L20" s="1">
        <f>AudioTrackTable[IsLangMatchedAud1]*VLOOKUP("Lang_Aud1", AudioConfiguration[], 3, FALSE)</f>
        <v>0</v>
      </c>
      <c r="M20" s="1" t="b">
        <f>OR(EXACT(VLOOKUP("Lang_Menu", AudioConfiguration[], 2, FALSE), AudioTrackTable[Lang0]), EXACT(VLOOKUP("Lang_Menu", AudioConfiguration[], 2, FALSE), AudioTrackTable[Lang1]))</f>
        <v>0</v>
      </c>
      <c r="N20" s="1">
        <f>AudioTrackTable[IsLangMatchedMenu]*VLOOKUP("Lang_Menu", AudioConfiguration[], 3, FALSE)</f>
        <v>0</v>
      </c>
      <c r="O20" s="1" t="b">
        <f>AND(LEN(AudioTrackTable[[#This Row],[Lang0]])=3, LEN(AudioTrackTable[[#This Row],[Lang1]])=3)</f>
        <v>0</v>
      </c>
      <c r="P20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20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20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20" s="7" t="b">
        <f>IF(EXACT(TRIM(LOWER(AudioTrackTable[Multi])), "yes"), EXACT(TRIM(LOWER(VLOOKUP("Multichannel_User", AudioConfiguration[], 2, FALSE))), "yes"), FALSE())</f>
        <v>0</v>
      </c>
      <c r="T20" s="7" t="b">
        <f>IF(EXACT(TRIM(LOWER(AudioTrackTable[Multi])), "yes"), EXACT(TRIM(LOWER(VLOOKUP("Multichannel_Menu", AudioConfiguration[], 2, FALSE))), "yes"), FALSE())</f>
        <v>0</v>
      </c>
      <c r="U20" s="7" t="b">
        <f>OR(AudioTrackTable[[#This Row],[IsMultiSelectedByUser]:[IsMultiSelectedByMenu]])</f>
        <v>0</v>
      </c>
      <c r="V20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20" s="7" t="b">
        <v>0</v>
      </c>
      <c r="X20" s="6">
        <f>AudioTrackTable[IsFirstTrack]*VLOOKUP("First_Track", AudioConfiguration[], 3, FALSE)</f>
        <v>0</v>
      </c>
      <c r="Y20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20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20" s="7" t="b">
        <f>OR(AudioTrackTable[[#This Row],[AudioDescriptionSelUser]:[AudioDescriptionSelMenu]])</f>
        <v>0</v>
      </c>
      <c r="AB20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20" s="6">
        <f>AudioTrackTable[IsDualMono]*VLOOKUP("Dual_Mono_Base", AudioPriorityTable[], 4, FALSE)</f>
        <v>0</v>
      </c>
      <c r="AD20" s="6">
        <f>AudioTrackTable[Language Score]+AudioTrackTable[Multichannel Score]+AudioTrackTable[AudioDescription Score]+AudioTrackTable[Track Score]+AudioTrackTable[DualMono Score]</f>
        <v>1000</v>
      </c>
      <c r="AE20" s="4">
        <f>_xlfn.RANK.EQ(AudioTrackTable[[#This Row],[Score]],AudioTrackTable[Score], 0)</f>
        <v>4</v>
      </c>
      <c r="AF20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20" s="2"/>
    </row>
    <row r="21" spans="2:33" x14ac:dyDescent="0.3">
      <c r="C21" s="5" t="str">
        <f>IF(ISBLANK(AudioTrackTable[Track]), "", IFERROR(VLOOKUP(AudioTrackTable[Track], AudioTrackDb[], 2, FALSE), ""))</f>
        <v/>
      </c>
      <c r="D21" s="5" t="str">
        <f>IF(ISBLANK(AudioTrackTable[Track]), "", IFERROR(VLOOKUP(AudioTrackTable[Track], AudioTrackDb[], 3, FALSE), ""))</f>
        <v/>
      </c>
      <c r="E21" s="5" t="str">
        <f>IF(ISBLANK(AudioTrackTable[Track]), "no", IFERROR(VLOOKUP(AudioTrackTable[Track], AudioTrackDb[], 4, FALSE), "no"))</f>
        <v>no</v>
      </c>
      <c r="F21" s="5" t="str">
        <f>IF(ISBLANK(AudioTrackTable[Track]), "no", IFERROR(VLOOKUP(AudioTrackTable[Track], AudioTrackDb[], 5, FALSE), "no"))</f>
        <v>no</v>
      </c>
      <c r="G21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21" s="1">
        <f>AudioTrackTable[IsLangMatchedUser]*VLOOKUP("Lang_User", AudioConfiguration[], 3, FALSE)</f>
        <v>0</v>
      </c>
      <c r="I21" s="1" t="b">
        <f>OR(EXACT(VLOOKUP("Lang_Aud0", AudioConfiguration[], 2, FALSE), AudioTrackTable[Lang0]), EXACT(VLOOKUP("Lang_Aud0", AudioConfiguration[], 2, FALSE), AudioTrackTable[Lang1]))</f>
        <v>0</v>
      </c>
      <c r="J21" s="1">
        <f>AudioTrackTable[IsLangMatchedAud0]*VLOOKUP("Lang_Aud0", AudioConfiguration[], 3, FALSE)</f>
        <v>0</v>
      </c>
      <c r="K21" s="1" t="b">
        <f>OR(EXACT(VLOOKUP("Lang_Aud1", AudioConfiguration[], 2, FALSE), AudioTrackTable[Lang0]), EXACT(VLOOKUP("Lang_Aud1", AudioConfiguration[], 2, FALSE), AudioTrackTable[Lang1]))</f>
        <v>0</v>
      </c>
      <c r="L21" s="1">
        <f>AudioTrackTable[IsLangMatchedAud1]*VLOOKUP("Lang_Aud1", AudioConfiguration[], 3, FALSE)</f>
        <v>0</v>
      </c>
      <c r="M21" s="1" t="b">
        <f>OR(EXACT(VLOOKUP("Lang_Menu", AudioConfiguration[], 2, FALSE), AudioTrackTable[Lang0]), EXACT(VLOOKUP("Lang_Menu", AudioConfiguration[], 2, FALSE), AudioTrackTable[Lang1]))</f>
        <v>0</v>
      </c>
      <c r="N21" s="1">
        <f>AudioTrackTable[IsLangMatchedMenu]*VLOOKUP("Lang_Menu", AudioConfiguration[], 3, FALSE)</f>
        <v>0</v>
      </c>
      <c r="O21" s="1" t="b">
        <f>AND(LEN(AudioTrackTable[[#This Row],[Lang0]])=3, LEN(AudioTrackTable[[#This Row],[Lang1]])=3)</f>
        <v>0</v>
      </c>
      <c r="P21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21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21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21" s="7" t="b">
        <f>IF(EXACT(TRIM(LOWER(AudioTrackTable[Multi])), "yes"), EXACT(TRIM(LOWER(VLOOKUP("Multichannel_User", AudioConfiguration[], 2, FALSE))), "yes"), FALSE())</f>
        <v>0</v>
      </c>
      <c r="T21" s="7" t="b">
        <f>IF(EXACT(TRIM(LOWER(AudioTrackTable[Multi])), "yes"), EXACT(TRIM(LOWER(VLOOKUP("Multichannel_Menu", AudioConfiguration[], 2, FALSE))), "yes"), FALSE())</f>
        <v>0</v>
      </c>
      <c r="U21" s="7" t="b">
        <f>OR(AudioTrackTable[[#This Row],[IsMultiSelectedByUser]:[IsMultiSelectedByMenu]])</f>
        <v>0</v>
      </c>
      <c r="V21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21" s="7" t="b">
        <v>0</v>
      </c>
      <c r="X21" s="6">
        <f>AudioTrackTable[IsFirstTrack]*VLOOKUP("First_Track", AudioConfiguration[], 3, FALSE)</f>
        <v>0</v>
      </c>
      <c r="Y21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21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21" s="7" t="b">
        <f>OR(AudioTrackTable[[#This Row],[AudioDescriptionSelUser]:[AudioDescriptionSelMenu]])</f>
        <v>0</v>
      </c>
      <c r="AB21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21" s="6">
        <f>AudioTrackTable[IsDualMono]*VLOOKUP("Dual_Mono_Base", AudioPriorityTable[], 4, FALSE)</f>
        <v>0</v>
      </c>
      <c r="AD21" s="6">
        <f>AudioTrackTable[Language Score]+AudioTrackTable[Multichannel Score]+AudioTrackTable[AudioDescription Score]+AudioTrackTable[Track Score]+AudioTrackTable[DualMono Score]</f>
        <v>1000</v>
      </c>
      <c r="AE21" s="4">
        <f>_xlfn.RANK.EQ(AudioTrackTable[[#This Row],[Score]],AudioTrackTable[Score], 0)</f>
        <v>4</v>
      </c>
      <c r="AF21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21" s="2"/>
    </row>
    <row r="22" spans="2:33" x14ac:dyDescent="0.3">
      <c r="C22" s="5" t="str">
        <f>IF(ISBLANK(AudioTrackTable[Track]), "", IFERROR(VLOOKUP(AudioTrackTable[Track], AudioTrackDb[], 2, FALSE), ""))</f>
        <v/>
      </c>
      <c r="D22" s="5" t="str">
        <f>IF(ISBLANK(AudioTrackTable[Track]), "", IFERROR(VLOOKUP(AudioTrackTable[Track], AudioTrackDb[], 3, FALSE), ""))</f>
        <v/>
      </c>
      <c r="E22" s="5" t="str">
        <f>IF(ISBLANK(AudioTrackTable[Track]), "no", IFERROR(VLOOKUP(AudioTrackTable[Track], AudioTrackDb[], 4, FALSE), "no"))</f>
        <v>no</v>
      </c>
      <c r="F22" s="5" t="str">
        <f>IF(ISBLANK(AudioTrackTable[Track]), "no", IFERROR(VLOOKUP(AudioTrackTable[Track], AudioTrackDb[], 5, FALSE), "no"))</f>
        <v>no</v>
      </c>
      <c r="G22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22" s="1">
        <f>AudioTrackTable[IsLangMatchedUser]*VLOOKUP("Lang_User", AudioConfiguration[], 3, FALSE)</f>
        <v>0</v>
      </c>
      <c r="I22" s="1" t="b">
        <f>OR(EXACT(VLOOKUP("Lang_Aud0", AudioConfiguration[], 2, FALSE), AudioTrackTable[Lang0]), EXACT(VLOOKUP("Lang_Aud0", AudioConfiguration[], 2, FALSE), AudioTrackTable[Lang1]))</f>
        <v>0</v>
      </c>
      <c r="J22" s="1">
        <f>AudioTrackTable[IsLangMatchedAud0]*VLOOKUP("Lang_Aud0", AudioConfiguration[], 3, FALSE)</f>
        <v>0</v>
      </c>
      <c r="K22" s="1" t="b">
        <f>OR(EXACT(VLOOKUP("Lang_Aud1", AudioConfiguration[], 2, FALSE), AudioTrackTable[Lang0]), EXACT(VLOOKUP("Lang_Aud1", AudioConfiguration[], 2, FALSE), AudioTrackTable[Lang1]))</f>
        <v>0</v>
      </c>
      <c r="L22" s="1">
        <f>AudioTrackTable[IsLangMatchedAud1]*VLOOKUP("Lang_Aud1", AudioConfiguration[], 3, FALSE)</f>
        <v>0</v>
      </c>
      <c r="M22" s="1" t="b">
        <f>OR(EXACT(VLOOKUP("Lang_Menu", AudioConfiguration[], 2, FALSE), AudioTrackTable[Lang0]), EXACT(VLOOKUP("Lang_Menu", AudioConfiguration[], 2, FALSE), AudioTrackTable[Lang1]))</f>
        <v>0</v>
      </c>
      <c r="N22" s="1">
        <f>AudioTrackTable[IsLangMatchedMenu]*VLOOKUP("Lang_Menu", AudioConfiguration[], 3, FALSE)</f>
        <v>0</v>
      </c>
      <c r="O22" s="1" t="b">
        <f>AND(LEN(AudioTrackTable[[#This Row],[Lang0]])=3, LEN(AudioTrackTable[[#This Row],[Lang1]])=3)</f>
        <v>0</v>
      </c>
      <c r="P22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22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22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22" s="7" t="b">
        <f>IF(EXACT(TRIM(LOWER(AudioTrackTable[Multi])), "yes"), EXACT(TRIM(LOWER(VLOOKUP("Multichannel_User", AudioConfiguration[], 2, FALSE))), "yes"), FALSE())</f>
        <v>0</v>
      </c>
      <c r="T22" s="7" t="b">
        <f>IF(EXACT(TRIM(LOWER(AudioTrackTable[Multi])), "yes"), EXACT(TRIM(LOWER(VLOOKUP("Multichannel_Menu", AudioConfiguration[], 2, FALSE))), "yes"), FALSE())</f>
        <v>0</v>
      </c>
      <c r="U22" s="7" t="b">
        <f>OR(AudioTrackTable[[#This Row],[IsMultiSelectedByUser]:[IsMultiSelectedByMenu]])</f>
        <v>0</v>
      </c>
      <c r="V22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22" s="7" t="b">
        <v>0</v>
      </c>
      <c r="X22" s="6">
        <f>AudioTrackTable[IsFirstTrack]*VLOOKUP("First_Track", AudioConfiguration[], 3, FALSE)</f>
        <v>0</v>
      </c>
      <c r="Y22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22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22" s="7" t="b">
        <f>OR(AudioTrackTable[[#This Row],[AudioDescriptionSelUser]:[AudioDescriptionSelMenu]])</f>
        <v>0</v>
      </c>
      <c r="AB22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22" s="6">
        <f>AudioTrackTable[IsDualMono]*VLOOKUP("Dual_Mono_Base", AudioPriorityTable[], 4, FALSE)</f>
        <v>0</v>
      </c>
      <c r="AD22" s="6">
        <f>AudioTrackTable[Language Score]+AudioTrackTable[Multichannel Score]+AudioTrackTable[AudioDescription Score]+AudioTrackTable[Track Score]+AudioTrackTable[DualMono Score]</f>
        <v>1000</v>
      </c>
      <c r="AE22" s="4">
        <f>_xlfn.RANK.EQ(AudioTrackTable[[#This Row],[Score]],AudioTrackTable[Score], 0)</f>
        <v>4</v>
      </c>
      <c r="AF22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22" s="2"/>
    </row>
    <row r="23" spans="2:33" x14ac:dyDescent="0.3">
      <c r="C23" s="5" t="str">
        <f>IF(ISBLANK(AudioTrackTable[Track]), "", IFERROR(VLOOKUP(AudioTrackTable[Track], AudioTrackDb[], 2, FALSE), ""))</f>
        <v/>
      </c>
      <c r="D23" s="5" t="str">
        <f>IF(ISBLANK(AudioTrackTable[Track]), "", IFERROR(VLOOKUP(AudioTrackTable[Track], AudioTrackDb[], 3, FALSE), ""))</f>
        <v/>
      </c>
      <c r="E23" s="5" t="str">
        <f>IF(ISBLANK(AudioTrackTable[Track]), "no", IFERROR(VLOOKUP(AudioTrackTable[Track], AudioTrackDb[], 4, FALSE), "no"))</f>
        <v>no</v>
      </c>
      <c r="F23" s="5" t="str">
        <f>IF(ISBLANK(AudioTrackTable[Track]), "no", IFERROR(VLOOKUP(AudioTrackTable[Track], AudioTrackDb[], 5, FALSE), "no"))</f>
        <v>no</v>
      </c>
      <c r="G23" s="1" t="b">
        <f>OR(EXACT(VLOOKUP("Lang_User", AudioConfiguration[], 2, FALSE), IF(LEN(AudioTrackTable[Lang0])=3, AudioTrackTable[Lang0], "error")), EXACT(VLOOKUP("Lang_User", AudioConfiguration[], 2, FALSE), IF(LEN(AudioTrackTable[Lang1])=3, AudioTrackTable[Lang1], "error")))</f>
        <v>0</v>
      </c>
      <c r="H23" s="1">
        <f>AudioTrackTable[IsLangMatchedUser]*VLOOKUP("Lang_User", AudioConfiguration[], 3, FALSE)</f>
        <v>0</v>
      </c>
      <c r="I23" s="1" t="b">
        <f>OR(EXACT(VLOOKUP("Lang_Aud0", AudioConfiguration[], 2, FALSE), AudioTrackTable[Lang0]), EXACT(VLOOKUP("Lang_Aud0", AudioConfiguration[], 2, FALSE), AudioTrackTable[Lang1]))</f>
        <v>0</v>
      </c>
      <c r="J23" s="1">
        <f>AudioTrackTable[IsLangMatchedAud0]*VLOOKUP("Lang_Aud0", AudioConfiguration[], 3, FALSE)</f>
        <v>0</v>
      </c>
      <c r="K23" s="1" t="b">
        <f>OR(EXACT(VLOOKUP("Lang_Aud1", AudioConfiguration[], 2, FALSE), AudioTrackTable[Lang0]), EXACT(VLOOKUP("Lang_Aud1", AudioConfiguration[], 2, FALSE), AudioTrackTable[Lang1]))</f>
        <v>0</v>
      </c>
      <c r="L23" s="1">
        <f>AudioTrackTable[IsLangMatchedAud1]*VLOOKUP("Lang_Aud1", AudioConfiguration[], 3, FALSE)</f>
        <v>0</v>
      </c>
      <c r="M23" s="1" t="b">
        <f>OR(EXACT(VLOOKUP("Lang_Menu", AudioConfiguration[], 2, FALSE), AudioTrackTable[Lang0]), EXACT(VLOOKUP("Lang_Menu", AudioConfiguration[], 2, FALSE), AudioTrackTable[Lang1]))</f>
        <v>0</v>
      </c>
      <c r="N23" s="1">
        <f>AudioTrackTable[IsLangMatchedMenu]*VLOOKUP("Lang_Menu", AudioConfiguration[], 3, FALSE)</f>
        <v>0</v>
      </c>
      <c r="O23" s="1" t="b">
        <f>AND(LEN(AudioTrackTable[[#This Row],[Lang0]])=3, LEN(AudioTrackTable[[#This Row],[Lang1]])=3)</f>
        <v>0</v>
      </c>
      <c r="P23" s="1" t="str">
        <f>IFERROR("[" &amp; _xlfn.IFNA(VLOOKUP(AudioTrackTable[Lang0], AudioConfiguration[[value]:[Priority]], 1, FALSE), "") &amp; IF(AND(NOT(ISNA(VLOOKUP(AudioTrackTable[Lang0], AudioConfiguration[[value]:[Priority]], 1, FALSE))), NOT(ISNA(VLOOKUP(AudioTrackTable[Lang1], AudioConfiguration[[value]:[Priority]], 1, FALSE)))), ", ", "") &amp; _xlfn.IFNA(VLOOKUP(AudioTrackTable[Lang1], AudioConfiguration[[value]:[Priority]], 1, FALSE), "") &amp; "]", "N/A")</f>
        <v>[]</v>
      </c>
      <c r="Q23" s="1" t="str">
        <f>"[" &amp; CHOOSE(IF(_xlfn.RANK.EQ(AudioTrackTable[[#This Row],[LangUser Score]], AudioTrackTable[[#This Row],[IsLangMatchedUser]:[LangMenu Score]], 0) = 1, 1, IF(_xlfn.RANK.EQ(AudioTrackTable[[#This Row],[LangAud0 Score]], AudioTrackTable[[#This Row],[IsLangMatchedUser]:[LangMenu Score]], 0) = 1, 2, IF(_xlfn.RANK.EQ(AudioTrackTable[[#This Row],[LangAud1 Score]], AudioTrackTable[[#This Row],[IsLangMatchedUser]:[LangMenu Score]], 0) = 1, 3, IF(_xlfn.RANK.EQ(AudioTrackTable[[#This Row],[LangMenu Score]], AudioTrackTable[[#This Row],[IsLangMatchedUser]:[LangMenu Score]], 0) = 1, 4, -1)))), IF(AudioTrackTable[IsLangMatchedUser], VLOOKUP("Lang_User", AudioConfiguration[], 2, FALSE), ""), IF(AudioTrackTable[IsLangMatchedAud0], VLOOKUP("Lang_Aud0", AudioConfiguration[], 2, FALSE), ""), IF(AudioTrackTable[IsLangMatchedAud1], VLOOKUP("Lang_Aud1", AudioConfiguration[], 2, FALSE), ""), IF(AudioTrackTable[IsLangMatchedMenu], VLOOKUP("Lang_Menu", AudioConfiguration[], 2, FALSE), "")) &amp; "]"</f>
        <v>[]</v>
      </c>
      <c r="R23" s="6">
        <f>MAX(AudioTrackTable[[#This Row],[LangUser Score]], AudioTrackTable[[#This Row],[LangAud0 Score]], AudioTrackTable[[#This Row],[LangAud1 Score]], AudioTrackTable[[#This Row],[LangMenu Score]], VLOOKUP("Lang_Base", AudioPriorityTable[], 4, FALSE))</f>
        <v>1000</v>
      </c>
      <c r="S23" s="7" t="b">
        <f>IF(EXACT(TRIM(LOWER(AudioTrackTable[Multi])), "yes"), EXACT(TRIM(LOWER(VLOOKUP("Multichannel_User", AudioConfiguration[], 2, FALSE))), "yes"), FALSE())</f>
        <v>0</v>
      </c>
      <c r="T23" s="7" t="b">
        <f>IF(EXACT(TRIM(LOWER(AudioTrackTable[Multi])), "yes"), EXACT(TRIM(LOWER(VLOOKUP("Multichannel_Menu", AudioConfiguration[], 2, FALSE))), "yes"), FALSE())</f>
        <v>0</v>
      </c>
      <c r="U23" s="7" t="b">
        <f>OR(AudioTrackTable[[#This Row],[IsMultiSelectedByUser]:[IsMultiSelectedByMenu]])</f>
        <v>0</v>
      </c>
      <c r="V23" s="6">
        <f>MAX(AudioTrackTable[IsMultiSelectedByUser]*VLOOKUP("Multichannel_User", AudioConfiguration[], 3, FALSE), AudioTrackTable[IsMultiSelectedByMenu]*VLOOKUP("Multichannel_Menu", AudioConfiguration[], 3, FALSE), EXACT(AudioTrackTable[Multi], "yes")*VLOOKUP("Multichannel_Base", AudioPriorityTable[], 4, FALSE))</f>
        <v>0</v>
      </c>
      <c r="W23" s="7" t="b">
        <v>0</v>
      </c>
      <c r="X23" s="6">
        <f>AudioTrackTable[IsFirstTrack]*VLOOKUP("First_Track", AudioConfiguration[], 3, FALSE)</f>
        <v>0</v>
      </c>
      <c r="Y23" s="7" t="b">
        <f>IF(EXACT(TRIM(LOWER(VLOOKUP("Audio_Description_User", AudioConfiguration[], 2, FALSE))), TRIM(LOWER(AudioTrackTable[Audio Description]))), EXACT(TRIM(LOWER(AudioTrackTable[Audio Description])), "yes"), FALSE())</f>
        <v>0</v>
      </c>
      <c r="Z23" s="7" t="b">
        <f>IF(EXACT(TRIM(LOWER(VLOOKUP("Audio_Description_Menu", AudioConfiguration[], 2, FALSE))), TRIM(LOWER(AudioTrackTable[Audio Description]))), EXACT(TRIM(LOWER(AudioTrackTable[Audio Description])), "yes"), FALSE())</f>
        <v>0</v>
      </c>
      <c r="AA23" s="7" t="b">
        <f>OR(AudioTrackTable[[#This Row],[AudioDescriptionSelUser]:[AudioDescriptionSelMenu]])</f>
        <v>0</v>
      </c>
      <c r="AB23" s="6">
        <f>IF(AudioTrackTable[AudioDescription Selected], MAX(AudioTrackTable[AudioDescriptionSelUser]*VLOOKUP("Audio_Description_User", AudioConfiguration[], 3, FALSE), AudioTrackTable[AudioDescriptionSelMenu]*VLOOKUP("Audio_Description_Menu", AudioConfiguration[], 3, FALSE)), EXACT(AudioTrackTable[Audio Description], "yes")*VLOOKUP("Audio_Description_Base", AudioPriorityTable[], 4, FALSE))</f>
        <v>0</v>
      </c>
      <c r="AC23" s="6">
        <f>AudioTrackTable[IsDualMono]*VLOOKUP("Dual_Mono_Base", AudioPriorityTable[], 4, FALSE)</f>
        <v>0</v>
      </c>
      <c r="AD23" s="6">
        <f>AudioTrackTable[Language Score]+AudioTrackTable[Multichannel Score]+AudioTrackTable[AudioDescription Score]+AudioTrackTable[Track Score]+AudioTrackTable[DualMono Score]</f>
        <v>1000</v>
      </c>
      <c r="AE23" s="4">
        <f>_xlfn.RANK.EQ(AudioTrackTable[[#This Row],[Score]],AudioTrackTable[Score], 0)</f>
        <v>4</v>
      </c>
      <c r="AF23" s="4" t="str">
        <f>CONCATENATE("Language : ", AudioTrackTable[Selected Language], " , Multichannel : ", IF(AudioTrackTable[IsMultichannelSelected], "yes", "no"), " , Audio Description : ", IF(AudioTrackTable[AudioDescription Selected], "yes", "no"), " , Dual Mono : ", IF(AudioTrackTable[IsDualMono], "yes", "no"))</f>
        <v>Language : [] , Multichannel : no , Audio Description : no , Dual Mono : no</v>
      </c>
      <c r="AG23" s="2"/>
    </row>
    <row r="24" spans="2:33" x14ac:dyDescent="0.3">
      <c r="C24" s="5" t="str">
        <f>IF(ISBLANK(AudioTrackTable[Track]), "", IFERROR(VLOOKUP(AudioTrackTable[Track], AudioTrackDb[], 2, FALSE), ""))</f>
        <v/>
      </c>
      <c r="D24" s="5" t="str">
        <f>IF(ISBLANK(AudioTrackTable[Track]), "", IFERROR(VLOOKUP(AudioTrackTable[Track], AudioTrackDb[], 3, FALSE), ""))</f>
        <v/>
      </c>
      <c r="E24" s="5"/>
      <c r="F24" s="5"/>
      <c r="R24" s="6"/>
      <c r="S24" s="7"/>
      <c r="T24" s="7"/>
      <c r="U24" s="7"/>
      <c r="V24" s="6"/>
      <c r="W24" s="7"/>
      <c r="X24" s="6"/>
      <c r="Y24" s="7"/>
      <c r="Z24" s="7"/>
      <c r="AA24" s="7"/>
      <c r="AB24" s="6"/>
      <c r="AC24" s="6"/>
      <c r="AD24" s="6"/>
      <c r="AE24" s="4"/>
      <c r="AF24" s="4"/>
      <c r="AG24" s="2"/>
    </row>
    <row r="25" spans="2:33" x14ac:dyDescent="0.3">
      <c r="C25" s="5" t="str">
        <f>IF(ISBLANK(AudioTrackTable[Track]), "", IFERROR(VLOOKUP(AudioTrackTable[Track], AudioTrackDb[], 2, FALSE), ""))</f>
        <v/>
      </c>
      <c r="D25" s="5" t="str">
        <f>IF(ISBLANK(AudioTrackTable[Track]), "", IFERROR(VLOOKUP(AudioTrackTable[Track], AudioTrackDb[], 3, FALSE), ""))</f>
        <v/>
      </c>
      <c r="E25" s="5"/>
      <c r="F25" s="5"/>
      <c r="R25" s="6"/>
      <c r="S25" s="7"/>
      <c r="T25" s="7"/>
      <c r="U25" s="7"/>
      <c r="V25" s="6"/>
      <c r="W25" s="7"/>
      <c r="X25" s="6"/>
      <c r="Y25" s="7"/>
      <c r="Z25" s="7"/>
      <c r="AA25" s="7"/>
      <c r="AB25" s="6"/>
      <c r="AC25" s="6"/>
      <c r="AD25" s="6"/>
      <c r="AE25" s="4"/>
      <c r="AF25" s="4"/>
      <c r="AG25" s="2"/>
    </row>
    <row r="26" spans="2:33" x14ac:dyDescent="0.3">
      <c r="C26" s="5" t="str">
        <f>IF(ISBLANK(AudioTrackTable[Track]), "", IFERROR(VLOOKUP(AudioTrackTable[Track], AudioTrackDb[], 2, FALSE), ""))</f>
        <v/>
      </c>
      <c r="D26" s="5" t="str">
        <f>IF(ISBLANK(AudioTrackTable[Track]), "", IFERROR(VLOOKUP(AudioTrackTable[Track], AudioTrackDb[], 3, FALSE), ""))</f>
        <v/>
      </c>
      <c r="E26" s="5"/>
      <c r="F26" s="5"/>
      <c r="R26" s="6"/>
      <c r="S26" s="7"/>
      <c r="T26" s="7"/>
      <c r="U26" s="7"/>
      <c r="V26" s="6"/>
      <c r="W26" s="7"/>
      <c r="X26" s="6"/>
      <c r="Y26" s="7"/>
      <c r="Z26" s="7"/>
      <c r="AA26" s="7"/>
      <c r="AB26" s="6"/>
      <c r="AC26" s="6"/>
      <c r="AD26" s="6"/>
      <c r="AE26" s="4"/>
      <c r="AF26" s="4"/>
      <c r="AG26" s="2"/>
    </row>
    <row r="27" spans="2:33" x14ac:dyDescent="0.3">
      <c r="C27" s="5" t="str">
        <f>IF(ISBLANK(AudioTrackTable[Track]), "", IFERROR(VLOOKUP(AudioTrackTable[Track], AudioTrackDb[], 2, FALSE), ""))</f>
        <v/>
      </c>
      <c r="D27" s="5" t="str">
        <f>IF(ISBLANK(AudioTrackTable[Track]), "", IFERROR(VLOOKUP(AudioTrackTable[Track], AudioTrackDb[], 3, FALSE), ""))</f>
        <v/>
      </c>
      <c r="E27" s="5"/>
      <c r="F27" s="5"/>
      <c r="R27" s="6"/>
      <c r="S27" s="7"/>
      <c r="T27" s="7"/>
      <c r="U27" s="7"/>
      <c r="V27" s="6"/>
      <c r="W27" s="7"/>
      <c r="X27" s="6"/>
      <c r="Y27" s="7"/>
      <c r="Z27" s="7"/>
      <c r="AA27" s="7"/>
      <c r="AB27" s="6"/>
      <c r="AC27" s="6"/>
      <c r="AD27" s="6"/>
      <c r="AE27" s="4"/>
      <c r="AF27" s="4"/>
      <c r="AG27" s="2"/>
    </row>
    <row r="28" spans="2:33" x14ac:dyDescent="0.3">
      <c r="C28" s="5" t="str">
        <f>IF(ISBLANK(AudioTrackTable[Track]), "", IFERROR(VLOOKUP(AudioTrackTable[Track], AudioTrackDb[], 2, FALSE), ""))</f>
        <v/>
      </c>
      <c r="D28" s="5" t="str">
        <f>IF(ISBLANK(AudioTrackTable[Track]), "", IFERROR(VLOOKUP(AudioTrackTable[Track], AudioTrackDb[], 3, FALSE), ""))</f>
        <v/>
      </c>
      <c r="E28" s="5"/>
      <c r="F28" s="5"/>
      <c r="R28" s="6"/>
      <c r="S28" s="7"/>
      <c r="T28" s="7"/>
      <c r="U28" s="7"/>
      <c r="V28" s="6"/>
      <c r="W28" s="7"/>
      <c r="X28" s="6"/>
      <c r="Y28" s="7"/>
      <c r="Z28" s="7"/>
      <c r="AA28" s="7"/>
      <c r="AB28" s="6"/>
      <c r="AC28" s="6"/>
      <c r="AD28" s="6"/>
      <c r="AE28" s="4"/>
      <c r="AF28" s="4"/>
      <c r="AG28" s="2"/>
    </row>
    <row r="29" spans="2:33" x14ac:dyDescent="0.3">
      <c r="C29" s="5" t="str">
        <f>IF(ISBLANK(AudioTrackTable[Track]), "", IFERROR(VLOOKUP(AudioTrackTable[Track], AudioTrackDb[], 2, FALSE), ""))</f>
        <v/>
      </c>
      <c r="D29" s="5" t="str">
        <f>IF(ISBLANK(AudioTrackTable[Track]), "", IFERROR(VLOOKUP(AudioTrackTable[Track], AudioTrackDb[], 3, FALSE), ""))</f>
        <v/>
      </c>
      <c r="E29" s="5"/>
      <c r="F29" s="5"/>
      <c r="R29" s="6"/>
      <c r="S29" s="7"/>
      <c r="T29" s="7"/>
      <c r="U29" s="7"/>
      <c r="V29" s="6"/>
      <c r="W29" s="7"/>
      <c r="X29" s="6"/>
      <c r="Y29" s="7"/>
      <c r="Z29" s="7"/>
      <c r="AA29" s="7"/>
      <c r="AB29" s="6"/>
      <c r="AC29" s="6"/>
      <c r="AD29" s="6"/>
      <c r="AE29" s="4"/>
      <c r="AF29" s="4"/>
      <c r="AG29" s="2"/>
    </row>
    <row r="30" spans="2:33" x14ac:dyDescent="0.3">
      <c r="C30" s="5" t="str">
        <f>IF(ISBLANK(AudioTrackTable[Track]), "", IFERROR(VLOOKUP(AudioTrackTable[Track], AudioTrackDb[], 2, FALSE), ""))</f>
        <v/>
      </c>
      <c r="D30" s="5" t="str">
        <f>IF(ISBLANK(AudioTrackTable[Track]), "", IFERROR(VLOOKUP(AudioTrackTable[Track], AudioTrackDb[], 3, FALSE), ""))</f>
        <v/>
      </c>
      <c r="E30" s="5"/>
      <c r="F30" s="5"/>
      <c r="R30" s="6"/>
      <c r="S30" s="7"/>
      <c r="T30" s="7"/>
      <c r="U30" s="7"/>
      <c r="V30" s="6"/>
      <c r="W30" s="7"/>
      <c r="X30" s="6"/>
      <c r="Y30" s="7"/>
      <c r="Z30" s="7"/>
      <c r="AA30" s="7"/>
      <c r="AB30" s="6"/>
      <c r="AC30" s="6"/>
      <c r="AD30" s="6"/>
      <c r="AE30" s="4"/>
      <c r="AF30" s="4"/>
      <c r="AG30" s="2"/>
    </row>
    <row r="31" spans="2:33" x14ac:dyDescent="0.3">
      <c r="C31" s="5" t="str">
        <f>IF(ISBLANK(AudioTrackTable[Track]), "", IFERROR(VLOOKUP(AudioTrackTable[Track], AudioTrackDb[], 2, FALSE), ""))</f>
        <v/>
      </c>
      <c r="D31" s="5" t="str">
        <f>IF(ISBLANK(AudioTrackTable[Track]), "", IFERROR(VLOOKUP(AudioTrackTable[Track], AudioTrackDb[], 3, FALSE), ""))</f>
        <v/>
      </c>
      <c r="E31" s="5"/>
      <c r="F31" s="5"/>
      <c r="R31" s="6"/>
      <c r="S31" s="7"/>
      <c r="T31" s="7"/>
      <c r="U31" s="7"/>
      <c r="V31" s="6"/>
      <c r="W31" s="7"/>
      <c r="X31" s="6"/>
      <c r="Y31" s="7"/>
      <c r="Z31" s="7"/>
      <c r="AA31" s="7"/>
      <c r="AB31" s="6"/>
      <c r="AC31" s="6"/>
      <c r="AD31" s="6"/>
      <c r="AE31" s="4"/>
      <c r="AF31" s="4"/>
      <c r="AG31" s="2"/>
    </row>
    <row r="32" spans="2:33" x14ac:dyDescent="0.3">
      <c r="B32" s="2"/>
      <c r="C32" s="16" t="str">
        <f>IF(ISBLANK(AudioTrackTable[Track]), "", IFERROR(VLOOKUP(AudioTrackTable[Track], AudioTrackDb[], 2, FALSE), ""))</f>
        <v/>
      </c>
      <c r="D32" s="16" t="str">
        <f>IF(ISBLANK(AudioTrackTable[Track]), "", IFERROR(VLOOKUP(AudioTrackTable[Track], AudioTrackDb[], 3, FALSE), ""))</f>
        <v/>
      </c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2"/>
      <c r="S32" s="13"/>
      <c r="T32" s="13"/>
      <c r="U32" s="13"/>
      <c r="V32" s="12"/>
      <c r="W32" s="13"/>
      <c r="X32" s="12"/>
      <c r="Y32" s="13"/>
      <c r="Z32" s="13"/>
      <c r="AA32" s="13"/>
      <c r="AB32" s="12"/>
      <c r="AC32" s="12"/>
      <c r="AD32" s="12"/>
      <c r="AE32" s="14"/>
      <c r="AF32" s="14"/>
      <c r="AG32" s="3"/>
    </row>
    <row r="33" spans="2:33" x14ac:dyDescent="0.3">
      <c r="B33" s="2"/>
      <c r="C33" s="16" t="str">
        <f>IF(ISBLANK(AudioTrackTable[Track]), "", IFERROR(VLOOKUP(AudioTrackTable[Track], AudioTrackDb[], 2, FALSE), ""))</f>
        <v/>
      </c>
      <c r="D33" s="16" t="str">
        <f>IF(ISBLANK(AudioTrackTable[Track]), "", IFERROR(VLOOKUP(AudioTrackTable[Track], AudioTrackDb[], 3, FALSE), ""))</f>
        <v/>
      </c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2"/>
      <c r="S33" s="13"/>
      <c r="T33" s="13"/>
      <c r="U33" s="13"/>
      <c r="V33" s="12"/>
      <c r="W33" s="13"/>
      <c r="X33" s="12"/>
      <c r="Y33" s="13"/>
      <c r="Z33" s="13"/>
      <c r="AA33" s="13"/>
      <c r="AB33" s="12"/>
      <c r="AC33" s="12"/>
      <c r="AD33" s="12"/>
      <c r="AE33" s="14"/>
      <c r="AF33" s="14"/>
      <c r="AG33" s="3"/>
    </row>
    <row r="34" spans="2:33" x14ac:dyDescent="0.3">
      <c r="B34" s="2"/>
      <c r="C34" s="16" t="str">
        <f>IF(ISBLANK(AudioTrackTable[Track]), "", IFERROR(VLOOKUP(AudioTrackTable[Track], AudioTrackDb[], 2, FALSE), ""))</f>
        <v/>
      </c>
      <c r="D34" s="16" t="str">
        <f>IF(ISBLANK(AudioTrackTable[Track]), "", IFERROR(VLOOKUP(AudioTrackTable[Track], AudioTrackDb[], 3, FALSE), ""))</f>
        <v/>
      </c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12"/>
      <c r="S34" s="13"/>
      <c r="T34" s="13"/>
      <c r="U34" s="13"/>
      <c r="V34" s="12"/>
      <c r="W34" s="13"/>
      <c r="X34" s="12"/>
      <c r="Y34" s="13"/>
      <c r="Z34" s="13"/>
      <c r="AA34" s="13"/>
      <c r="AB34" s="12"/>
      <c r="AC34" s="12"/>
      <c r="AD34" s="12"/>
      <c r="AE34" s="14"/>
      <c r="AF34" s="14"/>
      <c r="AG34" s="3"/>
    </row>
    <row r="35" spans="2:33" x14ac:dyDescent="0.3">
      <c r="B35" s="2"/>
      <c r="C35" s="16" t="str">
        <f>IF(ISBLANK(AudioTrackTable[Track]), "", IFERROR(VLOOKUP(AudioTrackTable[Track], AudioTrackDb[], 2, FALSE), ""))</f>
        <v/>
      </c>
      <c r="D35" s="16" t="str">
        <f>IF(ISBLANK(AudioTrackTable[Track]), "", IFERROR(VLOOKUP(AudioTrackTable[Track], AudioTrackDb[], 3, FALSE), ""))</f>
        <v/>
      </c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2"/>
      <c r="S35" s="13"/>
      <c r="T35" s="13"/>
      <c r="U35" s="13"/>
      <c r="V35" s="12"/>
      <c r="W35" s="13"/>
      <c r="X35" s="12"/>
      <c r="Y35" s="13"/>
      <c r="Z35" s="13"/>
      <c r="AA35" s="13"/>
      <c r="AB35" s="12"/>
      <c r="AC35" s="12"/>
      <c r="AD35" s="12"/>
      <c r="AE35" s="14"/>
      <c r="AF35" s="14"/>
      <c r="AG35" s="3"/>
    </row>
    <row r="36" spans="2:33" x14ac:dyDescent="0.3">
      <c r="B36" s="2"/>
      <c r="C36" s="16" t="str">
        <f>IF(ISBLANK(AudioTrackTable[Track]), "", IFERROR(VLOOKUP(AudioTrackTable[Track], AudioTrackDb[], 2, FALSE), ""))</f>
        <v/>
      </c>
      <c r="D36" s="16" t="str">
        <f>IF(ISBLANK(AudioTrackTable[Track]), "", IFERROR(VLOOKUP(AudioTrackTable[Track], AudioTrackDb[], 3, FALSE), ""))</f>
        <v/>
      </c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12"/>
      <c r="S36" s="13"/>
      <c r="T36" s="13"/>
      <c r="U36" s="13"/>
      <c r="V36" s="12"/>
      <c r="W36" s="13"/>
      <c r="X36" s="12"/>
      <c r="Y36" s="13"/>
      <c r="Z36" s="13"/>
      <c r="AA36" s="13"/>
      <c r="AB36" s="12"/>
      <c r="AC36" s="12"/>
      <c r="AD36" s="12"/>
      <c r="AE36" s="14"/>
      <c r="AF36" s="14"/>
      <c r="AG36" s="3"/>
    </row>
    <row r="37" spans="2:33" x14ac:dyDescent="0.3">
      <c r="B37" s="2"/>
      <c r="C37" s="16" t="str">
        <f>IF(ISBLANK(AudioTrackTable[Track]), "", IFERROR(VLOOKUP(AudioTrackTable[Track], AudioTrackDb[], 2, FALSE), ""))</f>
        <v/>
      </c>
      <c r="D37" s="16" t="str">
        <f>IF(ISBLANK(AudioTrackTable[Track]), "", IFERROR(VLOOKUP(AudioTrackTable[Track], AudioTrackDb[], 3, FALSE), ""))</f>
        <v/>
      </c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12"/>
      <c r="S37" s="13"/>
      <c r="T37" s="13"/>
      <c r="U37" s="13"/>
      <c r="V37" s="12"/>
      <c r="W37" s="13"/>
      <c r="X37" s="12"/>
      <c r="Y37" s="13"/>
      <c r="Z37" s="13"/>
      <c r="AA37" s="13"/>
      <c r="AB37" s="12"/>
      <c r="AC37" s="12"/>
      <c r="AD37" s="12"/>
      <c r="AE37" s="14"/>
      <c r="AF37" s="14"/>
      <c r="AG37" s="3"/>
    </row>
    <row r="38" spans="2:33" x14ac:dyDescent="0.3">
      <c r="B38" s="2"/>
      <c r="C38" s="16" t="str">
        <f>IF(ISBLANK(AudioTrackTable[Track]), "", IFERROR(VLOOKUP(AudioTrackTable[Track], AudioTrackDb[], 2, FALSE), ""))</f>
        <v/>
      </c>
      <c r="D38" s="16" t="str">
        <f>IF(ISBLANK(AudioTrackTable[Track]), "", IFERROR(VLOOKUP(AudioTrackTable[Track], AudioTrackDb[], 3, FALSE), ""))</f>
        <v/>
      </c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12"/>
      <c r="S38" s="13"/>
      <c r="T38" s="13"/>
      <c r="U38" s="13"/>
      <c r="V38" s="12"/>
      <c r="W38" s="13"/>
      <c r="X38" s="12"/>
      <c r="Y38" s="13"/>
      <c r="Z38" s="13"/>
      <c r="AA38" s="13"/>
      <c r="AB38" s="12"/>
      <c r="AC38" s="12"/>
      <c r="AD38" s="12"/>
      <c r="AE38" s="14"/>
      <c r="AF38" s="14"/>
      <c r="AG38" s="3"/>
    </row>
    <row r="39" spans="2:33" x14ac:dyDescent="0.3">
      <c r="B39" s="2"/>
      <c r="C39" s="16" t="str">
        <f>IF(ISBLANK(AudioTrackTable[Track]), "", IFERROR(VLOOKUP(AudioTrackTable[Track], AudioTrackDb[], 2, FALSE), ""))</f>
        <v/>
      </c>
      <c r="D39" s="16" t="str">
        <f>IF(ISBLANK(AudioTrackTable[Track]), "", IFERROR(VLOOKUP(AudioTrackTable[Track], AudioTrackDb[], 3, FALSE), ""))</f>
        <v/>
      </c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12"/>
      <c r="S39" s="13"/>
      <c r="T39" s="13"/>
      <c r="U39" s="13"/>
      <c r="V39" s="12"/>
      <c r="W39" s="13"/>
      <c r="X39" s="12"/>
      <c r="Y39" s="13"/>
      <c r="Z39" s="13"/>
      <c r="AA39" s="13"/>
      <c r="AB39" s="12"/>
      <c r="AC39" s="12"/>
      <c r="AD39" s="12"/>
      <c r="AE39" s="14"/>
      <c r="AF39" s="14"/>
      <c r="AG39" s="3"/>
    </row>
    <row r="40" spans="2:33" x14ac:dyDescent="0.3">
      <c r="B40" s="2"/>
      <c r="C40" s="16" t="str">
        <f>IF(ISBLANK(AudioTrackTable[Track]), "", IFERROR(VLOOKUP(AudioTrackTable[Track], AudioTrackDb[], 2, FALSE), ""))</f>
        <v/>
      </c>
      <c r="D40" s="16" t="str">
        <f>IF(ISBLANK(AudioTrackTable[Track]), "", IFERROR(VLOOKUP(AudioTrackTable[Track], AudioTrackDb[], 3, FALSE), ""))</f>
        <v/>
      </c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2"/>
      <c r="S40" s="13"/>
      <c r="T40" s="13"/>
      <c r="U40" s="13"/>
      <c r="V40" s="12"/>
      <c r="W40" s="13"/>
      <c r="X40" s="12"/>
      <c r="Y40" s="13"/>
      <c r="Z40" s="13"/>
      <c r="AA40" s="13"/>
      <c r="AB40" s="12"/>
      <c r="AC40" s="12"/>
      <c r="AD40" s="12"/>
      <c r="AE40" s="14"/>
      <c r="AF40" s="14"/>
      <c r="AG40" s="3"/>
    </row>
    <row r="41" spans="2:33" x14ac:dyDescent="0.3">
      <c r="B41" s="2"/>
      <c r="C41" s="16" t="str">
        <f>IF(ISBLANK(AudioTrackTable[Track]), "", IFERROR(VLOOKUP(AudioTrackTable[Track], AudioTrackDb[], 2, FALSE), ""))</f>
        <v/>
      </c>
      <c r="D41" s="16" t="str">
        <f>IF(ISBLANK(AudioTrackTable[Track]), "", IFERROR(VLOOKUP(AudioTrackTable[Track], AudioTrackDb[], 3, FALSE), ""))</f>
        <v/>
      </c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2"/>
      <c r="S41" s="13"/>
      <c r="T41" s="13"/>
      <c r="U41" s="13"/>
      <c r="V41" s="12"/>
      <c r="W41" s="13"/>
      <c r="X41" s="12"/>
      <c r="Y41" s="13"/>
      <c r="Z41" s="13"/>
      <c r="AA41" s="13"/>
      <c r="AB41" s="12"/>
      <c r="AC41" s="12"/>
      <c r="AD41" s="12"/>
      <c r="AE41" s="14"/>
      <c r="AF41" s="14"/>
      <c r="AG41" s="3"/>
    </row>
    <row r="42" spans="2:33" x14ac:dyDescent="0.3">
      <c r="B42" s="2"/>
      <c r="C42" s="16" t="str">
        <f>IF(ISBLANK(AudioTrackTable[Track]), "", IFERROR(VLOOKUP(AudioTrackTable[Track], AudioTrackDb[], 2, FALSE), ""))</f>
        <v/>
      </c>
      <c r="D42" s="16" t="str">
        <f>IF(ISBLANK(AudioTrackTable[Track]), "", IFERROR(VLOOKUP(AudioTrackTable[Track], AudioTrackDb[], 3, FALSE), ""))</f>
        <v/>
      </c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2"/>
      <c r="S42" s="13"/>
      <c r="T42" s="13"/>
      <c r="U42" s="13"/>
      <c r="V42" s="12"/>
      <c r="W42" s="13"/>
      <c r="X42" s="12"/>
      <c r="Y42" s="13"/>
      <c r="Z42" s="13"/>
      <c r="AA42" s="13"/>
      <c r="AB42" s="12"/>
      <c r="AC42" s="12"/>
      <c r="AD42" s="12"/>
      <c r="AE42" s="14"/>
      <c r="AF42" s="14"/>
      <c r="AG42" s="3"/>
    </row>
    <row r="43" spans="2:33" x14ac:dyDescent="0.3">
      <c r="B43" s="2"/>
      <c r="C43" s="16" t="str">
        <f>IF(ISBLANK(AudioTrackTable[Track]), "", IFERROR(VLOOKUP(AudioTrackTable[Track], AudioTrackDb[], 2, FALSE), ""))</f>
        <v/>
      </c>
      <c r="D43" s="16" t="str">
        <f>IF(ISBLANK(AudioTrackTable[Track]), "", IFERROR(VLOOKUP(AudioTrackTable[Track], AudioTrackDb[], 3, FALSE), ""))</f>
        <v/>
      </c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2"/>
      <c r="S43" s="13"/>
      <c r="T43" s="13"/>
      <c r="U43" s="13"/>
      <c r="V43" s="12"/>
      <c r="W43" s="13"/>
      <c r="X43" s="12"/>
      <c r="Y43" s="13"/>
      <c r="Z43" s="13"/>
      <c r="AA43" s="13"/>
      <c r="AB43" s="12"/>
      <c r="AC43" s="12"/>
      <c r="AD43" s="12"/>
      <c r="AE43" s="14"/>
      <c r="AF43" s="14"/>
      <c r="AG43" s="3"/>
    </row>
    <row r="44" spans="2:33" x14ac:dyDescent="0.3">
      <c r="B44" s="2"/>
      <c r="C44" s="16" t="str">
        <f>IF(ISBLANK(AudioTrackTable[Track]), "", IFERROR(VLOOKUP(AudioTrackTable[Track], AudioTrackDb[], 2, FALSE), ""))</f>
        <v/>
      </c>
      <c r="D44" s="16" t="str">
        <f>IF(ISBLANK(AudioTrackTable[Track]), "", IFERROR(VLOOKUP(AudioTrackTable[Track], AudioTrackDb[], 3, FALSE), ""))</f>
        <v/>
      </c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12"/>
      <c r="S44" s="13"/>
      <c r="T44" s="13"/>
      <c r="U44" s="13"/>
      <c r="V44" s="12"/>
      <c r="W44" s="13"/>
      <c r="X44" s="12"/>
      <c r="Y44" s="13"/>
      <c r="Z44" s="13"/>
      <c r="AA44" s="13"/>
      <c r="AB44" s="12"/>
      <c r="AC44" s="12"/>
      <c r="AD44" s="12"/>
      <c r="AE44" s="14"/>
      <c r="AF44" s="14"/>
      <c r="AG44" s="3"/>
    </row>
    <row r="45" spans="2:33" x14ac:dyDescent="0.3">
      <c r="B45" s="2"/>
      <c r="C45" s="16" t="str">
        <f>IF(ISBLANK(AudioTrackTable[Track]), "", IFERROR(VLOOKUP(AudioTrackTable[Track], AudioTrackDb[], 2, FALSE), ""))</f>
        <v/>
      </c>
      <c r="D45" s="16" t="str">
        <f>IF(ISBLANK(AudioTrackTable[Track]), "", IFERROR(VLOOKUP(AudioTrackTable[Track], AudioTrackDb[], 3, FALSE), ""))</f>
        <v/>
      </c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2"/>
      <c r="S45" s="13"/>
      <c r="T45" s="13"/>
      <c r="U45" s="13"/>
      <c r="V45" s="12"/>
      <c r="W45" s="13"/>
      <c r="X45" s="12"/>
      <c r="Y45" s="13"/>
      <c r="Z45" s="13"/>
      <c r="AA45" s="13"/>
      <c r="AB45" s="12"/>
      <c r="AC45" s="12"/>
      <c r="AD45" s="12"/>
      <c r="AE45" s="14"/>
      <c r="AF45" s="14"/>
      <c r="AG45" s="3"/>
    </row>
    <row r="46" spans="2:33" x14ac:dyDescent="0.3">
      <c r="B46" s="2"/>
      <c r="C46" s="16" t="str">
        <f>IF(ISBLANK(AudioTrackTable[Track]), "", IFERROR(VLOOKUP(AudioTrackTable[Track], AudioTrackDb[], 2, FALSE), ""))</f>
        <v/>
      </c>
      <c r="D46" s="16" t="str">
        <f>IF(ISBLANK(AudioTrackTable[Track]), "", IFERROR(VLOOKUP(AudioTrackTable[Track], AudioTrackDb[], 3, FALSE), ""))</f>
        <v/>
      </c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  <c r="S46" s="13"/>
      <c r="T46" s="13"/>
      <c r="U46" s="13"/>
      <c r="V46" s="12"/>
      <c r="W46" s="13"/>
      <c r="X46" s="12"/>
      <c r="Y46" s="13"/>
      <c r="Z46" s="13"/>
      <c r="AA46" s="13"/>
      <c r="AB46" s="12"/>
      <c r="AC46" s="12"/>
      <c r="AD46" s="12"/>
      <c r="AE46" s="14"/>
      <c r="AF46" s="14"/>
      <c r="AG46" s="3"/>
    </row>
    <row r="47" spans="2:33" x14ac:dyDescent="0.3">
      <c r="B47" s="2"/>
      <c r="C47" s="16" t="str">
        <f>IF(ISBLANK(AudioTrackTable[Track]), "", IFERROR(VLOOKUP(AudioTrackTable[Track], AudioTrackDb[], 2, FALSE), ""))</f>
        <v/>
      </c>
      <c r="D47" s="16" t="str">
        <f>IF(ISBLANK(AudioTrackTable[Track]), "", IFERROR(VLOOKUP(AudioTrackTable[Track], AudioTrackDb[], 3, FALSE), ""))</f>
        <v/>
      </c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2"/>
      <c r="S47" s="13"/>
      <c r="T47" s="13"/>
      <c r="U47" s="13"/>
      <c r="V47" s="12"/>
      <c r="W47" s="13"/>
      <c r="X47" s="12"/>
      <c r="Y47" s="13"/>
      <c r="Z47" s="13"/>
      <c r="AA47" s="13"/>
      <c r="AB47" s="12"/>
      <c r="AC47" s="12"/>
      <c r="AD47" s="12"/>
      <c r="AE47" s="14"/>
      <c r="AF47" s="14"/>
      <c r="AG47" s="3"/>
    </row>
    <row r="48" spans="2:33" x14ac:dyDescent="0.3">
      <c r="B48" s="2"/>
      <c r="C48" s="16" t="str">
        <f>IF(ISBLANK(AudioTrackTable[Track]), "", IFERROR(VLOOKUP(AudioTrackTable[Track], AudioTrackDb[], 2, FALSE), ""))</f>
        <v/>
      </c>
      <c r="D48" s="16" t="str">
        <f>IF(ISBLANK(AudioTrackTable[Track]), "", IFERROR(VLOOKUP(AudioTrackTable[Track], AudioTrackDb[], 3, FALSE), ""))</f>
        <v/>
      </c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2"/>
      <c r="S48" s="13"/>
      <c r="T48" s="13"/>
      <c r="U48" s="13"/>
      <c r="V48" s="12"/>
      <c r="W48" s="13"/>
      <c r="X48" s="12"/>
      <c r="Y48" s="13"/>
      <c r="Z48" s="13"/>
      <c r="AA48" s="13"/>
      <c r="AB48" s="12"/>
      <c r="AC48" s="12"/>
      <c r="AD48" s="12"/>
      <c r="AE48" s="14"/>
      <c r="AF48" s="14"/>
      <c r="AG48" s="3"/>
    </row>
  </sheetData>
  <sheetProtection algorithmName="SHA-512" hashValue="Ep3/x6VW03SKunI3kV0uwrm+9nRlVyAUgYwuND6/g/I4xyUD5p9pfqGeuoqbuNJHIMpwuxS4e6Y2PMZIYfn8cw==" saltValue="I8HuxTwo8pOg6Xr0sNNbzg==" spinCount="100000" sheet="1" objects="1" scenarios="1"/>
  <protectedRanges>
    <protectedRange algorithmName="SHA-512" hashValue="zmc3lwib9WAwv6jrZa0ZC0PmTF76hrY6w5pAPzF3qJfOPrAKod/HSDuWactiTFJxcSVedPUe4IuURIPnjQ9w1A==" saltValue="oCHz68wKiX8kPiJMSuf6jA==" spinCount="100000" sqref="B8:B23" name="TrackList"/>
    <protectedRange algorithmName="SHA-512" hashValue="KfbJH8W+C0rJAySRPvTqNF8SXn8jrOz4qNLCP7FR0ShYyWlh+xTc9/UL9VHvJmN605WNia3kQ3Tv9D5kEMV4lg==" saltValue="pwYfOqzucTfbSjV9hMJIFQ==" spinCount="100000" sqref="R8:AF31" name="AudioScore"/>
  </protectedRanges>
  <phoneticPr fontId="2" type="noConversion"/>
  <conditionalFormatting sqref="O8:O23">
    <cfRule type="cellIs" dxfId="6" priority="7" operator="equal">
      <formula>TRUE</formula>
    </cfRule>
  </conditionalFormatting>
  <conditionalFormatting sqref="E8:F23">
    <cfRule type="cellIs" dxfId="5" priority="9" operator="equal">
      <formula>"yes"</formula>
    </cfRule>
  </conditionalFormatting>
  <conditionalFormatting sqref="B8:AC23">
    <cfRule type="cellIs" dxfId="4" priority="5" operator="equal">
      <formula>TRUE</formula>
    </cfRule>
  </conditionalFormatting>
  <conditionalFormatting sqref="R8:R23">
    <cfRule type="top10" dxfId="3" priority="3" rank="1"/>
  </conditionalFormatting>
  <conditionalFormatting sqref="V8:V23">
    <cfRule type="top10" dxfId="2" priority="2" rank="1"/>
  </conditionalFormatting>
  <conditionalFormatting sqref="AB8:AC23">
    <cfRule type="top10" dxfId="1" priority="1" rank="1"/>
  </conditionalFormatting>
  <conditionalFormatting sqref="B8:AF23">
    <cfRule type="expression" dxfId="0" priority="11">
      <formula>IF($AE8=1, TRUE, 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Base!$C$5:$C$6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tabSelected="1" topLeftCell="B1" workbookViewId="0">
      <selection activeCell="C4" sqref="C4"/>
    </sheetView>
  </sheetViews>
  <sheetFormatPr defaultRowHeight="12" x14ac:dyDescent="0.3"/>
  <cols>
    <col min="1" max="1" width="9" style="8"/>
    <col min="2" max="2" width="23" style="8" bestFit="1" customWidth="1"/>
    <col min="3" max="3" width="32.625" style="8" bestFit="1" customWidth="1"/>
    <col min="4" max="4" width="9" style="8"/>
    <col min="5" max="5" width="5.625" style="8" customWidth="1"/>
    <col min="6" max="6" width="6.125" style="8" customWidth="1"/>
    <col min="7" max="7" width="6.375" style="8" customWidth="1"/>
    <col min="8" max="8" width="14.125" style="8" customWidth="1"/>
    <col min="9" max="9" width="34.625" style="8" bestFit="1" customWidth="1"/>
    <col min="10" max="10" width="18.375" style="8" bestFit="1" customWidth="1"/>
    <col min="11" max="11" width="10" style="8" bestFit="1" customWidth="1"/>
    <col min="12" max="12" width="6.625" style="8" customWidth="1"/>
    <col min="13" max="14" width="15" style="8" bestFit="1" customWidth="1"/>
    <col min="15" max="16384" width="9" style="8"/>
  </cols>
  <sheetData>
    <row r="2" spans="2:15" x14ac:dyDescent="0.3">
      <c r="B2" s="8" t="s">
        <v>11</v>
      </c>
      <c r="C2" s="8" t="s">
        <v>81</v>
      </c>
      <c r="E2" s="8" t="s">
        <v>11</v>
      </c>
      <c r="F2" s="8" t="s">
        <v>89</v>
      </c>
      <c r="G2" s="8" t="s">
        <v>92</v>
      </c>
      <c r="H2" s="8" t="s">
        <v>94</v>
      </c>
      <c r="I2" s="8" t="s">
        <v>73</v>
      </c>
      <c r="J2" s="8" t="s">
        <v>95</v>
      </c>
      <c r="K2" s="8" t="s">
        <v>74</v>
      </c>
      <c r="L2" s="8" t="s">
        <v>79</v>
      </c>
      <c r="M2" s="8" t="s">
        <v>75</v>
      </c>
      <c r="N2" s="9" t="s">
        <v>76</v>
      </c>
      <c r="O2" s="9"/>
    </row>
    <row r="3" spans="2:15" x14ac:dyDescent="0.3">
      <c r="B3" s="8" t="s">
        <v>85</v>
      </c>
      <c r="C3" s="8">
        <v>9</v>
      </c>
      <c r="D3" s="11"/>
      <c r="E3" s="8" t="str">
        <f>VLOOKUP("Es Struct Name", AudRef[], 2, FALSE) &amp; " " &amp; VLOOKUP("Es Var Name", AudRef[], 2, FALSE) &amp; "[] ="</f>
        <v>svcSi_AudioEs_t astAudioEsList[] =</v>
      </c>
      <c r="N3" s="9"/>
      <c r="O3" s="9"/>
    </row>
    <row r="4" spans="2:15" x14ac:dyDescent="0.3">
      <c r="B4" s="9" t="s">
        <v>97</v>
      </c>
      <c r="C4" s="9" t="str">
        <f>DEC2HEX(VALUE(C3)+HEX2DEC(1000), 4)</f>
        <v>1009</v>
      </c>
      <c r="E4" s="9" t="s">
        <v>93</v>
      </c>
      <c r="F4" s="9"/>
      <c r="G4" s="9"/>
      <c r="H4" s="9"/>
      <c r="I4" s="9"/>
      <c r="J4" s="9"/>
      <c r="K4" s="10" t="str">
        <f>IF(LEN(표4[Value Org]) = 3, "{ '" &amp; MID(표4[Value Org], 1, 1) &amp; "', '" &amp; MID(표4[Value Org], 2, 1) &amp; "', '" &amp; MID(표4[Value Org], 3, 1) &amp; "' }", "")</f>
        <v/>
      </c>
      <c r="L4" s="9"/>
      <c r="M4" s="9"/>
      <c r="N4" s="10"/>
      <c r="O4" s="9"/>
    </row>
    <row r="5" spans="2:15" x14ac:dyDescent="0.3">
      <c r="B5" s="8" t="s">
        <v>86</v>
      </c>
      <c r="C5" s="8" t="str">
        <f>IFERROR(VLOOKUP(C3, AudioTrackDb[], 2, FALSE), "")</f>
        <v>swe</v>
      </c>
      <c r="E5" s="9"/>
      <c r="F5" s="9" t="str">
        <f>"[" &amp; TEXT(VLOOKUP("Audio Index", AudRef[], 2, FALSE), "0#") &amp; "] = {"</f>
        <v>[09] = {</v>
      </c>
      <c r="G5" s="9"/>
      <c r="H5" s="9"/>
      <c r="I5" s="9"/>
      <c r="J5" s="9"/>
      <c r="K5" s="10" t="str">
        <f>IF(LEN(표4[Value Org]) = 3, "{ '" &amp; MID(표4[Value Org], 1, 1) &amp; "', '" &amp; MID(표4[Value Org], 2, 1) &amp; "', '" &amp; MID(표4[Value Org], 3, 1) &amp; "' }", "")</f>
        <v/>
      </c>
      <c r="L5" s="9"/>
      <c r="M5" s="9"/>
      <c r="N5" s="10"/>
      <c r="O5" s="9"/>
    </row>
    <row r="6" spans="2:15" x14ac:dyDescent="0.3">
      <c r="B6" s="8" t="s">
        <v>80</v>
      </c>
      <c r="C6" s="8" t="str">
        <f>IFERROR(VLOOKUP(C3, AudioTrackDb[], 3, FALSE), "")</f>
        <v>""</v>
      </c>
      <c r="F6" s="9"/>
      <c r="G6" s="8" t="str">
        <f>VLOOKUP("Aud Pid Field", AudRef[], 2, FALSE)</f>
        <v>.usPid</v>
      </c>
      <c r="I6" s="8" t="str">
        <f>"= 0x" &amp; AUDIO_PID &amp; ","</f>
        <v>= 0x1009,</v>
      </c>
      <c r="N6" s="9"/>
      <c r="O6" s="9"/>
    </row>
    <row r="7" spans="2:15" x14ac:dyDescent="0.3">
      <c r="B7" s="8" t="s">
        <v>87</v>
      </c>
      <c r="C7" s="8" t="str">
        <f>IFERROR(VLOOKUP(C3, AudioTrackDb[], 4, FALSE), "")</f>
        <v>yes</v>
      </c>
      <c r="F7" s="9"/>
      <c r="G7" s="8" t="str">
        <f>VLOOKUP("Aud CompTag Field", AudRef[], 2, FALSE)</f>
        <v>.ucComponentTag</v>
      </c>
      <c r="I7" s="8" t="str">
        <f>"= 0,"</f>
        <v>= 0,</v>
      </c>
      <c r="K7" s="8" t="str">
        <f>IF(LEN(표4[Value Org]) = 3, "{ '" &amp; MID(표4[Value Org], 1, 1) &amp; "', '" &amp; MID(표4[Value Org], 2, 1) &amp; "', '" &amp; MID(표4[Value Org], 3, 1) &amp; "' }", "")</f>
        <v/>
      </c>
      <c r="N7" s="9"/>
      <c r="O7" s="9"/>
    </row>
    <row r="8" spans="2:15" x14ac:dyDescent="0.3">
      <c r="B8" s="8" t="s">
        <v>88</v>
      </c>
      <c r="C8" s="8" t="str">
        <f>IFERROR(VLOOKUP(C3, AudioTrackDb[], 5, FALSE), "")</f>
        <v>no</v>
      </c>
      <c r="F8" s="9"/>
      <c r="G8" s="8" t="s">
        <v>83</v>
      </c>
      <c r="I8" s="8" t="str">
        <f>"= " &amp; IF(EXACT(표4[Value Org], "yes"), VLOOKUP("Aud Codec Dolby Value", AudRef[], 2, FALSE), VLOOKUP("Aud Codec MPEG Value", AudRef[], 2, FALSE)) &amp; ","</f>
        <v>= eDxAUDIO_CODEC_DOLBY_AC3,</v>
      </c>
      <c r="M8" s="8" t="str">
        <f>VLOOKUP("Multi Ref", AudRef[], 2, FALSE)</f>
        <v>yes</v>
      </c>
      <c r="N8" s="9"/>
      <c r="O8" s="9"/>
    </row>
    <row r="9" spans="2:15" x14ac:dyDescent="0.3">
      <c r="B9" s="9" t="s">
        <v>202</v>
      </c>
      <c r="C9" s="9" t="str">
        <f>IFERROR(VLOOKUP(C3, AudioTrackDb[], 6, FALSE), "")</f>
        <v>n/a</v>
      </c>
      <c r="E9" s="9"/>
      <c r="F9" s="9"/>
      <c r="G9" s="9" t="str">
        <f>VLOOKUP("Aud LangInfo Field", AudRef[], 2, FALSE)</f>
        <v>.astIsoLangInfo</v>
      </c>
      <c r="H9" s="9"/>
      <c r="I9" s="9" t="str">
        <f>"= {"</f>
        <v>= {</v>
      </c>
      <c r="J9" s="9"/>
      <c r="K9" s="10" t="str">
        <f>IF(LEN(표4[Value Org]) = 3, "{ '" &amp; MID(표4[Value Org], 1, 1) &amp; "', '" &amp; MID(표4[Value Org], 2, 1) &amp; "', '" &amp; MID(표4[Value Org], 3, 1) &amp; "' }", "")</f>
        <v/>
      </c>
      <c r="L9" s="9"/>
      <c r="M9" s="9"/>
      <c r="N9" s="10"/>
      <c r="O9" s="9"/>
    </row>
    <row r="10" spans="2:15" x14ac:dyDescent="0.3">
      <c r="B10" s="9" t="s">
        <v>119</v>
      </c>
      <c r="C10" s="9" t="s">
        <v>120</v>
      </c>
      <c r="F10" s="9"/>
      <c r="H10" s="8" t="str">
        <f>"[0] = {  " &amp; VLOOKUP("LangInfo Type Field", AudRef[], 2, FALSE)</f>
        <v>[0] = {  .eAudType</v>
      </c>
      <c r="I10" s="8" t="str">
        <f>"= " &amp; IF(EXACT(표4[AD Value], "yes"), VLOOKUP("Aud Type AD Value", AudRef[], 2, FALSE), VLOOKUP("Aud Type Undef Value", AudRef[], 2, FALSE)) &amp; ","</f>
        <v>= eAUDIO_TYPE_UNDEFINED,</v>
      </c>
      <c r="J10" s="8" t="str">
        <f>VLOOKUP("LangInfo Iso639 Field", AudRef[], 2, FALSE) &amp; " ="</f>
        <v>.szIso639LangCode =</v>
      </c>
      <c r="K10" s="8" t="str">
        <f>IF(LEN(표4[Value Org]) = 3, "{ '" &amp; MID(표4[Value Org], 1, 1) &amp; "', '" &amp; MID(표4[Value Org], 2, 1) &amp; "', '" &amp; MID(표4[Value Org], 3, 1) &amp; "' }", "{ 0, }")</f>
        <v>{ 's', 'w', 'e' }</v>
      </c>
      <c r="L10" s="8" t="s">
        <v>78</v>
      </c>
      <c r="M10" s="8" t="str">
        <f>IF(LEN(VLOOKUP("Lang0 Ref", AudRef[], 2, FALSE))&lt;&gt;3,"", VLOOKUP("Lang0 Ref", AudRef[], 2, FALSE))</f>
        <v>swe</v>
      </c>
      <c r="N10" s="9" t="str">
        <f>VLOOKUP("AD Ref", AudRef[], 2, FALSE)</f>
        <v>no</v>
      </c>
      <c r="O10" s="9"/>
    </row>
    <row r="11" spans="2:15" x14ac:dyDescent="0.3">
      <c r="B11" s="9" t="s">
        <v>118</v>
      </c>
      <c r="C11" s="9" t="s">
        <v>121</v>
      </c>
      <c r="F11" s="9"/>
      <c r="H11" s="8" t="str">
        <f>"[1] = {  " &amp; VLOOKUP("LangInfo Type Field", AudRef[], 2, FALSE)</f>
        <v>[1] = {  .eAudType</v>
      </c>
      <c r="I11" s="8" t="str">
        <f>"= " &amp; IF(EXACT(표4[AD Value], "yes"), VLOOKUP("Aud Type AD Value", AudRef[], 2, FALSE), VLOOKUP("Aud Type Undef Value", AudRef[], 2, FALSE)) &amp; ","</f>
        <v>= eAUDIO_TYPE_UNDEFINED,</v>
      </c>
      <c r="J11" s="8" t="str">
        <f>VLOOKUP("LangInfo Iso639 Field", AudRef[], 2, FALSE) &amp; " ="</f>
        <v>.szIso639LangCode =</v>
      </c>
      <c r="K11" s="8" t="str">
        <f>IF(LEN(표4[Value Org]) = 3, "{ '" &amp; MID(표4[Value Org], 1, 1) &amp; "', '" &amp; MID(표4[Value Org], 2, 1) &amp; "', '" &amp; MID(표4[Value Org], 3, 1) &amp; "' }", "{ 0, }")</f>
        <v>{ 0, }</v>
      </c>
      <c r="L11" s="8" t="s">
        <v>77</v>
      </c>
      <c r="M11" s="8" t="str">
        <f>IF(LEN(VLOOKUP("Lang1 Ref", AudRef[], 2, FALSE))&lt;&gt;3,"", VLOOKUP("Lang1 Ref", AudRef[], 2, FALSE))</f>
        <v/>
      </c>
      <c r="N11" s="9"/>
      <c r="O11" s="9"/>
    </row>
    <row r="12" spans="2:15" x14ac:dyDescent="0.3">
      <c r="B12" s="9" t="s">
        <v>122</v>
      </c>
      <c r="C12" s="9" t="s">
        <v>82</v>
      </c>
      <c r="F12" s="9"/>
      <c r="H12" s="8" t="str">
        <f>"[2] = {  " &amp; VLOOKUP("LangInfo Type Field", AudRef[], 2, FALSE)</f>
        <v>[2] = {  .eAudType</v>
      </c>
      <c r="I12" s="8" t="str">
        <f>"= " &amp; IF(EXACT(표4[AD Value], "yes"), VLOOKUP("Aud Type AD Value", AudRef[], 2, FALSE), VLOOKUP("Aud Type Undef Value", AudRef[], 2, FALSE)) &amp; ","</f>
        <v>= eAUDIO_TYPE_UNDEFINED,</v>
      </c>
      <c r="J12" s="8" t="str">
        <f>VLOOKUP("LangInfo Iso639 Field", AudRef[], 2, FALSE) &amp; " ="</f>
        <v>.szIso639LangCode =</v>
      </c>
      <c r="K12" s="8" t="str">
        <f>IF(LEN(표4[Value Org]) = 3, "{ '" &amp; MID(표4[Value Org], 1, 1) &amp; "', '" &amp; MID(표4[Value Org], 2, 1) &amp; "', '" &amp; MID(표4[Value Org], 3, 1) &amp; "' }", "{ 0, }")</f>
        <v>{ 0, }</v>
      </c>
      <c r="L12" s="8" t="s">
        <v>77</v>
      </c>
      <c r="N12" s="9"/>
      <c r="O12" s="9"/>
    </row>
    <row r="13" spans="2:15" x14ac:dyDescent="0.3">
      <c r="B13" s="9" t="s">
        <v>123</v>
      </c>
      <c r="C13" s="9" t="s">
        <v>128</v>
      </c>
      <c r="F13" s="9"/>
      <c r="H13" s="8" t="str">
        <f>"[3] = {  " &amp; VLOOKUP("LangInfo Type Field", AudRef[], 2, FALSE)</f>
        <v>[3] = {  .eAudType</v>
      </c>
      <c r="I13" s="8" t="str">
        <f>"= " &amp; IF(EXACT(표4[AD Value], "yes"), VLOOKUP("Aud Type AD Value", AudRef[], 2, FALSE), VLOOKUP("Aud Type Undef Value", AudRef[], 2, FALSE)) &amp; ","</f>
        <v>= eAUDIO_TYPE_UNDEFINED,</v>
      </c>
      <c r="J13" s="8" t="str">
        <f>VLOOKUP("LangInfo Iso639 Field", AudRef[], 2, FALSE) &amp; " ="</f>
        <v>.szIso639LangCode =</v>
      </c>
      <c r="K13" s="8" t="str">
        <f>IF(LEN(표4[Value Org]) = 3, "{ '" &amp; MID(표4[Value Org], 1, 1) &amp; "', '" &amp; MID(표4[Value Org], 2, 1) &amp; "', '" &amp; MID(표4[Value Org], 3, 1) &amp; "' }", "{ 0, }")</f>
        <v>{ 0, }</v>
      </c>
      <c r="L13" s="8" t="s">
        <v>96</v>
      </c>
      <c r="N13" s="9"/>
      <c r="O13" s="9"/>
    </row>
    <row r="14" spans="2:15" x14ac:dyDescent="0.3">
      <c r="B14" s="9" t="s">
        <v>130</v>
      </c>
      <c r="C14" s="9" t="s">
        <v>129</v>
      </c>
      <c r="E14" s="9"/>
      <c r="F14" s="9"/>
      <c r="G14" s="9" t="str">
        <f>"},"</f>
        <v>},</v>
      </c>
      <c r="H14" s="9"/>
      <c r="I14" s="9"/>
      <c r="J14" s="9"/>
      <c r="K14" s="10" t="str">
        <f>IF(LEN(표4[Value Org]) = 3, "{ '" &amp; MID(표4[Value Org], 1, 1) &amp; "', '" &amp; MID(표4[Value Org], 2, 1) &amp; "', '" &amp; MID(표4[Value Org], 3, 1) &amp; "' }", "")</f>
        <v/>
      </c>
      <c r="L14" s="9"/>
      <c r="M14" s="9"/>
      <c r="N14" s="10"/>
      <c r="O14" s="9"/>
    </row>
    <row r="15" spans="2:15" x14ac:dyDescent="0.3">
      <c r="B15" s="9" t="s">
        <v>135</v>
      </c>
      <c r="C15" s="9" t="s">
        <v>131</v>
      </c>
      <c r="F15" s="9"/>
      <c r="G15" s="8" t="str">
        <f>VLOOKUP("Aud CaDesFound Field", AudRef[], 2, FALSE)</f>
        <v>.bCaDesFound</v>
      </c>
      <c r="I15" s="8" t="str">
        <f>"= FALSE,"</f>
        <v>= FALSE,</v>
      </c>
      <c r="K15" s="8" t="str">
        <f>IF(LEN(표4[Value Org]) = 3, "{ '" &amp; MID(표4[Value Org], 1, 1) &amp; "', '" &amp; MID(표4[Value Org], 2, 1) &amp; "', '" &amp; MID(표4[Value Org], 3, 1) &amp; "' }", "")</f>
        <v/>
      </c>
      <c r="N15" s="9"/>
      <c r="O15" s="9"/>
    </row>
    <row r="16" spans="2:15" x14ac:dyDescent="0.3">
      <c r="B16" s="9" t="s">
        <v>124</v>
      </c>
      <c r="C16" s="9" t="s">
        <v>84</v>
      </c>
      <c r="F16" s="9"/>
      <c r="G16" s="8" t="str">
        <f>VLOOKUP("Aud ChannelNum Field", AudRef[], 2, FALSE)</f>
        <v>.ucChannelNum</v>
      </c>
      <c r="I16" s="8" t="str">
        <f>"= 1,"</f>
        <v>= 1,</v>
      </c>
      <c r="K16" s="8" t="str">
        <f>IF(LEN(표4[Value Org]) = 3, "{ '" &amp; MID(표4[Value Org], 1, 1) &amp; "', '" &amp; MID(표4[Value Org], 2, 1) &amp; "', '" &amp; MID(표4[Value Org], 3, 1) &amp; "' }", "")</f>
        <v/>
      </c>
      <c r="N16" s="9"/>
      <c r="O16" s="9"/>
    </row>
    <row r="17" spans="2:15" x14ac:dyDescent="0.3">
      <c r="B17" s="9" t="s">
        <v>125</v>
      </c>
      <c r="C17" s="9" t="s">
        <v>132</v>
      </c>
      <c r="F17" s="9"/>
      <c r="G17" s="8" t="str">
        <f>VLOOKUP("Aud SuppAE Field", AudRef[], 2, FALSE)</f>
        <v>.eSuppAudioEditorial</v>
      </c>
      <c r="I17" s="8" t="str">
        <f>"= "  &amp; IF(EXACT(VLOOKUP("AD Ref", AudRef[], 2, FALSE), "yes"), VLOOKUP("Aud Supp AE AD VI Value", AudRef[], 2, FALSE), VLOOKUP("Aud Supp AE Main Value", AudRef[], 2, FALSE)) &amp; ","</f>
        <v>= eAUDIO_TYPE_SUPP_MAIN,</v>
      </c>
      <c r="K17" s="8" t="str">
        <f>IF(LEN(표4[Value Org]) = 3, "{ '" &amp; MID(표4[Value Org], 1, 1) &amp; "', '" &amp; MID(표4[Value Org], 2, 1) &amp; "', '" &amp; MID(표4[Value Org], 3, 1) &amp; "' }", "")</f>
        <v/>
      </c>
      <c r="N17" s="9"/>
      <c r="O17" s="9"/>
    </row>
    <row r="18" spans="2:15" x14ac:dyDescent="0.3">
      <c r="B18" s="9" t="s">
        <v>126</v>
      </c>
      <c r="C18" s="9" t="s">
        <v>72</v>
      </c>
      <c r="E18" s="9"/>
      <c r="F18" s="9"/>
      <c r="G18" s="9" t="str">
        <f>VLOOKUP("Aud Mix Type Field", AudRef[], 2, FALSE)</f>
        <v>.ucMixType</v>
      </c>
      <c r="H18" s="9"/>
      <c r="I18" s="9" t="str">
        <f>"= " &amp; IF(EXACT(VLOOKUP("AD Sub Type", AudRef[], 2, FALSE), "BM"), "1", "0")</f>
        <v>= 0</v>
      </c>
      <c r="J18" s="9"/>
      <c r="K18" s="10" t="str">
        <f>IF(LEN(표4[Value Org]) = 3, "{ '" &amp; MID(표4[Value Org], 1, 1) &amp; "', '" &amp; MID(표4[Value Org], 2, 1) &amp; "', '" &amp; MID(표4[Value Org], 3, 1) &amp; "' }", "")</f>
        <v/>
      </c>
      <c r="L18" s="9"/>
      <c r="M18" s="9"/>
      <c r="N18" s="10"/>
      <c r="O18" s="9"/>
    </row>
    <row r="19" spans="2:15" x14ac:dyDescent="0.3">
      <c r="B19" s="9" t="s">
        <v>127</v>
      </c>
      <c r="C19" s="9" t="s">
        <v>133</v>
      </c>
      <c r="E19" s="9"/>
      <c r="F19" s="9" t="s">
        <v>90</v>
      </c>
      <c r="G19" s="9"/>
      <c r="H19" s="9"/>
      <c r="I19" s="9"/>
      <c r="J19" s="9"/>
      <c r="K19" s="10" t="str">
        <f>IF(LEN(표4[Value Org]) = 3, "{ '" &amp; MID(표4[Value Org], 1, 1) &amp; "', '" &amp; MID(표4[Value Org], 2, 1) &amp; "', '" &amp; MID(표4[Value Org], 3, 1) &amp; "' }", "")</f>
        <v/>
      </c>
      <c r="L19" s="9"/>
      <c r="M19" s="9"/>
      <c r="N19" s="10"/>
      <c r="O19" s="9"/>
    </row>
    <row r="20" spans="2:15" x14ac:dyDescent="0.3">
      <c r="B20" s="9" t="s">
        <v>136</v>
      </c>
      <c r="C20" s="9" t="s">
        <v>134</v>
      </c>
      <c r="E20" s="9" t="s">
        <v>91</v>
      </c>
      <c r="F20" s="9"/>
      <c r="G20" s="9"/>
      <c r="H20" s="9"/>
      <c r="I20" s="9"/>
      <c r="J20" s="9"/>
      <c r="K20" s="10" t="str">
        <f>IF(LEN(표4[Value Org]) = 3, "{ '" &amp; MID(표4[Value Org], 1, 1) &amp; "', '" &amp; MID(표4[Value Org], 2, 1) &amp; "', '" &amp; MID(표4[Value Org], 3, 1) &amp; "' }", "")</f>
        <v/>
      </c>
      <c r="L20" s="9"/>
      <c r="M20" s="9"/>
      <c r="N20" s="10"/>
      <c r="O20" s="9"/>
    </row>
    <row r="21" spans="2:15" x14ac:dyDescent="0.3">
      <c r="B21" s="9" t="s">
        <v>137</v>
      </c>
      <c r="C21" s="9" t="s">
        <v>138</v>
      </c>
      <c r="E21" s="9"/>
      <c r="F21" s="9"/>
      <c r="G21" s="9"/>
      <c r="H21" s="9"/>
      <c r="I21" s="9"/>
      <c r="J21" s="9"/>
      <c r="K21" s="10" t="str">
        <f>IF(LEN(표4[Value Org]) = 3, "{ '" &amp; MID(표4[Value Org], 1, 1) &amp; "', '" &amp; MID(표4[Value Org], 2, 1) &amp; "', '" &amp; MID(표4[Value Org], 3, 1) &amp; "' }", "")</f>
        <v/>
      </c>
      <c r="L21" s="9"/>
      <c r="M21" s="9"/>
      <c r="N21" s="10"/>
      <c r="O21" s="9"/>
    </row>
    <row r="22" spans="2:15" x14ac:dyDescent="0.3">
      <c r="B22" s="9" t="s">
        <v>140</v>
      </c>
      <c r="C22" s="9" t="s">
        <v>139</v>
      </c>
      <c r="E22" s="9"/>
      <c r="F22" s="9"/>
      <c r="G22" s="9"/>
      <c r="H22" s="9"/>
      <c r="I22" s="9"/>
      <c r="J22" s="9"/>
      <c r="K22" s="10"/>
      <c r="L22" s="9"/>
      <c r="M22" s="9"/>
      <c r="N22" s="10"/>
    </row>
    <row r="23" spans="2:15" x14ac:dyDescent="0.3">
      <c r="B23" s="9" t="s">
        <v>143</v>
      </c>
      <c r="C23" s="9" t="s">
        <v>141</v>
      </c>
      <c r="E23" s="9"/>
      <c r="F23" s="9"/>
      <c r="G23" s="9"/>
      <c r="H23" s="9"/>
      <c r="I23" s="9"/>
      <c r="J23" s="9"/>
      <c r="K23" s="10"/>
      <c r="L23" s="9"/>
      <c r="M23" s="9"/>
      <c r="N23" s="10"/>
    </row>
    <row r="24" spans="2:15" x14ac:dyDescent="0.3">
      <c r="B24" s="9" t="s">
        <v>144</v>
      </c>
      <c r="C24" s="9" t="s">
        <v>142</v>
      </c>
    </row>
    <row r="25" spans="2:15" x14ac:dyDescent="0.3">
      <c r="B25" s="9" t="s">
        <v>146</v>
      </c>
      <c r="C25" s="9" t="s">
        <v>145</v>
      </c>
    </row>
    <row r="26" spans="2:15" x14ac:dyDescent="0.3">
      <c r="B26" s="9" t="s">
        <v>204</v>
      </c>
      <c r="C26" s="9" t="s">
        <v>203</v>
      </c>
    </row>
    <row r="27" spans="2:15" x14ac:dyDescent="0.3">
      <c r="B27" s="9" t="s">
        <v>186</v>
      </c>
      <c r="C27" s="9" t="s">
        <v>187</v>
      </c>
    </row>
    <row r="28" spans="2:15" x14ac:dyDescent="0.3">
      <c r="B28" s="9"/>
      <c r="C28" s="9"/>
    </row>
    <row r="29" spans="2:15" x14ac:dyDescent="0.3">
      <c r="B29" s="9"/>
      <c r="C29" s="9"/>
    </row>
    <row r="30" spans="2:15" x14ac:dyDescent="0.3">
      <c r="B30" s="9"/>
      <c r="C30" s="9"/>
    </row>
    <row r="31" spans="2:15" x14ac:dyDescent="0.3">
      <c r="B31" s="9"/>
      <c r="C31" s="9"/>
    </row>
    <row r="32" spans="2:15" x14ac:dyDescent="0.3">
      <c r="B32" s="9"/>
      <c r="C32" s="9"/>
    </row>
  </sheetData>
  <protectedRanges>
    <protectedRange algorithmName="SHA-512" hashValue="Jx0zkBCfx4pxLeE9vqjWPdTO6fGK1RtsoyVgE8wRqo4scqungbevn16tbcQdtSmBKzRN60Q/y1sFlEPY46ItTg==" saltValue="1HHJea85Rf/HMtO+bazABA==" spinCount="100000" sqref="C3 C10:C25" name="FieldNameValue"/>
  </protectedRanges>
  <phoneticPr fontId="2" type="noConversion"/>
  <pageMargins left="0.7" right="0.7" top="0.75" bottom="0.75" header="0.3" footer="0.3"/>
  <pageSetup paperSize="9" orientation="portrait" r:id="rId1"/>
  <ignoredErrors>
    <ignoredError sqref="K10:K13" calculatedColum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AudioConfig!$B$3:$B$36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Base</vt:lpstr>
      <vt:lpstr>AudioConfig</vt:lpstr>
      <vt:lpstr>AudioSelection</vt:lpstr>
      <vt:lpstr>AudioEsList</vt:lpstr>
      <vt:lpstr>AD_REF</vt:lpstr>
      <vt:lpstr>AUDIO_PID</vt:lpstr>
      <vt:lpstr>AudioTrackList</vt:lpstr>
      <vt:lpstr>LANG0_REF</vt:lpstr>
      <vt:lpstr>LANG1_REF</vt:lpstr>
      <vt:lpstr>MULTI_REF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민창훈(CH Min)</dc:creator>
  <cp:lastModifiedBy>민창훈(CH Min)</cp:lastModifiedBy>
  <dcterms:created xsi:type="dcterms:W3CDTF">2014-02-27T09:24:55Z</dcterms:created>
  <dcterms:modified xsi:type="dcterms:W3CDTF">2014-06-26T04:54:39Z</dcterms:modified>
</cp:coreProperties>
</file>