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ork\src\hdr4000t\apps\octo\service\obama\main\tvservice\svc\si\test\"/>
    </mc:Choice>
  </mc:AlternateContent>
  <bookViews>
    <workbookView xWindow="0" yWindow="0" windowWidth="26565" windowHeight="10155" activeTab="2"/>
  </bookViews>
  <sheets>
    <sheet name="Base" sheetId="5" r:id="rId1"/>
    <sheet name="SubtitleConfig" sheetId="4" r:id="rId2"/>
    <sheet name="SubtitleSelection" sheetId="1" r:id="rId3"/>
    <sheet name="SubtitleEsList" sheetId="2" r:id="rId4"/>
  </sheets>
  <definedNames>
    <definedName name="AD_REF">SubtitleEsList!#REF!</definedName>
    <definedName name="AR_M">SubtitleSelection!$D$15</definedName>
    <definedName name="AR_M_KEY">SubtitleSelection!$B$15</definedName>
    <definedName name="AUDIO_PID">SubtitleEsList!$C$4</definedName>
    <definedName name="AudioTrackList">TrackTable[]</definedName>
    <definedName name="DVB_M">SubtitleSelection!$D$12</definedName>
    <definedName name="DVB_M_KEY">SubtitleSelection!$B$12</definedName>
    <definedName name="EMPTY_VALUE">Base!$C$18</definedName>
    <definedName name="HOH_M">SubtitleSelection!$D$10</definedName>
    <definedName name="HOH_M_KEY">SubtitleSelection!$B$10</definedName>
    <definedName name="HOH_U">SubtitleSelection!$D$9</definedName>
    <definedName name="HOH_U_KEY">SubtitleSelection!$B$9</definedName>
    <definedName name="LANG_DEF">SubtitleSelection!$D$8</definedName>
    <definedName name="LANG_DEF_KEY">SubtitleSelection!$B$8</definedName>
    <definedName name="LANG_ORG">SubtitleSelection!$D$7</definedName>
    <definedName name="LANG_ORG_KEY">SubtitleSelection!$B$7</definedName>
    <definedName name="LANG_OSD">SubtitleSelection!$D$5</definedName>
    <definedName name="LANG_OSD_KEY">SubtitleSelection!$B$5</definedName>
    <definedName name="LANG_SUBTTL">SubtitleSelection!$D$3</definedName>
    <definedName name="LANG_SUBTTL_KEY">SubtitleSelection!$B$3</definedName>
    <definedName name="LANG_SUBTTL_KEY1">SubtitleSelection!$B$4</definedName>
    <definedName name="LANG_SUBTTL1">SubtitleSelection!$D$4</definedName>
    <definedName name="LANG_UND">SubtitleSelection!$D$6</definedName>
    <definedName name="LANG_UND_KEY">SubtitleSelection!$B$6</definedName>
    <definedName name="LANG_USER">SubtitleSelection!$D$2</definedName>
    <definedName name="LANG_USER_KEY">SubtitleSelection!$B$2</definedName>
    <definedName name="LANG0_REF">SubtitleEsList!$C$5</definedName>
    <definedName name="SUBTTL_TYPE_REF">SubtitleEsList!$C$6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" i="4" l="1"/>
  <c r="K57" i="4"/>
  <c r="L56" i="4"/>
  <c r="L57" i="4"/>
  <c r="M29" i="4"/>
  <c r="M30" i="4"/>
  <c r="M28" i="4"/>
  <c r="K46" i="4"/>
  <c r="K47" i="4"/>
  <c r="K48" i="4"/>
  <c r="K49" i="4"/>
  <c r="M12" i="4"/>
  <c r="M13" i="4"/>
  <c r="M16" i="4"/>
  <c r="L48" i="4" s="1"/>
  <c r="M15" i="4"/>
  <c r="L47" i="4" s="1"/>
  <c r="AZ26" i="1" l="1"/>
  <c r="AZ27" i="1"/>
  <c r="AZ28" i="1"/>
  <c r="AZ29" i="1"/>
  <c r="AZ30" i="1"/>
  <c r="AZ31" i="1"/>
  <c r="AZ32" i="1"/>
  <c r="AZ33" i="1"/>
  <c r="AZ34" i="1"/>
  <c r="AZ35" i="1"/>
  <c r="AZ36" i="1"/>
  <c r="K43" i="4" l="1"/>
  <c r="M19" i="4"/>
  <c r="L43" i="4" s="1"/>
  <c r="M20" i="4"/>
  <c r="M21" i="4"/>
  <c r="L45" i="4" s="1"/>
  <c r="M22" i="4"/>
  <c r="L42" i="4" s="1"/>
  <c r="M23" i="4"/>
  <c r="K45" i="4"/>
  <c r="BA23" i="1"/>
  <c r="AZ3" i="1"/>
  <c r="AZ4" i="1"/>
  <c r="AZ5" i="1"/>
  <c r="AZ6" i="1"/>
  <c r="K42" i="4"/>
  <c r="AZ2" i="1"/>
  <c r="K36" i="4"/>
  <c r="M6" i="4"/>
  <c r="L36" i="4" s="1"/>
  <c r="O27" i="1"/>
  <c r="O28" i="1"/>
  <c r="O29" i="1"/>
  <c r="O30" i="1"/>
  <c r="O31" i="1"/>
  <c r="O32" i="1"/>
  <c r="O33" i="1"/>
  <c r="O34" i="1"/>
  <c r="O35" i="1"/>
  <c r="O36" i="1"/>
  <c r="M27" i="1"/>
  <c r="M28" i="1"/>
  <c r="M29" i="1"/>
  <c r="M30" i="1"/>
  <c r="M31" i="1"/>
  <c r="M32" i="1"/>
  <c r="M33" i="1"/>
  <c r="M34" i="1"/>
  <c r="M35" i="1"/>
  <c r="M36" i="1"/>
  <c r="P32" i="1" l="1"/>
  <c r="P28" i="1"/>
  <c r="P36" i="1"/>
  <c r="P35" i="1"/>
  <c r="P31" i="1"/>
  <c r="P27" i="1"/>
  <c r="P34" i="1"/>
  <c r="P33" i="1"/>
  <c r="P29" i="1"/>
  <c r="P30" i="1"/>
  <c r="W27" i="1"/>
  <c r="W28" i="1"/>
  <c r="W29" i="1"/>
  <c r="W30" i="1"/>
  <c r="W31" i="1"/>
  <c r="W32" i="1"/>
  <c r="W33" i="1"/>
  <c r="W34" i="1"/>
  <c r="W35" i="1"/>
  <c r="W36" i="1"/>
  <c r="U27" i="1"/>
  <c r="U28" i="1"/>
  <c r="U29" i="1"/>
  <c r="U30" i="1"/>
  <c r="U31" i="1"/>
  <c r="U32" i="1"/>
  <c r="U33" i="1"/>
  <c r="U34" i="1"/>
  <c r="U35" i="1"/>
  <c r="U36" i="1"/>
  <c r="S27" i="1"/>
  <c r="S28" i="1"/>
  <c r="S29" i="1"/>
  <c r="S30" i="1"/>
  <c r="S31" i="1"/>
  <c r="S32" i="1"/>
  <c r="S33" i="1"/>
  <c r="S34" i="1"/>
  <c r="S35" i="1"/>
  <c r="S36" i="1"/>
  <c r="Q27" i="1"/>
  <c r="Q28" i="1"/>
  <c r="Q29" i="1"/>
  <c r="Q30" i="1"/>
  <c r="Q31" i="1"/>
  <c r="Q32" i="1"/>
  <c r="Q33" i="1"/>
  <c r="Q34" i="1"/>
  <c r="Q35" i="1"/>
  <c r="Q36" i="1"/>
  <c r="K27" i="1"/>
  <c r="K28" i="1"/>
  <c r="K29" i="1"/>
  <c r="K30" i="1"/>
  <c r="K31" i="1"/>
  <c r="K32" i="1"/>
  <c r="K33" i="1"/>
  <c r="K34" i="1"/>
  <c r="K35" i="1"/>
  <c r="K36" i="1"/>
  <c r="J27" i="1" l="1"/>
  <c r="AN27" i="1" s="1"/>
  <c r="J28" i="1"/>
  <c r="AN28" i="1" s="1"/>
  <c r="J29" i="1"/>
  <c r="AN29" i="1" s="1"/>
  <c r="J30" i="1"/>
  <c r="AN30" i="1" s="1"/>
  <c r="J31" i="1"/>
  <c r="AN31" i="1" s="1"/>
  <c r="J32" i="1"/>
  <c r="AN32" i="1" s="1"/>
  <c r="J33" i="1"/>
  <c r="AN33" i="1" s="1"/>
  <c r="J34" i="1"/>
  <c r="AN34" i="1" s="1"/>
  <c r="J35" i="1"/>
  <c r="AN35" i="1" s="1"/>
  <c r="J36" i="1"/>
  <c r="AN36" i="1" s="1"/>
  <c r="I27" i="1"/>
  <c r="Y27" i="1" s="1"/>
  <c r="I28" i="1"/>
  <c r="Y28" i="1" s="1"/>
  <c r="I29" i="1"/>
  <c r="I30" i="1"/>
  <c r="I31" i="1"/>
  <c r="Y31" i="1" s="1"/>
  <c r="I32" i="1"/>
  <c r="Y32" i="1" s="1"/>
  <c r="I33" i="1"/>
  <c r="I34" i="1"/>
  <c r="I35" i="1"/>
  <c r="Y35" i="1" s="1"/>
  <c r="I36" i="1"/>
  <c r="Y36" i="1" s="1"/>
  <c r="K50" i="4"/>
  <c r="M11" i="4"/>
  <c r="L50" i="4" l="1"/>
  <c r="L46" i="4"/>
  <c r="Z30" i="1"/>
  <c r="AA30" i="1" s="1"/>
  <c r="AV30" i="1"/>
  <c r="AT30" i="1"/>
  <c r="AQ30" i="1"/>
  <c r="AO30" i="1"/>
  <c r="AT33" i="1"/>
  <c r="AO33" i="1"/>
  <c r="Z33" i="1"/>
  <c r="AA33" i="1" s="1"/>
  <c r="AV33" i="1"/>
  <c r="AQ33" i="1"/>
  <c r="AQ29" i="1"/>
  <c r="AO29" i="1"/>
  <c r="Z29" i="1"/>
  <c r="AA29" i="1" s="1"/>
  <c r="AV29" i="1"/>
  <c r="AT29" i="1"/>
  <c r="AO36" i="1"/>
  <c r="Z36" i="1"/>
  <c r="AA36" i="1" s="1"/>
  <c r="AV36" i="1"/>
  <c r="AT36" i="1"/>
  <c r="AQ36" i="1"/>
  <c r="AO32" i="1"/>
  <c r="Z32" i="1"/>
  <c r="AA32" i="1" s="1"/>
  <c r="AV32" i="1"/>
  <c r="AT32" i="1"/>
  <c r="AQ32" i="1"/>
  <c r="AO28" i="1"/>
  <c r="Z28" i="1"/>
  <c r="AA28" i="1" s="1"/>
  <c r="AV28" i="1"/>
  <c r="AT28" i="1"/>
  <c r="AQ28" i="1"/>
  <c r="Z34" i="1"/>
  <c r="AA34" i="1" s="1"/>
  <c r="AV34" i="1"/>
  <c r="AT34" i="1"/>
  <c r="AQ34" i="1"/>
  <c r="AO34" i="1"/>
  <c r="AO35" i="1"/>
  <c r="Z35" i="1"/>
  <c r="AA35" i="1" s="1"/>
  <c r="AV35" i="1"/>
  <c r="AT35" i="1"/>
  <c r="AQ35" i="1"/>
  <c r="AO31" i="1"/>
  <c r="Z31" i="1"/>
  <c r="AA31" i="1" s="1"/>
  <c r="AV31" i="1"/>
  <c r="AT31" i="1"/>
  <c r="AQ31" i="1"/>
  <c r="AO27" i="1"/>
  <c r="Z27" i="1"/>
  <c r="AA27" i="1" s="1"/>
  <c r="AV27" i="1"/>
  <c r="AT27" i="1"/>
  <c r="AQ27" i="1"/>
  <c r="Y33" i="1"/>
  <c r="Y29" i="1"/>
  <c r="AS33" i="1"/>
  <c r="AS29" i="1"/>
  <c r="AW36" i="1"/>
  <c r="AW32" i="1"/>
  <c r="AW28" i="1"/>
  <c r="AW35" i="1"/>
  <c r="AW31" i="1"/>
  <c r="AW27" i="1"/>
  <c r="Y34" i="1"/>
  <c r="Y30" i="1"/>
  <c r="AS36" i="1"/>
  <c r="AC28" i="1"/>
  <c r="AC36" i="1"/>
  <c r="AS32" i="1"/>
  <c r="AC32" i="1"/>
  <c r="AS28" i="1"/>
  <c r="AW34" i="1"/>
  <c r="AW30" i="1"/>
  <c r="AC35" i="1"/>
  <c r="AC31" i="1"/>
  <c r="AC27" i="1"/>
  <c r="AS35" i="1"/>
  <c r="AS31" i="1"/>
  <c r="AS27" i="1"/>
  <c r="AW33" i="1"/>
  <c r="AW29" i="1"/>
  <c r="AC34" i="1"/>
  <c r="AC30" i="1"/>
  <c r="AS34" i="1"/>
  <c r="AS30" i="1"/>
  <c r="BA27" i="1"/>
  <c r="AC33" i="1"/>
  <c r="AC29" i="1"/>
  <c r="AX27" i="1"/>
  <c r="AY27" i="1" s="1"/>
  <c r="AX28" i="1"/>
  <c r="AY28" i="1" s="1"/>
  <c r="AX29" i="1"/>
  <c r="AY29" i="1" s="1"/>
  <c r="AX30" i="1"/>
  <c r="AY30" i="1" s="1"/>
  <c r="AX31" i="1"/>
  <c r="AY31" i="1" s="1"/>
  <c r="AX32" i="1"/>
  <c r="AY32" i="1" s="1"/>
  <c r="AX33" i="1"/>
  <c r="AY33" i="1" s="1"/>
  <c r="AX34" i="1"/>
  <c r="AY34" i="1" s="1"/>
  <c r="AX35" i="1"/>
  <c r="AY35" i="1" s="1"/>
  <c r="AX36" i="1"/>
  <c r="AY36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AN26" i="1" s="1"/>
  <c r="D27" i="1"/>
  <c r="D28" i="1"/>
  <c r="D29" i="1"/>
  <c r="D30" i="1"/>
  <c r="D31" i="1"/>
  <c r="D32" i="1"/>
  <c r="D33" i="1"/>
  <c r="D34" i="1"/>
  <c r="D35" i="1"/>
  <c r="D36" i="1"/>
  <c r="H27" i="1"/>
  <c r="H28" i="1"/>
  <c r="H29" i="1"/>
  <c r="H30" i="1"/>
  <c r="H31" i="1"/>
  <c r="H32" i="1"/>
  <c r="H33" i="1"/>
  <c r="H34" i="1"/>
  <c r="H35" i="1"/>
  <c r="H36" i="1"/>
  <c r="G27" i="1"/>
  <c r="G28" i="1"/>
  <c r="G29" i="1"/>
  <c r="G30" i="1"/>
  <c r="G31" i="1"/>
  <c r="G32" i="1"/>
  <c r="G33" i="1"/>
  <c r="G34" i="1"/>
  <c r="G35" i="1"/>
  <c r="G36" i="1"/>
  <c r="F27" i="1"/>
  <c r="F28" i="1"/>
  <c r="F29" i="1"/>
  <c r="F30" i="1"/>
  <c r="F31" i="1"/>
  <c r="F32" i="1"/>
  <c r="F33" i="1"/>
  <c r="F34" i="1"/>
  <c r="F35" i="1"/>
  <c r="F36" i="1"/>
  <c r="E27" i="1"/>
  <c r="AB27" i="1" s="1"/>
  <c r="E28" i="1"/>
  <c r="AB28" i="1" s="1"/>
  <c r="E29" i="1"/>
  <c r="AB29" i="1" s="1"/>
  <c r="E30" i="1"/>
  <c r="AB30" i="1" s="1"/>
  <c r="E31" i="1"/>
  <c r="AB31" i="1" s="1"/>
  <c r="E32" i="1"/>
  <c r="AB32" i="1" s="1"/>
  <c r="E33" i="1"/>
  <c r="AB33" i="1" s="1"/>
  <c r="E34" i="1"/>
  <c r="AB34" i="1" s="1"/>
  <c r="E35" i="1"/>
  <c r="AB35" i="1" s="1"/>
  <c r="E36" i="1"/>
  <c r="AB36" i="1" s="1"/>
  <c r="C18" i="5"/>
  <c r="AJ33" i="1" l="1"/>
  <c r="AF33" i="1"/>
  <c r="AG33" i="1" s="1"/>
  <c r="AD33" i="1"/>
  <c r="AH33" i="1"/>
  <c r="AI33" i="1" s="1"/>
  <c r="AJ36" i="1"/>
  <c r="AF36" i="1"/>
  <c r="AG36" i="1" s="1"/>
  <c r="AD36" i="1"/>
  <c r="AH36" i="1"/>
  <c r="AI36" i="1" s="1"/>
  <c r="AF32" i="1"/>
  <c r="AD32" i="1"/>
  <c r="AH32" i="1"/>
  <c r="AI32" i="1" s="1"/>
  <c r="AJ32" i="1"/>
  <c r="AJ28" i="1"/>
  <c r="AF28" i="1"/>
  <c r="AG28" i="1" s="1"/>
  <c r="AD28" i="1"/>
  <c r="AH28" i="1"/>
  <c r="AI28" i="1" s="1"/>
  <c r="AJ35" i="1"/>
  <c r="AF35" i="1"/>
  <c r="AG35" i="1" s="1"/>
  <c r="AD35" i="1"/>
  <c r="AH35" i="1"/>
  <c r="AI35" i="1" s="1"/>
  <c r="AJ31" i="1"/>
  <c r="AF31" i="1"/>
  <c r="AG31" i="1" s="1"/>
  <c r="AD31" i="1"/>
  <c r="AH31" i="1"/>
  <c r="AI31" i="1" s="1"/>
  <c r="AJ27" i="1"/>
  <c r="AF27" i="1"/>
  <c r="AG27" i="1" s="1"/>
  <c r="AD27" i="1"/>
  <c r="AH27" i="1"/>
  <c r="AI27" i="1" s="1"/>
  <c r="AJ29" i="1"/>
  <c r="AK29" i="1" s="1"/>
  <c r="AF29" i="1"/>
  <c r="AG29" i="1" s="1"/>
  <c r="AD29" i="1"/>
  <c r="AH29" i="1"/>
  <c r="AI29" i="1" s="1"/>
  <c r="AJ34" i="1"/>
  <c r="AF34" i="1"/>
  <c r="AG34" i="1" s="1"/>
  <c r="AD34" i="1"/>
  <c r="AH34" i="1"/>
  <c r="AI34" i="1" s="1"/>
  <c r="AJ30" i="1"/>
  <c r="AF30" i="1"/>
  <c r="AG30" i="1" s="1"/>
  <c r="AD30" i="1"/>
  <c r="AH30" i="1"/>
  <c r="AI30" i="1" s="1"/>
  <c r="AL35" i="1"/>
  <c r="AM35" i="1" s="1"/>
  <c r="AL31" i="1"/>
  <c r="AM31" i="1" s="1"/>
  <c r="AL27" i="1"/>
  <c r="AM27" i="1" s="1"/>
  <c r="AL34" i="1"/>
  <c r="AM34" i="1" s="1"/>
  <c r="AL30" i="1"/>
  <c r="AM30" i="1" s="1"/>
  <c r="AL33" i="1"/>
  <c r="AM33" i="1" s="1"/>
  <c r="AL29" i="1"/>
  <c r="AM29" i="1" s="1"/>
  <c r="AL36" i="1"/>
  <c r="AM36" i="1" s="1"/>
  <c r="AG32" i="1"/>
  <c r="AL32" i="1"/>
  <c r="AM32" i="1" s="1"/>
  <c r="AL28" i="1"/>
  <c r="AM28" i="1" s="1"/>
  <c r="Z26" i="1"/>
  <c r="AA26" i="1" s="1"/>
  <c r="AV26" i="1"/>
  <c r="AT26" i="1"/>
  <c r="AQ26" i="1"/>
  <c r="AO26" i="1"/>
  <c r="AV25" i="1"/>
  <c r="AV22" i="1"/>
  <c r="AV24" i="1"/>
  <c r="AV23" i="1"/>
  <c r="AV21" i="1"/>
  <c r="I24" i="1"/>
  <c r="W24" i="1" s="1"/>
  <c r="I25" i="1"/>
  <c r="U25" i="1" s="1"/>
  <c r="I21" i="1"/>
  <c r="W21" i="1" s="1"/>
  <c r="I23" i="1"/>
  <c r="Q23" i="1" s="1"/>
  <c r="BA26" i="1"/>
  <c r="I26" i="1"/>
  <c r="W26" i="1" s="1"/>
  <c r="I22" i="1"/>
  <c r="S22" i="1" s="1"/>
  <c r="K38" i="4"/>
  <c r="K39" i="4"/>
  <c r="K40" i="4"/>
  <c r="E32" i="4"/>
  <c r="F32" i="4"/>
  <c r="G32" i="4"/>
  <c r="H32" i="4"/>
  <c r="E37" i="4"/>
  <c r="E38" i="4"/>
  <c r="E39" i="4"/>
  <c r="E40" i="4"/>
  <c r="E41" i="4"/>
  <c r="F37" i="4"/>
  <c r="F38" i="4"/>
  <c r="F39" i="4"/>
  <c r="F40" i="4"/>
  <c r="F41" i="4"/>
  <c r="G37" i="4"/>
  <c r="G38" i="4"/>
  <c r="G39" i="4"/>
  <c r="G40" i="4"/>
  <c r="G41" i="4"/>
  <c r="H37" i="4"/>
  <c r="H38" i="4"/>
  <c r="H39" i="4"/>
  <c r="H40" i="4"/>
  <c r="H41" i="4"/>
  <c r="E30" i="4"/>
  <c r="E31" i="4"/>
  <c r="F30" i="4"/>
  <c r="F31" i="4"/>
  <c r="G30" i="4"/>
  <c r="G31" i="4"/>
  <c r="H30" i="4"/>
  <c r="H31" i="4"/>
  <c r="E26" i="4"/>
  <c r="F26" i="4"/>
  <c r="G26" i="4"/>
  <c r="H26" i="4"/>
  <c r="AK28" i="1" l="1"/>
  <c r="AK36" i="1"/>
  <c r="AK32" i="1"/>
  <c r="AK31" i="1"/>
  <c r="AK27" i="1"/>
  <c r="AK35" i="1"/>
  <c r="AK33" i="1"/>
  <c r="AK30" i="1"/>
  <c r="AK34" i="1"/>
  <c r="O23" i="1"/>
  <c r="P23" i="1" s="1"/>
  <c r="O26" i="1"/>
  <c r="P26" i="1" s="1"/>
  <c r="O22" i="1"/>
  <c r="P22" i="1" s="1"/>
  <c r="O21" i="1"/>
  <c r="P21" i="1" s="1"/>
  <c r="O24" i="1"/>
  <c r="P24" i="1" s="1"/>
  <c r="O25" i="1"/>
  <c r="P25" i="1" s="1"/>
  <c r="Q24" i="1"/>
  <c r="M24" i="1"/>
  <c r="M21" i="1"/>
  <c r="U26" i="1"/>
  <c r="K23" i="1"/>
  <c r="K25" i="1"/>
  <c r="K24" i="1"/>
  <c r="M25" i="1"/>
  <c r="S26" i="1"/>
  <c r="Q25" i="1"/>
  <c r="M22" i="1"/>
  <c r="U22" i="1"/>
  <c r="M23" i="1"/>
  <c r="M26" i="1"/>
  <c r="W22" i="1"/>
  <c r="K26" i="1"/>
  <c r="Q26" i="1"/>
  <c r="S23" i="1"/>
  <c r="K21" i="1"/>
  <c r="S21" i="1"/>
  <c r="W25" i="1"/>
  <c r="S25" i="1"/>
  <c r="S24" i="1"/>
  <c r="U24" i="1"/>
  <c r="Q22" i="1"/>
  <c r="U23" i="1"/>
  <c r="W23" i="1"/>
  <c r="U21" i="1"/>
  <c r="Q21" i="1"/>
  <c r="K22" i="1"/>
  <c r="AU32" i="1"/>
  <c r="AR32" i="1"/>
  <c r="AP32" i="1"/>
  <c r="AU35" i="1"/>
  <c r="AR35" i="1"/>
  <c r="AP35" i="1"/>
  <c r="AU34" i="1"/>
  <c r="AR34" i="1"/>
  <c r="AP34" i="1"/>
  <c r="AU33" i="1"/>
  <c r="AR33" i="1"/>
  <c r="AP33" i="1"/>
  <c r="AU27" i="1"/>
  <c r="AR27" i="1"/>
  <c r="AP27" i="1"/>
  <c r="AU30" i="1"/>
  <c r="AR30" i="1"/>
  <c r="AP30" i="1"/>
  <c r="AU28" i="1"/>
  <c r="AR28" i="1"/>
  <c r="AP28" i="1"/>
  <c r="AR36" i="1"/>
  <c r="AP36" i="1"/>
  <c r="AU36" i="1"/>
  <c r="AU29" i="1"/>
  <c r="AR29" i="1"/>
  <c r="AP29" i="1"/>
  <c r="AU31" i="1"/>
  <c r="AR31" i="1"/>
  <c r="AP31" i="1"/>
  <c r="E47" i="4"/>
  <c r="E48" i="4"/>
  <c r="E49" i="4"/>
  <c r="E50" i="4"/>
  <c r="E51" i="4"/>
  <c r="E52" i="4"/>
  <c r="E53" i="4"/>
  <c r="E26" i="1" s="1"/>
  <c r="AB26" i="1" s="1"/>
  <c r="E54" i="4"/>
  <c r="E55" i="4"/>
  <c r="E56" i="4"/>
  <c r="E57" i="4"/>
  <c r="E58" i="4"/>
  <c r="E59" i="4"/>
  <c r="E65" i="4"/>
  <c r="E66" i="4"/>
  <c r="E67" i="4"/>
  <c r="E68" i="4"/>
  <c r="F47" i="4"/>
  <c r="F48" i="4"/>
  <c r="F49" i="4"/>
  <c r="F50" i="4"/>
  <c r="F51" i="4"/>
  <c r="F52" i="4"/>
  <c r="F53" i="4"/>
  <c r="F26" i="1" s="1"/>
  <c r="F54" i="4"/>
  <c r="F55" i="4"/>
  <c r="F56" i="4"/>
  <c r="F57" i="4"/>
  <c r="F58" i="4"/>
  <c r="F59" i="4"/>
  <c r="F65" i="4"/>
  <c r="F66" i="4"/>
  <c r="F67" i="4"/>
  <c r="F68" i="4"/>
  <c r="G47" i="4"/>
  <c r="G48" i="4"/>
  <c r="G49" i="4"/>
  <c r="G50" i="4"/>
  <c r="G51" i="4"/>
  <c r="G52" i="4"/>
  <c r="G53" i="4"/>
  <c r="G26" i="1" s="1"/>
  <c r="AR26" i="1" s="1"/>
  <c r="G54" i="4"/>
  <c r="G55" i="4"/>
  <c r="G56" i="4"/>
  <c r="G57" i="4"/>
  <c r="G58" i="4"/>
  <c r="G59" i="4"/>
  <c r="G65" i="4"/>
  <c r="G66" i="4"/>
  <c r="G67" i="4"/>
  <c r="G68" i="4"/>
  <c r="H47" i="4"/>
  <c r="H48" i="4"/>
  <c r="H25" i="1" s="1"/>
  <c r="H49" i="4"/>
  <c r="H50" i="4"/>
  <c r="H51" i="4"/>
  <c r="H52" i="4"/>
  <c r="H53" i="4"/>
  <c r="H26" i="1" s="1"/>
  <c r="AU26" i="1" s="1"/>
  <c r="H54" i="4"/>
  <c r="H55" i="4"/>
  <c r="H56" i="4"/>
  <c r="H57" i="4"/>
  <c r="H58" i="4"/>
  <c r="H59" i="4"/>
  <c r="H65" i="4"/>
  <c r="H66" i="4"/>
  <c r="H67" i="4"/>
  <c r="H68" i="4"/>
  <c r="J14" i="2"/>
  <c r="J13" i="2"/>
  <c r="J12" i="2"/>
  <c r="J11" i="2"/>
  <c r="J10" i="2"/>
  <c r="J7" i="2"/>
  <c r="C4" i="2"/>
  <c r="J6" i="2" s="1"/>
  <c r="C5" i="2"/>
  <c r="H14" i="2"/>
  <c r="H13" i="2"/>
  <c r="H12" i="2"/>
  <c r="H11" i="2"/>
  <c r="H10" i="2"/>
  <c r="H9" i="2"/>
  <c r="H8" i="2"/>
  <c r="H7" i="2"/>
  <c r="H6" i="2"/>
  <c r="G5" i="2"/>
  <c r="E3" i="4"/>
  <c r="E4" i="4"/>
  <c r="E21" i="1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7" i="4"/>
  <c r="E28" i="4"/>
  <c r="E29" i="4"/>
  <c r="E33" i="4"/>
  <c r="E34" i="4"/>
  <c r="E35" i="4"/>
  <c r="E36" i="4"/>
  <c r="E42" i="4"/>
  <c r="E43" i="4"/>
  <c r="E44" i="4"/>
  <c r="E45" i="4"/>
  <c r="E46" i="4"/>
  <c r="F3" i="4"/>
  <c r="F4" i="4"/>
  <c r="F21" i="1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7" i="4"/>
  <c r="F28" i="4"/>
  <c r="F29" i="4"/>
  <c r="F33" i="4"/>
  <c r="F34" i="4"/>
  <c r="F35" i="4"/>
  <c r="F36" i="4"/>
  <c r="F42" i="4"/>
  <c r="F43" i="4"/>
  <c r="F44" i="4"/>
  <c r="F45" i="4"/>
  <c r="F46" i="4"/>
  <c r="H3" i="4"/>
  <c r="H4" i="4"/>
  <c r="H21" i="1" s="1"/>
  <c r="AT21" i="1" s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7" i="4"/>
  <c r="H28" i="4"/>
  <c r="H29" i="4"/>
  <c r="H33" i="4"/>
  <c r="H34" i="4"/>
  <c r="H35" i="4"/>
  <c r="H36" i="4"/>
  <c r="H42" i="4"/>
  <c r="H43" i="4"/>
  <c r="H44" i="4"/>
  <c r="H45" i="4"/>
  <c r="H46" i="4"/>
  <c r="G3" i="4"/>
  <c r="G4" i="4"/>
  <c r="G21" i="1" s="1"/>
  <c r="AO21" i="1" s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7" i="4"/>
  <c r="G28" i="4"/>
  <c r="G29" i="4"/>
  <c r="G33" i="4"/>
  <c r="G34" i="4"/>
  <c r="G35" i="4"/>
  <c r="G36" i="4"/>
  <c r="G42" i="4"/>
  <c r="G43" i="4"/>
  <c r="G44" i="4"/>
  <c r="G45" i="4"/>
  <c r="G46" i="4"/>
  <c r="K44" i="4"/>
  <c r="K52" i="4"/>
  <c r="G25" i="1" l="1"/>
  <c r="AZ21" i="1"/>
  <c r="F25" i="1"/>
  <c r="AJ25" i="1" s="1"/>
  <c r="F24" i="1"/>
  <c r="AH24" i="1" s="1"/>
  <c r="AI24" i="1" s="1"/>
  <c r="E25" i="1"/>
  <c r="AZ25" i="1" s="1"/>
  <c r="AT25" i="1"/>
  <c r="AU25" i="1" s="1"/>
  <c r="AO25" i="1"/>
  <c r="AQ25" i="1"/>
  <c r="AR25" i="1" s="1"/>
  <c r="AB25" i="1"/>
  <c r="AJ26" i="1"/>
  <c r="AF26" i="1"/>
  <c r="AG26" i="1" s="1"/>
  <c r="AD26" i="1"/>
  <c r="AH26" i="1"/>
  <c r="AI26" i="1" s="1"/>
  <c r="AJ21" i="1"/>
  <c r="AF21" i="1"/>
  <c r="AG21" i="1" s="1"/>
  <c r="AD21" i="1"/>
  <c r="AH21" i="1"/>
  <c r="AI21" i="1" s="1"/>
  <c r="AF25" i="1"/>
  <c r="AG25" i="1" s="1"/>
  <c r="AD25" i="1"/>
  <c r="AH25" i="1"/>
  <c r="AI25" i="1" s="1"/>
  <c r="AL21" i="1"/>
  <c r="AM21" i="1" s="1"/>
  <c r="AL25" i="1"/>
  <c r="AM25" i="1" s="1"/>
  <c r="AL26" i="1"/>
  <c r="AM26" i="1" s="1"/>
  <c r="H24" i="1"/>
  <c r="AT24" i="1" s="1"/>
  <c r="AU24" i="1" s="1"/>
  <c r="G24" i="1"/>
  <c r="AO24" i="1" s="1"/>
  <c r="H23" i="1"/>
  <c r="AT23" i="1" s="1"/>
  <c r="F23" i="1"/>
  <c r="E24" i="1"/>
  <c r="AQ21" i="1"/>
  <c r="AR21" i="1" s="1"/>
  <c r="AB21" i="1"/>
  <c r="Z21" i="1"/>
  <c r="AA21" i="1" s="1"/>
  <c r="G23" i="1"/>
  <c r="AO23" i="1" s="1"/>
  <c r="E23" i="1"/>
  <c r="E22" i="1"/>
  <c r="AU21" i="1"/>
  <c r="H22" i="1"/>
  <c r="AT22" i="1" s="1"/>
  <c r="F22" i="1"/>
  <c r="G22" i="1"/>
  <c r="AO22" i="1" s="1"/>
  <c r="AE29" i="1"/>
  <c r="AP26" i="1"/>
  <c r="AS26" i="1" s="1"/>
  <c r="AE35" i="1"/>
  <c r="AE32" i="1"/>
  <c r="AE36" i="1"/>
  <c r="AE27" i="1"/>
  <c r="AE34" i="1"/>
  <c r="AE30" i="1"/>
  <c r="AE31" i="1"/>
  <c r="AP21" i="1"/>
  <c r="AE28" i="1"/>
  <c r="AE33" i="1"/>
  <c r="L9" i="2"/>
  <c r="M9" i="2"/>
  <c r="K34" i="4"/>
  <c r="K35" i="4"/>
  <c r="K37" i="4"/>
  <c r="K41" i="4"/>
  <c r="K51" i="4"/>
  <c r="K53" i="4"/>
  <c r="K54" i="4"/>
  <c r="K55" i="4"/>
  <c r="K58" i="4"/>
  <c r="M17" i="4"/>
  <c r="M26" i="4"/>
  <c r="M14" i="4"/>
  <c r="M27" i="4"/>
  <c r="M10" i="4"/>
  <c r="L40" i="4" s="1"/>
  <c r="M8" i="4"/>
  <c r="L38" i="4" s="1"/>
  <c r="T26" i="1" s="1"/>
  <c r="M9" i="4"/>
  <c r="L39" i="4" s="1"/>
  <c r="L51" i="4" l="1"/>
  <c r="L49" i="4"/>
  <c r="AD24" i="1"/>
  <c r="AE24" i="1" s="1"/>
  <c r="AF24" i="1"/>
  <c r="AG24" i="1" s="1"/>
  <c r="AZ22" i="1"/>
  <c r="AZ23" i="1"/>
  <c r="AJ24" i="1"/>
  <c r="Z25" i="1"/>
  <c r="AA25" i="1" s="1"/>
  <c r="AC25" i="1" s="1"/>
  <c r="AZ24" i="1"/>
  <c r="AL24" i="1"/>
  <c r="AM24" i="1" s="1"/>
  <c r="AP24" i="1"/>
  <c r="AP25" i="1"/>
  <c r="AS25" i="1" s="1"/>
  <c r="AB24" i="1"/>
  <c r="AJ22" i="1"/>
  <c r="AF22" i="1"/>
  <c r="AG22" i="1" s="1"/>
  <c r="AD22" i="1"/>
  <c r="AH22" i="1"/>
  <c r="AI22" i="1" s="1"/>
  <c r="AJ23" i="1"/>
  <c r="AF23" i="1"/>
  <c r="AG23" i="1" s="1"/>
  <c r="AD23" i="1"/>
  <c r="AH23" i="1"/>
  <c r="AI23" i="1" s="1"/>
  <c r="AK26" i="1"/>
  <c r="AK24" i="1"/>
  <c r="AK21" i="1"/>
  <c r="AK25" i="1"/>
  <c r="AL22" i="1"/>
  <c r="AM22" i="1" s="1"/>
  <c r="AL23" i="1"/>
  <c r="AM23" i="1" s="1"/>
  <c r="AE21" i="1"/>
  <c r="AE25" i="1"/>
  <c r="AN25" i="1" s="1"/>
  <c r="AU23" i="1"/>
  <c r="AE26" i="1"/>
  <c r="AQ24" i="1"/>
  <c r="BA24" i="1"/>
  <c r="Z24" i="1"/>
  <c r="AA24" i="1" s="1"/>
  <c r="AP22" i="1"/>
  <c r="AQ22" i="1"/>
  <c r="AB22" i="1"/>
  <c r="Z22" i="1"/>
  <c r="AA22" i="1" s="1"/>
  <c r="AQ23" i="1"/>
  <c r="AP23" i="1"/>
  <c r="AB23" i="1"/>
  <c r="Z23" i="1"/>
  <c r="AA23" i="1" s="1"/>
  <c r="AS21" i="1"/>
  <c r="AU22" i="1"/>
  <c r="AC26" i="1"/>
  <c r="L52" i="4"/>
  <c r="T24" i="1"/>
  <c r="T31" i="1"/>
  <c r="T30" i="1"/>
  <c r="T33" i="1"/>
  <c r="T35" i="1"/>
  <c r="T22" i="1"/>
  <c r="T32" i="1"/>
  <c r="T28" i="1"/>
  <c r="T21" i="1"/>
  <c r="T34" i="1"/>
  <c r="T25" i="1"/>
  <c r="T36" i="1"/>
  <c r="T29" i="1"/>
  <c r="T23" i="1"/>
  <c r="T27" i="1"/>
  <c r="V21" i="1"/>
  <c r="V24" i="1"/>
  <c r="V32" i="1"/>
  <c r="V33" i="1"/>
  <c r="V31" i="1"/>
  <c r="V30" i="1"/>
  <c r="V28" i="1"/>
  <c r="V27" i="1"/>
  <c r="V36" i="1"/>
  <c r="V35" i="1"/>
  <c r="V34" i="1"/>
  <c r="V22" i="1"/>
  <c r="V25" i="1"/>
  <c r="V29" i="1"/>
  <c r="V23" i="1"/>
  <c r="V26" i="1"/>
  <c r="X26" i="1"/>
  <c r="X29" i="1"/>
  <c r="X31" i="1"/>
  <c r="X24" i="1"/>
  <c r="X32" i="1"/>
  <c r="X25" i="1"/>
  <c r="X30" i="1"/>
  <c r="X33" i="1"/>
  <c r="X27" i="1"/>
  <c r="X22" i="1"/>
  <c r="X34" i="1"/>
  <c r="X35" i="1"/>
  <c r="X21" i="1"/>
  <c r="X28" i="1"/>
  <c r="X36" i="1"/>
  <c r="X23" i="1"/>
  <c r="M18" i="4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C37" i="1"/>
  <c r="C38" i="1"/>
  <c r="C39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J9" i="2"/>
  <c r="C6" i="2"/>
  <c r="J8" i="2" s="1"/>
  <c r="F3" i="2"/>
  <c r="M3" i="4"/>
  <c r="M4" i="4"/>
  <c r="L34" i="4" s="1"/>
  <c r="M5" i="4"/>
  <c r="L35" i="4" s="1"/>
  <c r="M7" i="4"/>
  <c r="L37" i="4" s="1"/>
  <c r="M24" i="4"/>
  <c r="M25" i="4"/>
  <c r="L55" i="4" s="1"/>
  <c r="M31" i="4"/>
  <c r="L58" i="4" s="1"/>
  <c r="AN24" i="1" l="1"/>
  <c r="AR22" i="1"/>
  <c r="AS22" i="1" s="1"/>
  <c r="AC24" i="1"/>
  <c r="AN21" i="1"/>
  <c r="AK23" i="1"/>
  <c r="AK22" i="1"/>
  <c r="AE23" i="1"/>
  <c r="L44" i="4"/>
  <c r="AC22" i="1"/>
  <c r="AC23" i="1"/>
  <c r="AE22" i="1"/>
  <c r="AC21" i="1"/>
  <c r="AR24" i="1"/>
  <c r="AS24" i="1" s="1"/>
  <c r="N36" i="1"/>
  <c r="N32" i="1"/>
  <c r="N33" i="1"/>
  <c r="N35" i="1"/>
  <c r="N34" i="1"/>
  <c r="N29" i="1"/>
  <c r="N28" i="1"/>
  <c r="N31" i="1"/>
  <c r="N30" i="1"/>
  <c r="N27" i="1"/>
  <c r="N26" i="1"/>
  <c r="N25" i="1"/>
  <c r="N24" i="1"/>
  <c r="N23" i="1"/>
  <c r="N21" i="1"/>
  <c r="N22" i="1"/>
  <c r="L54" i="4"/>
  <c r="R33" i="1"/>
  <c r="R35" i="1"/>
  <c r="R34" i="1"/>
  <c r="R29" i="1"/>
  <c r="R36" i="1"/>
  <c r="R31" i="1"/>
  <c r="R30" i="1"/>
  <c r="R28" i="1"/>
  <c r="R32" i="1"/>
  <c r="R27" i="1"/>
  <c r="R23" i="1"/>
  <c r="R25" i="1"/>
  <c r="R24" i="1"/>
  <c r="R22" i="1"/>
  <c r="R26" i="1"/>
  <c r="R21" i="1"/>
  <c r="AR23" i="1"/>
  <c r="AS23" i="1" s="1"/>
  <c r="AW21" i="1"/>
  <c r="AW25" i="1"/>
  <c r="AW22" i="1"/>
  <c r="AW26" i="1"/>
  <c r="AW23" i="1"/>
  <c r="AW24" i="1"/>
  <c r="L36" i="1"/>
  <c r="L29" i="1"/>
  <c r="L25" i="1"/>
  <c r="L27" i="1"/>
  <c r="L31" i="1"/>
  <c r="L28" i="1"/>
  <c r="L33" i="1"/>
  <c r="L22" i="1"/>
  <c r="L30" i="1"/>
  <c r="L21" i="1"/>
  <c r="L23" i="1"/>
  <c r="L24" i="1"/>
  <c r="L32" i="1"/>
  <c r="L35" i="1"/>
  <c r="L26" i="1"/>
  <c r="L34" i="1"/>
  <c r="BA22" i="1"/>
  <c r="BA25" i="1"/>
  <c r="L8" i="2"/>
  <c r="L53" i="4"/>
  <c r="L41" i="4"/>
  <c r="AN22" i="1" l="1"/>
  <c r="AN23" i="1"/>
  <c r="Y24" i="1"/>
  <c r="AX24" i="1" s="1"/>
  <c r="Y21" i="1"/>
  <c r="AX21" i="1" s="1"/>
  <c r="Y22" i="1"/>
  <c r="AX22" i="1" s="1"/>
  <c r="Y23" i="1"/>
  <c r="Y25" i="1"/>
  <c r="AX25" i="1" s="1"/>
  <c r="Y26" i="1"/>
  <c r="AX26" i="1" s="1"/>
  <c r="AX23" i="1" l="1"/>
  <c r="AY22" i="1"/>
  <c r="AY25" i="1"/>
  <c r="AY26" i="1"/>
  <c r="AY21" i="1"/>
  <c r="AY23" i="1"/>
  <c r="AY24" i="1"/>
</calcChain>
</file>

<file path=xl/sharedStrings.xml><?xml version="1.0" encoding="utf-8"?>
<sst xmlns="http://schemas.openxmlformats.org/spreadsheetml/2006/main" count="430" uniqueCount="302">
  <si>
    <t>yes</t>
    <phoneticPr fontId="2" type="noConversion"/>
  </si>
  <si>
    <t>Track</t>
    <phoneticPr fontId="2" type="noConversion"/>
  </si>
  <si>
    <t>Score</t>
    <phoneticPr fontId="2" type="noConversion"/>
  </si>
  <si>
    <t>Item</t>
    <phoneticPr fontId="2" type="noConversion"/>
  </si>
  <si>
    <t>item</t>
    <phoneticPr fontId="2" type="noConversion"/>
  </si>
  <si>
    <t>value</t>
    <phoneticPr fontId="2" type="noConversion"/>
  </si>
  <si>
    <t>Priority</t>
    <phoneticPr fontId="2" type="noConversion"/>
  </si>
  <si>
    <t>First_Track</t>
    <phoneticPr fontId="2" type="noConversion"/>
  </si>
  <si>
    <t>Lang_User</t>
    <phoneticPr fontId="2" type="noConversion"/>
  </si>
  <si>
    <t>IsFirstTrack</t>
    <phoneticPr fontId="2" type="noConversion"/>
  </si>
  <si>
    <t>Track Score</t>
    <phoneticPr fontId="2" type="noConversion"/>
  </si>
  <si>
    <t>Lang_Base</t>
  </si>
  <si>
    <t>Value</t>
    <phoneticPr fontId="2" type="noConversion"/>
  </si>
  <si>
    <t>Reference</t>
    <phoneticPr fontId="2" type="noConversion"/>
  </si>
  <si>
    <t>Lang_Base</t>
    <phoneticPr fontId="2" type="noConversion"/>
  </si>
  <si>
    <t>Lang_Base</t>
    <phoneticPr fontId="2" type="noConversion"/>
  </si>
  <si>
    <t>Score</t>
    <phoneticPr fontId="2" type="noConversion"/>
  </si>
  <si>
    <t>Selection Summary</t>
    <phoneticPr fontId="2" type="noConversion"/>
  </si>
  <si>
    <t>Description</t>
    <phoneticPr fontId="2" type="noConversion"/>
  </si>
  <si>
    <t>Order</t>
    <phoneticPr fontId="2" type="noConversion"/>
  </si>
  <si>
    <t>Value Org</t>
    <phoneticPr fontId="2" type="noConversion"/>
  </si>
  <si>
    <t>Value</t>
    <phoneticPr fontId="2" type="noConversion"/>
  </si>
  <si>
    <t>.usPid</t>
    <phoneticPr fontId="2" type="noConversion"/>
  </si>
  <si>
    <t>.bCaDesFound</t>
    <phoneticPr fontId="2" type="noConversion"/>
  </si>
  <si>
    <t>item1</t>
    <phoneticPr fontId="2" type="noConversion"/>
  </si>
  <si>
    <t>item2</t>
  </si>
  <si>
    <t>{</t>
    <phoneticPr fontId="2" type="noConversion"/>
  </si>
  <si>
    <t>Value</t>
    <phoneticPr fontId="2" type="noConversion"/>
  </si>
  <si>
    <t>Track</t>
    <phoneticPr fontId="2" type="noConversion"/>
  </si>
  <si>
    <t>eng</t>
  </si>
  <si>
    <t>nor</t>
  </si>
  <si>
    <t>Es Var Name</t>
    <phoneticPr fontId="2" type="noConversion"/>
  </si>
  <si>
    <t>Es Struct Name</t>
    <phoneticPr fontId="2" type="noConversion"/>
  </si>
  <si>
    <t>.ucComponentTag</t>
    <phoneticPr fontId="2" type="noConversion"/>
  </si>
  <si>
    <t>no</t>
    <phoneticPr fontId="2" type="noConversion"/>
  </si>
  <si>
    <t>fin</t>
    <phoneticPr fontId="2" type="noConversion"/>
  </si>
  <si>
    <t>humax@!</t>
    <phoneticPr fontId="2" type="noConversion"/>
  </si>
  <si>
    <t>보호해제암호</t>
    <phoneticPr fontId="2" type="noConversion"/>
  </si>
  <si>
    <t>Lang</t>
    <phoneticPr fontId="2" type="noConversion"/>
  </si>
  <si>
    <t>Type</t>
    <phoneticPr fontId="2" type="noConversion"/>
  </si>
  <si>
    <t>Subtitle_Type_EBU</t>
    <phoneticPr fontId="2" type="noConversion"/>
  </si>
  <si>
    <t>EBU</t>
    <phoneticPr fontId="2" type="noConversion"/>
  </si>
  <si>
    <t>Subtitle_Type_DVB</t>
    <phoneticPr fontId="2" type="noConversion"/>
  </si>
  <si>
    <t>DVB</t>
    <phoneticPr fontId="2" type="noConversion"/>
  </si>
  <si>
    <t>Subtitle_AR_No</t>
    <phoneticPr fontId="2" type="noConversion"/>
  </si>
  <si>
    <t>Subtitle_AR_4x3</t>
    <phoneticPr fontId="2" type="noConversion"/>
  </si>
  <si>
    <t>4x3</t>
    <phoneticPr fontId="2" type="noConversion"/>
  </si>
  <si>
    <t>Subtitle_AR_16x9</t>
    <phoneticPr fontId="2" type="noConversion"/>
  </si>
  <si>
    <t>16x9</t>
  </si>
  <si>
    <t>16x9</t>
    <phoneticPr fontId="2" type="noConversion"/>
  </si>
  <si>
    <t>Subtitle_AR_221x1</t>
    <phoneticPr fontId="2" type="noConversion"/>
  </si>
  <si>
    <t>2.21x1</t>
    <phoneticPr fontId="2" type="noConversion"/>
  </si>
  <si>
    <t>Subtitle_Resolution_HD</t>
    <phoneticPr fontId="2" type="noConversion"/>
  </si>
  <si>
    <t>HD</t>
    <phoneticPr fontId="2" type="noConversion"/>
  </si>
  <si>
    <t>Subtitle_Resolution_No_HD</t>
    <phoneticPr fontId="2" type="noConversion"/>
  </si>
  <si>
    <t>MainType</t>
    <phoneticPr fontId="2" type="noConversion"/>
  </si>
  <si>
    <t>HOH</t>
    <phoneticPr fontId="2" type="noConversion"/>
  </si>
  <si>
    <t>AR</t>
    <phoneticPr fontId="2" type="noConversion"/>
  </si>
  <si>
    <t>HD</t>
    <phoneticPr fontId="2" type="noConversion"/>
  </si>
  <si>
    <t>AR</t>
    <phoneticPr fontId="2" type="noConversion"/>
  </si>
  <si>
    <t>HOH</t>
    <phoneticPr fontId="2" type="noConversion"/>
  </si>
  <si>
    <t>Type</t>
    <phoneticPr fontId="2" type="noConversion"/>
  </si>
  <si>
    <t>DVB/EUB</t>
    <phoneticPr fontId="2" type="noConversion"/>
  </si>
  <si>
    <t>n/a</t>
    <phoneticPr fontId="2" type="noConversion"/>
  </si>
  <si>
    <t>n/a</t>
    <phoneticPr fontId="2" type="noConversion"/>
  </si>
  <si>
    <t>n/a</t>
    <phoneticPr fontId="2" type="noConversion"/>
  </si>
  <si>
    <t>0x01</t>
  </si>
  <si>
    <t>0x01</t>
    <phoneticPr fontId="2" type="noConversion"/>
  </si>
  <si>
    <t>DVB</t>
    <phoneticPr fontId="2" type="noConversion"/>
  </si>
  <si>
    <t>2.21x1</t>
    <phoneticPr fontId="2" type="noConversion"/>
  </si>
  <si>
    <t>no</t>
    <phoneticPr fontId="2" type="noConversion"/>
  </si>
  <si>
    <t>yes</t>
    <phoneticPr fontId="2" type="noConversion"/>
  </si>
  <si>
    <t>no</t>
    <phoneticPr fontId="2" type="noConversion"/>
  </si>
  <si>
    <t>hd</t>
    <phoneticPr fontId="2" type="noConversion"/>
  </si>
  <si>
    <t>no hd</t>
    <phoneticPr fontId="2" type="noConversion"/>
  </si>
  <si>
    <t>no</t>
    <phoneticPr fontId="2" type="noConversion"/>
  </si>
  <si>
    <t>no</t>
    <phoneticPr fontId="2" type="noConversion"/>
  </si>
  <si>
    <t>no</t>
    <phoneticPr fontId="2" type="noConversion"/>
  </si>
  <si>
    <t>yes</t>
    <phoneticPr fontId="2" type="noConversion"/>
  </si>
  <si>
    <t>0x05</t>
  </si>
  <si>
    <t>0x05</t>
    <phoneticPr fontId="2" type="noConversion"/>
  </si>
  <si>
    <t>0x02</t>
  </si>
  <si>
    <t>0x02</t>
    <phoneticPr fontId="2" type="noConversion"/>
  </si>
  <si>
    <t>0x03</t>
  </si>
  <si>
    <t>0x03</t>
    <phoneticPr fontId="2" type="noConversion"/>
  </si>
  <si>
    <t>0x04</t>
    <phoneticPr fontId="2" type="noConversion"/>
  </si>
  <si>
    <t>0x10</t>
  </si>
  <si>
    <t>0x10</t>
    <phoneticPr fontId="2" type="noConversion"/>
  </si>
  <si>
    <t>0x11</t>
  </si>
  <si>
    <t>0x11</t>
    <phoneticPr fontId="2" type="noConversion"/>
  </si>
  <si>
    <t>0x12</t>
  </si>
  <si>
    <t>0x12</t>
    <phoneticPr fontId="2" type="noConversion"/>
  </si>
  <si>
    <t>0x13</t>
  </si>
  <si>
    <t>0x13</t>
    <phoneticPr fontId="2" type="noConversion"/>
  </si>
  <si>
    <t>0x14</t>
  </si>
  <si>
    <t>0x14</t>
    <phoneticPr fontId="2" type="noConversion"/>
  </si>
  <si>
    <t>0x20</t>
  </si>
  <si>
    <t>0x20</t>
    <phoneticPr fontId="2" type="noConversion"/>
  </si>
  <si>
    <t>0x21</t>
  </si>
  <si>
    <t>0x21</t>
    <phoneticPr fontId="2" type="noConversion"/>
  </si>
  <si>
    <t>0x22</t>
  </si>
  <si>
    <t>0x22</t>
    <phoneticPr fontId="2" type="noConversion"/>
  </si>
  <si>
    <t>0x23</t>
  </si>
  <si>
    <t>0x23</t>
    <phoneticPr fontId="2" type="noConversion"/>
  </si>
  <si>
    <t>0x24</t>
  </si>
  <si>
    <t>0x24</t>
    <phoneticPr fontId="2" type="noConversion"/>
  </si>
  <si>
    <t>EBU</t>
    <phoneticPr fontId="2" type="noConversion"/>
  </si>
  <si>
    <t>EBU</t>
    <phoneticPr fontId="2" type="noConversion"/>
  </si>
  <si>
    <t>n/a</t>
    <phoneticPr fontId="2" type="noConversion"/>
  </si>
  <si>
    <t>Lang_OSD</t>
    <phoneticPr fontId="2" type="noConversion"/>
  </si>
  <si>
    <t>Lang_Default</t>
  </si>
  <si>
    <t>HOH_Base</t>
    <phoneticPr fontId="2" type="noConversion"/>
  </si>
  <si>
    <t>AR_Base</t>
    <phoneticPr fontId="2" type="noConversion"/>
  </si>
  <si>
    <t>AR_Menu</t>
  </si>
  <si>
    <t>AR_Base</t>
    <phoneticPr fontId="2" type="noConversion"/>
  </si>
  <si>
    <t>HD_Base</t>
    <phoneticPr fontId="2" type="noConversion"/>
  </si>
  <si>
    <t>Lang_Base</t>
    <phoneticPr fontId="2" type="noConversion"/>
  </si>
  <si>
    <t>Item_On</t>
    <phoneticPr fontId="2" type="noConversion"/>
  </si>
  <si>
    <t>Item_Off</t>
    <phoneticPr fontId="2" type="noConversion"/>
  </si>
  <si>
    <t>Item_Yes</t>
    <phoneticPr fontId="2" type="noConversion"/>
  </si>
  <si>
    <t>Item_No</t>
    <phoneticPr fontId="2" type="noConversion"/>
  </si>
  <si>
    <t>Lang_OSD</t>
    <phoneticPr fontId="2" type="noConversion"/>
  </si>
  <si>
    <t>AR_Menu</t>
    <phoneticPr fontId="2" type="noConversion"/>
  </si>
  <si>
    <t>Lang_User</t>
    <phoneticPr fontId="2" type="noConversion"/>
  </si>
  <si>
    <t>AR_No</t>
    <phoneticPr fontId="2" type="noConversion"/>
  </si>
  <si>
    <t>HOH_Menu</t>
    <phoneticPr fontId="2" type="noConversion"/>
  </si>
  <si>
    <t>Lang_User</t>
    <phoneticPr fontId="2" type="noConversion"/>
  </si>
  <si>
    <t>LangUsrMatched</t>
    <phoneticPr fontId="2" type="noConversion"/>
  </si>
  <si>
    <t>LangUserScore</t>
    <phoneticPr fontId="2" type="noConversion"/>
  </si>
  <si>
    <t>Type Code</t>
    <phoneticPr fontId="2" type="noConversion"/>
  </si>
  <si>
    <t>MainType</t>
    <phoneticPr fontId="2" type="noConversion"/>
  </si>
  <si>
    <t>HOH</t>
    <phoneticPr fontId="2" type="noConversion"/>
  </si>
  <si>
    <t>AR</t>
    <phoneticPr fontId="2" type="noConversion"/>
  </si>
  <si>
    <t>HD</t>
    <phoneticPr fontId="2" type="noConversion"/>
  </si>
  <si>
    <t>LangOsdMatched</t>
    <phoneticPr fontId="2" type="noConversion"/>
  </si>
  <si>
    <t>LangOsdScore</t>
    <phoneticPr fontId="2" type="noConversion"/>
  </si>
  <si>
    <t>DvbMatched</t>
    <phoneticPr fontId="2" type="noConversion"/>
  </si>
  <si>
    <t>Lang_User</t>
    <phoneticPr fontId="2" type="noConversion"/>
  </si>
  <si>
    <t>Lang_OSD</t>
    <phoneticPr fontId="2" type="noConversion"/>
  </si>
  <si>
    <t>AR_Menu</t>
    <phoneticPr fontId="2" type="noConversion"/>
  </si>
  <si>
    <t>ScoreRef</t>
    <phoneticPr fontId="2" type="noConversion"/>
  </si>
  <si>
    <t>DvbScore</t>
    <phoneticPr fontId="2" type="noConversion"/>
  </si>
  <si>
    <t>EubScore</t>
    <phoneticPr fontId="2" type="noConversion"/>
  </si>
  <si>
    <t>MainTypeScore</t>
    <phoneticPr fontId="2" type="noConversion"/>
  </si>
  <si>
    <t>HohMatched</t>
    <phoneticPr fontId="2" type="noConversion"/>
  </si>
  <si>
    <t>HohMatchedScore</t>
    <phoneticPr fontId="2" type="noConversion"/>
  </si>
  <si>
    <t>HohScore</t>
    <phoneticPr fontId="2" type="noConversion"/>
  </si>
  <si>
    <t>fin</t>
  </si>
  <si>
    <t>""</t>
  </si>
  <si>
    <t>no</t>
    <phoneticPr fontId="2" type="noConversion"/>
  </si>
  <si>
    <t>ArMatched</t>
    <phoneticPr fontId="2" type="noConversion"/>
  </si>
  <si>
    <t>ArMatchedScore</t>
    <phoneticPr fontId="2" type="noConversion"/>
  </si>
  <si>
    <t>ArNoScore</t>
    <phoneticPr fontId="2" type="noConversion"/>
  </si>
  <si>
    <t>ArScore</t>
    <phoneticPr fontId="2" type="noConversion"/>
  </si>
  <si>
    <t>ArNo</t>
    <phoneticPr fontId="2" type="noConversion"/>
  </si>
  <si>
    <t>HdScore</t>
    <phoneticPr fontId="2" type="noConversion"/>
  </si>
  <si>
    <t>IsHD</t>
    <phoneticPr fontId="2" type="noConversion"/>
  </si>
  <si>
    <t>LangScore</t>
    <phoneticPr fontId="2" type="noConversion"/>
  </si>
  <si>
    <t>svcSi_SubtitleEs_t</t>
  </si>
  <si>
    <t>astSubtitleEsList</t>
    <phoneticPr fontId="2" type="noConversion"/>
  </si>
  <si>
    <t>.ucType</t>
    <phoneticPr fontId="2" type="noConversion"/>
  </si>
  <si>
    <t>Subttl CaDesFound Field</t>
  </si>
  <si>
    <t>.usCompositionPageId</t>
    <phoneticPr fontId="2" type="noConversion"/>
  </si>
  <si>
    <t>Subttl LangInfo Field</t>
  </si>
  <si>
    <t>.aucLangCode</t>
    <phoneticPr fontId="2" type="noConversion"/>
  </si>
  <si>
    <t>.ucMagazineNumber</t>
    <phoneticPr fontId="2" type="noConversion"/>
  </si>
  <si>
    <t>.ucPageNumber</t>
    <phoneticPr fontId="2" type="noConversion"/>
  </si>
  <si>
    <t>.usAncillaryPageId</t>
    <phoneticPr fontId="2" type="noConversion"/>
  </si>
  <si>
    <t>Subttl Ancillary Page Id</t>
    <phoneticPr fontId="2" type="noConversion"/>
  </si>
  <si>
    <t>Subttl Magazine Number</t>
    <phoneticPr fontId="2" type="noConversion"/>
  </si>
  <si>
    <t>Subttl Page Number</t>
    <phoneticPr fontId="2" type="noConversion"/>
  </si>
  <si>
    <t>Subttl Pid Field</t>
  </si>
  <si>
    <t>Subttl CompTag Field</t>
  </si>
  <si>
    <t>Lang Ref</t>
  </si>
  <si>
    <t>Subttl PID</t>
    <phoneticPr fontId="2" type="noConversion"/>
  </si>
  <si>
    <t>Subttl Index</t>
  </si>
  <si>
    <t>Subttl Type</t>
    <phoneticPr fontId="2" type="noConversion"/>
  </si>
  <si>
    <t>Subttl Type Field</t>
  </si>
  <si>
    <t>Subttl Type Field</t>
    <phoneticPr fontId="2" type="noConversion"/>
  </si>
  <si>
    <t>Subttl Composition Page Id</t>
    <phoneticPr fontId="2" type="noConversion"/>
  </si>
  <si>
    <t>Key</t>
    <phoneticPr fontId="2" type="noConversion"/>
  </si>
  <si>
    <t>Subttl Pid Field</t>
    <phoneticPr fontId="2" type="noConversion"/>
  </si>
  <si>
    <t>Subttl CompTag Field</t>
    <phoneticPr fontId="2" type="noConversion"/>
  </si>
  <si>
    <t>Subttl LangInfo Field</t>
    <phoneticPr fontId="2" type="noConversion"/>
  </si>
  <si>
    <t>Subttl Composition Page Id</t>
    <phoneticPr fontId="2" type="noConversion"/>
  </si>
  <si>
    <t>Subttl Ancillary Page Id</t>
    <phoneticPr fontId="2" type="noConversion"/>
  </si>
  <si>
    <t>Subttl Magazine Number</t>
    <phoneticPr fontId="2" type="noConversion"/>
  </si>
  <si>
    <t>Subttl Page Number</t>
    <phoneticPr fontId="2" type="noConversion"/>
  </si>
  <si>
    <t>Subttl CaDesFound Field</t>
    <phoneticPr fontId="2" type="noConversion"/>
  </si>
  <si>
    <t>Value</t>
    <phoneticPr fontId="2" type="noConversion"/>
  </si>
  <si>
    <t>};</t>
    <phoneticPr fontId="2" type="noConversion"/>
  </si>
  <si>
    <t>},</t>
    <phoneticPr fontId="2" type="noConversion"/>
  </si>
  <si>
    <t>Item</t>
    <phoneticPr fontId="2" type="noConversion"/>
  </si>
  <si>
    <t>Value</t>
    <phoneticPr fontId="2" type="noConversion"/>
  </si>
  <si>
    <t>item3</t>
  </si>
  <si>
    <t>Tab</t>
    <phoneticPr fontId="2" type="noConversion"/>
  </si>
  <si>
    <t>qaa</t>
    <phoneticPr fontId="2" type="noConversion"/>
  </si>
  <si>
    <t>0x02</t>
    <phoneticPr fontId="2" type="noConversion"/>
  </si>
  <si>
    <t>0x10</t>
    <phoneticPr fontId="2" type="noConversion"/>
  </si>
  <si>
    <t>0x20</t>
    <phoneticPr fontId="2" type="noConversion"/>
  </si>
  <si>
    <t>0x11</t>
    <phoneticPr fontId="2" type="noConversion"/>
  </si>
  <si>
    <t>0x21</t>
    <phoneticPr fontId="2" type="noConversion"/>
  </si>
  <si>
    <t>und</t>
    <phoneticPr fontId="2" type="noConversion"/>
  </si>
  <si>
    <t>und</t>
    <phoneticPr fontId="2" type="noConversion"/>
  </si>
  <si>
    <t>nor</t>
    <phoneticPr fontId="2" type="noConversion"/>
  </si>
  <si>
    <t>nor</t>
    <phoneticPr fontId="2" type="noConversion"/>
  </si>
  <si>
    <t>dan</t>
    <phoneticPr fontId="2" type="noConversion"/>
  </si>
  <si>
    <t>nor</t>
    <phoneticPr fontId="2" type="noConversion"/>
  </si>
  <si>
    <t>""</t>
    <phoneticPr fontId="2" type="noConversion"/>
  </si>
  <si>
    <t>""</t>
    <phoneticPr fontId="2" type="noConversion"/>
  </si>
  <si>
    <t>swe</t>
    <phoneticPr fontId="2" type="noConversion"/>
  </si>
  <si>
    <t>swe</t>
    <phoneticPr fontId="2" type="noConversion"/>
  </si>
  <si>
    <t>rus</t>
    <phoneticPr fontId="2" type="noConversion"/>
  </si>
  <si>
    <t>rus</t>
    <phoneticPr fontId="2" type="noConversion"/>
  </si>
  <si>
    <t>rus</t>
    <phoneticPr fontId="2" type="noConversion"/>
  </si>
  <si>
    <t>fin</t>
    <phoneticPr fontId="2" type="noConversion"/>
  </si>
  <si>
    <t>qaa</t>
    <phoneticPr fontId="2" type="noConversion"/>
  </si>
  <si>
    <t>Lang_Default</t>
    <phoneticPr fontId="2" type="noConversion"/>
  </si>
  <si>
    <t>Lang_Undefined</t>
  </si>
  <si>
    <t>Lang_Undefined</t>
    <phoneticPr fontId="2" type="noConversion"/>
  </si>
  <si>
    <t>Lang_Original</t>
  </si>
  <si>
    <t>Lang_Original</t>
    <phoneticPr fontId="2" type="noConversion"/>
  </si>
  <si>
    <t>Lang_Original</t>
    <phoneticPr fontId="2" type="noConversion"/>
  </si>
  <si>
    <t>Lang_Default</t>
    <phoneticPr fontId="2" type="noConversion"/>
  </si>
  <si>
    <t>und</t>
    <phoneticPr fontId="2" type="noConversion"/>
  </si>
  <si>
    <t>Lang_Undefined</t>
    <phoneticPr fontId="2" type="noConversion"/>
  </si>
  <si>
    <t>LangUndefined</t>
    <phoneticPr fontId="2" type="noConversion"/>
  </si>
  <si>
    <t>LangUndefinedScore</t>
    <phoneticPr fontId="2" type="noConversion"/>
  </si>
  <si>
    <t>LangOriginal</t>
    <phoneticPr fontId="2" type="noConversion"/>
  </si>
  <si>
    <t>LangOriginalScore</t>
    <phoneticPr fontId="2" type="noConversion"/>
  </si>
  <si>
    <t>LangDefault</t>
    <phoneticPr fontId="2" type="noConversion"/>
  </si>
  <si>
    <t>LangDefaultScore</t>
    <phoneticPr fontId="2" type="noConversion"/>
  </si>
  <si>
    <t>Lang_Undefined</t>
    <phoneticPr fontId="2" type="noConversion"/>
  </si>
  <si>
    <t>Lang_Original</t>
    <phoneticPr fontId="2" type="noConversion"/>
  </si>
  <si>
    <t>item_NA</t>
    <phoneticPr fontId="2" type="noConversion"/>
  </si>
  <si>
    <t>n/a</t>
    <phoneticPr fontId="2" type="noConversion"/>
  </si>
  <si>
    <t>item_empty</t>
    <phoneticPr fontId="2" type="noConversion"/>
  </si>
  <si>
    <t>LangOk</t>
    <phoneticPr fontId="2" type="noConversion"/>
  </si>
  <si>
    <t>TypeOk</t>
    <phoneticPr fontId="2" type="noConversion"/>
  </si>
  <si>
    <t>Type_EBU</t>
    <phoneticPr fontId="2" type="noConversion"/>
  </si>
  <si>
    <t>Type_Base</t>
    <phoneticPr fontId="2" type="noConversion"/>
  </si>
  <si>
    <t>Type_DVB</t>
    <phoneticPr fontId="2" type="noConversion"/>
  </si>
  <si>
    <t>Type_Base</t>
    <phoneticPr fontId="2" type="noConversion"/>
  </si>
  <si>
    <t>Type_DVB</t>
    <phoneticPr fontId="2" type="noConversion"/>
  </si>
  <si>
    <t>Type_DVB</t>
    <phoneticPr fontId="2" type="noConversion"/>
  </si>
  <si>
    <t>AR_Base</t>
    <phoneticPr fontId="2" type="noConversion"/>
  </si>
  <si>
    <t>AR_No</t>
    <phoneticPr fontId="2" type="noConversion"/>
  </si>
  <si>
    <t>AR_Menu</t>
    <phoneticPr fontId="2" type="noConversion"/>
  </si>
  <si>
    <t>Lang_Subttl0</t>
  </si>
  <si>
    <t>Lang_Subttl1</t>
    <phoneticPr fontId="2" type="noConversion"/>
  </si>
  <si>
    <t>LangSubttlMatched1</t>
    <phoneticPr fontId="2" type="noConversion"/>
  </si>
  <si>
    <t>LangSubttlScore1</t>
    <phoneticPr fontId="2" type="noConversion"/>
  </si>
  <si>
    <t>LangSubttlMatched0</t>
    <phoneticPr fontId="2" type="noConversion"/>
  </si>
  <si>
    <t>LangSubttlScore0</t>
    <phoneticPr fontId="2" type="noConversion"/>
  </si>
  <si>
    <t>Lang_Subttl1</t>
    <phoneticPr fontId="2" type="noConversion"/>
  </si>
  <si>
    <t>Lang_Base</t>
    <phoneticPr fontId="2" type="noConversion"/>
  </si>
  <si>
    <t>HOH_Base</t>
  </si>
  <si>
    <t>Lang_Subttl1</t>
    <phoneticPr fontId="2" type="noConversion"/>
  </si>
  <si>
    <t>dan</t>
    <phoneticPr fontId="2" type="noConversion"/>
  </si>
  <si>
    <t>fra</t>
    <phoneticPr fontId="2" type="noConversion"/>
  </si>
  <si>
    <t>HohMatchedUser</t>
    <phoneticPr fontId="2" type="noConversion"/>
  </si>
  <si>
    <t>HohMatchedUserScore</t>
    <phoneticPr fontId="2" type="noConversion"/>
  </si>
  <si>
    <t>HOH_User</t>
    <phoneticPr fontId="2" type="noConversion"/>
  </si>
  <si>
    <t>HOH_OffEsYes</t>
  </si>
  <si>
    <t>HOH_OffEsYes</t>
    <phoneticPr fontId="2" type="noConversion"/>
  </si>
  <si>
    <t>HOH_Base</t>
    <phoneticPr fontId="2" type="noConversion"/>
  </si>
  <si>
    <t>HOH_OffEsNo</t>
  </si>
  <si>
    <t>HOH_OffEsNo</t>
    <phoneticPr fontId="2" type="noConversion"/>
  </si>
  <si>
    <t>HOH_OnEsNo</t>
  </si>
  <si>
    <t>HOH_OnEsNo</t>
    <phoneticPr fontId="2" type="noConversion"/>
  </si>
  <si>
    <t>HOH_User</t>
    <phoneticPr fontId="2" type="noConversion"/>
  </si>
  <si>
    <t>HOH_Menu</t>
    <phoneticPr fontId="2" type="noConversion"/>
  </si>
  <si>
    <t>HohOffEsYes</t>
    <phoneticPr fontId="2" type="noConversion"/>
  </si>
  <si>
    <t>HohOffEsNo</t>
    <phoneticPr fontId="2" type="noConversion"/>
  </si>
  <si>
    <t>HohOffEsYesScore</t>
    <phoneticPr fontId="2" type="noConversion"/>
  </si>
  <si>
    <t>HohOffEsNoScore</t>
    <phoneticPr fontId="2" type="noConversion"/>
  </si>
  <si>
    <t>HohOnEsNo</t>
    <phoneticPr fontId="2" type="noConversion"/>
  </si>
  <si>
    <t>HohOnEsNoScore</t>
    <phoneticPr fontId="2" type="noConversion"/>
  </si>
  <si>
    <t>HOH_Menu</t>
  </si>
  <si>
    <t>HOH_User</t>
    <phoneticPr fontId="2" type="noConversion"/>
  </si>
  <si>
    <t>eng</t>
    <phoneticPr fontId="2" type="noConversion"/>
  </si>
  <si>
    <t>eng</t>
    <phoneticPr fontId="2" type="noConversion"/>
  </si>
  <si>
    <t>Type_EBU_User</t>
    <phoneticPr fontId="2" type="noConversion"/>
  </si>
  <si>
    <t>Type_DVB_User</t>
    <phoneticPr fontId="2" type="noConversion"/>
  </si>
  <si>
    <t>Type_DVB_Menu</t>
    <phoneticPr fontId="2" type="noConversion"/>
  </si>
  <si>
    <t>Type_Base</t>
  </si>
  <si>
    <t>Type_DVB</t>
  </si>
  <si>
    <t>Type_DVB_User</t>
    <phoneticPr fontId="2" type="noConversion"/>
  </si>
  <si>
    <t>Type_EBU_User</t>
    <phoneticPr fontId="2" type="noConversion"/>
  </si>
  <si>
    <t>Type_EBU_Menu</t>
    <phoneticPr fontId="2" type="noConversion"/>
  </si>
  <si>
    <t>Type_DVB_User</t>
    <phoneticPr fontId="2" type="noConversion"/>
  </si>
  <si>
    <t>Type_EBU</t>
    <phoneticPr fontId="2" type="noConversion"/>
  </si>
  <si>
    <t>Type_EBU_User</t>
    <phoneticPr fontId="2" type="noConversion"/>
  </si>
  <si>
    <t>Type_EBU</t>
    <phoneticPr fontId="2" type="noConversion"/>
  </si>
  <si>
    <t>HD_Na</t>
    <phoneticPr fontId="2" type="noConversion"/>
  </si>
  <si>
    <t>HD_Base</t>
    <phoneticPr fontId="2" type="noConversion"/>
  </si>
  <si>
    <t>HD_Base</t>
    <phoneticPr fontId="2" type="noConversion"/>
  </si>
  <si>
    <t>HD_Menu</t>
    <phoneticPr fontId="2" type="noConversion"/>
  </si>
  <si>
    <t>HD_User</t>
    <phoneticPr fontId="2" type="noConversion"/>
  </si>
  <si>
    <t>HD_Base</t>
    <phoneticPr fontId="2" type="noConversion"/>
  </si>
  <si>
    <t>HD_User</t>
    <phoneticPr fontId="2" type="noConversion"/>
  </si>
  <si>
    <t>HD_Na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</si>
</sst>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;[Red]\-#,##0\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NumberFormat="1" applyFont="1">
      <alignment vertical="center"/>
    </xf>
    <xf numFmtId="41" fontId="3" fillId="0" borderId="0" xfId="1" applyFont="1">
      <alignment vertical="center"/>
    </xf>
    <xf numFmtId="0" fontId="5" fillId="0" borderId="0" xfId="0" applyFont="1">
      <alignment vertical="center"/>
    </xf>
    <xf numFmtId="176" fontId="3" fillId="0" borderId="0" xfId="1" applyNumberFormat="1" applyFont="1">
      <alignment vertical="center"/>
    </xf>
    <xf numFmtId="176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NumberFormat="1" applyFont="1">
      <alignment vertical="center"/>
    </xf>
    <xf numFmtId="0" fontId="6" fillId="0" borderId="0" xfId="0" quotePrefix="1" applyFont="1">
      <alignment vertical="center"/>
    </xf>
    <xf numFmtId="176" fontId="4" fillId="0" borderId="0" xfId="1" applyNumberFormat="1" applyFont="1">
      <alignment vertical="center"/>
    </xf>
    <xf numFmtId="176" fontId="4" fillId="0" borderId="0" xfId="0" applyNumberFormat="1" applyFont="1">
      <alignment vertical="center"/>
    </xf>
    <xf numFmtId="41" fontId="4" fillId="0" borderId="0" xfId="1" applyNumberFormat="1" applyFont="1">
      <alignment vertical="center"/>
    </xf>
    <xf numFmtId="0" fontId="7" fillId="0" borderId="0" xfId="0" quotePrefix="1" applyFont="1">
      <alignment vertical="center"/>
    </xf>
    <xf numFmtId="0" fontId="5" fillId="0" borderId="0" xfId="0" applyNumberFormat="1" applyFont="1">
      <alignment vertical="center"/>
    </xf>
    <xf numFmtId="0" fontId="5" fillId="0" borderId="0" xfId="0" quotePrefix="1" applyFont="1">
      <alignment vertical="center"/>
    </xf>
    <xf numFmtId="176" fontId="3" fillId="0" borderId="0" xfId="1" quotePrefix="1" applyNumberFormat="1" applyFont="1">
      <alignment vertical="center"/>
    </xf>
  </cellXfs>
  <cellStyles count="2">
    <cellStyle name="쉼표 [0]" xfId="1" builtinId="6"/>
    <cellStyle name="표준" xfId="0" builtinId="0"/>
  </cellStyles>
  <dxfs count="118">
    <dxf>
      <fill>
        <patternFill>
          <bgColor theme="7" tint="0.39994506668294322"/>
        </patternFill>
      </fill>
    </dxf>
    <dxf>
      <font>
        <b/>
        <i/>
        <color rgb="FFFF0000"/>
      </font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/>
        <i/>
        <color rgb="FFFF0000"/>
      </font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/>
        <i val="0"/>
        <color rgb="FFFF0000"/>
      </font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/>
        <i/>
        <color rgb="FFFF0000"/>
      </font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/>
        <i/>
        <color rgb="FFFF0000"/>
      </font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/>
        <i val="0"/>
        <u/>
      </font>
      <fill>
        <patternFill patternType="solid"/>
      </fill>
      <border>
        <left style="dashed">
          <color theme="8" tint="-0.24994659260841701"/>
        </left>
        <right style="dashed">
          <color theme="8" tint="-0.24994659260841701"/>
        </right>
        <top style="dashed">
          <color theme="8" tint="-0.24994659260841701"/>
        </top>
        <bottom style="dashed">
          <color theme="8" tint="-0.24994659260841701"/>
        </bottom>
        <vertical/>
        <horizontal/>
      </border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8" name="BaseTable" displayName="BaseTable" ref="B4:C32" totalsRowShown="0" headerRowDxfId="117" dataDxfId="116">
  <autoFilter ref="B4:C32"/>
  <tableColumns count="2">
    <tableColumn id="1" name="Item" dataDxfId="115"/>
    <tableColumn id="2" name="Value" dataDxfId="1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ype_table" displayName="type_table" ref="E4:I19" headerRowDxfId="113" dataDxfId="112">
  <autoFilter ref="E4:I19"/>
  <tableColumns count="5">
    <tableColumn id="1" name="Type" totalsRowLabel="요약" dataDxfId="111" totalsRowDxfId="110"/>
    <tableColumn id="2" name="DVB/EUB" dataDxfId="109" totalsRowDxfId="108"/>
    <tableColumn id="3" name="HOH" dataDxfId="107" totalsRowDxfId="106"/>
    <tableColumn id="4" name="AR" dataDxfId="105" totalsRowDxfId="104"/>
    <tableColumn id="5" name="HD" totalsRowFunction="count" dataDxfId="103" totalsRowDxfId="102"/>
  </tableColumns>
  <tableStyleInfo name="TableStyleMedium6" showFirstColumn="1" showLastColumn="0" showRowStripes="0" showColumnStripes="0"/>
</table>
</file>

<file path=xl/tables/table3.xml><?xml version="1.0" encoding="utf-8"?>
<table xmlns="http://schemas.openxmlformats.org/spreadsheetml/2006/main" id="2" name="SubtitlePriorityTable" displayName="SubtitlePriorityTable" ref="J2:M31" totalsRowShown="0" headerRowDxfId="101" dataDxfId="100">
  <autoFilter ref="J2:M31"/>
  <tableColumns count="4">
    <tableColumn id="1" name="Item" dataDxfId="99"/>
    <tableColumn id="2" name="Value" dataDxfId="98"/>
    <tableColumn id="3" name="Reference" dataDxfId="97">
      <calculatedColumnFormula>VLOOKUP("Lang_Base", SubtitlePriorityTable[], 2, FALSE) + SubtitlePriorityTable[Value]</calculatedColumnFormula>
    </tableColumn>
    <tableColumn id="4" name="Score" dataDxfId="96">
      <calculatedColumnFormula>IFERROR(VLOOKUP(SubtitlePriorityTable[Reference], SubtitlePriorityTable[], 2, FALSE), 0) + SubtitlePriorityTable[Value]</calculatedColumnFormula>
    </tableColumn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3" name="SubtitleConfiguration" displayName="SubtitleConfiguration" ref="J33:L58" totalsRowShown="0" headerRowDxfId="95" dataDxfId="94">
  <autoFilter ref="J33:L58"/>
  <tableColumns count="3">
    <tableColumn id="1" name="item" dataDxfId="93"/>
    <tableColumn id="2" name="value" dataDxfId="92">
      <calculatedColumnFormula>IFERROR(VLOOKUP(SubtitleConfiguration[item], Configuration[[Item]:[Value]], 2, FALSE), "")</calculatedColumnFormula>
    </tableColumn>
    <tableColumn id="3" name="Priority" dataDxfId="91">
      <calculatedColumnFormula>VLOOKUP(SubtitleConfiguration[item], SubtitlePriorityTable[], 4, FALSE)</calculatedColumnFormula>
    </tableColumn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7" name="SubtitleTrackDb" displayName="SubtitleTrackDb" ref="B2:H68" totalsRowShown="0" headerRowDxfId="90" dataDxfId="89">
  <autoFilter ref="B2:H68"/>
  <tableColumns count="7">
    <tableColumn id="1" name="Track" dataDxfId="88"/>
    <tableColumn id="2" name="Lang" dataDxfId="87"/>
    <tableColumn id="3" name="Type" dataDxfId="86"/>
    <tableColumn id="4" name="MainType" dataDxfId="85">
      <calculatedColumnFormula>IFERROR(VLOOKUP(SubtitleTrackDb[Type], type_table[], 2, FALSE), "")</calculatedColumnFormula>
    </tableColumn>
    <tableColumn id="6" name="HOH" dataDxfId="84">
      <calculatedColumnFormula>IFERROR(VLOOKUP(SubtitleTrackDb[Type], type_table[], 3, FALSE), "")</calculatedColumnFormula>
    </tableColumn>
    <tableColumn id="5" name="AR" dataDxfId="83">
      <calculatedColumnFormula>IFERROR(VLOOKUP(SubtitleTrackDb[Type], type_table[], 4, FALSE), "")</calculatedColumnFormula>
    </tableColumn>
    <tableColumn id="7" name="HD" dataDxfId="82">
      <calculatedColumnFormula>IFERROR(VLOOKUP(SubtitleTrackDb[Type], type_table[], 5, FALSE), "")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1" name="TrackTable" displayName="TrackTable" ref="B20:BA36" totalsRowShown="0" headerRowDxfId="81" dataDxfId="80">
  <autoFilter ref="B20:BA36"/>
  <sortState ref="B24:O47">
    <sortCondition ref="B23:B47"/>
  </sortState>
  <tableColumns count="52">
    <tableColumn id="1" name="Track" dataDxfId="79"/>
    <tableColumn id="2" name="Lang" dataDxfId="78">
      <calculatedColumnFormula>IF(ISBLANK(TrackTable[[#This Row],[Track]]), EMPTY_VALUE, IFERROR(VLOOKUP(TrackTable[[#This Row],[Track]], SubtitleTrackDb[], 2, FALSE), EMPTY_VALUE))</calculatedColumnFormula>
    </tableColumn>
    <tableColumn id="3" name="Type Code" dataDxfId="77">
      <calculatedColumnFormula>IF(ISBLANK(TrackTable[[#This Row],[Track]]), EMPTY_VALUE, IFERROR(VLOOKUP(TrackTable[[#This Row],[Track]], SubtitleTrackDb[], 3, FALSE), EMPTY_VALUE))</calculatedColumnFormula>
    </tableColumn>
    <tableColumn id="4" name="MainType" dataDxfId="76">
      <calculatedColumnFormula>IF(ISBLANK(TrackTable[[#This Row],[Track]]), EMPTY_VALUE, IFERROR(VLOOKUP(TrackTable[[#This Row],[Track]], SubtitleTrackDb[], 4, FALSE), "n/a"))</calculatedColumnFormula>
    </tableColumn>
    <tableColumn id="7" name="HOH" dataDxfId="75">
      <calculatedColumnFormula>IF(ISBLANK(TrackTable[[#This Row],[Track]]), EMPTY_VALUE, IFERROR(VLOOKUP(TrackTable[[#This Row],[Track]], SubtitleTrackDb[], 5, FALSE), "n/a"))</calculatedColumnFormula>
    </tableColumn>
    <tableColumn id="25" name="AR" dataDxfId="74">
      <calculatedColumnFormula>IF(ISBLANK(TrackTable[[#This Row],[Track]]), EMPTY_VALUE, IFERROR(VLOOKUP(TrackTable[[#This Row],[Track]], SubtitleTrackDb[], 6, FALSE), "n/a"))</calculatedColumnFormula>
    </tableColumn>
    <tableColumn id="5" name="HD" dataDxfId="73">
      <calculatedColumnFormula>IF(ISBLANK(TrackTable[[#This Row],[Track]]), EMPTY_VALUE, IFERROR(VLOOKUP(TrackTable[[#This Row],[Track]], SubtitleTrackDb[], 7, FALSE), "n/a"))</calculatedColumnFormula>
    </tableColumn>
    <tableColumn id="34" name="LangOk" dataDxfId="72">
      <calculatedColumnFormula>IF(ISBLANK(TrackTable[[#This Row],[Track]]), EMPTY_VALUE, IF(LEN(TrackTable[[#This Row],[Lang]])=3, TRUE,  FALSE))</calculatedColumnFormula>
    </tableColumn>
    <tableColumn id="32" name="TypeOk" dataDxfId="71">
      <calculatedColumnFormula>IF(ISBLANK(TrackTable[[#This Row],[Track]]), EMPTY_VALUE, AND(NOT(ISBLANK(TrackTable[[#This Row],[Track]])), LEN(TrackTable[[#This Row],[Type Code]])=4))</calculatedColumnFormula>
    </tableColumn>
    <tableColumn id="8" name="LangUsrMatched" dataDxfId="70">
      <calculatedColumnFormula>IF(ISBLANK(TrackTable[[#This Row],[Track]]), "", IF(AND(TrackTable[[#This Row],[LangOk]], EXACT(VLOOKUP(LANG_USER_KEY, Configuration[], 2, FALSE), TrackTable[[#This Row],[Lang]])), TRUE, FALSE))</calculatedColumnFormula>
    </tableColumn>
    <tableColumn id="28" name="LangUserScore" dataDxfId="69">
      <calculatedColumnFormula>IFERROR(TrackTable[[#This Row],[LangUsrMatched]]*VLOOKUP(LANG_USER, SubtitleConfiguration[], 3, FALSE), "")</calculatedColumnFormula>
    </tableColumn>
    <tableColumn id="12" name="LangSubttlMatched0" dataDxfId="68">
      <calculatedColumnFormula>IF(ISBLANK(TrackTable[[#This Row],[Track]]), "", IF(AND(TrackTable[[#This Row],[LangOk]], EXACT(VLOOKUP(LANG_SUBTTL_KEY, Configuration[], 2, FALSE), TrackTable[[#This Row],[Lang]])), TRUE, FALSE))</calculatedColumnFormula>
    </tableColumn>
    <tableColumn id="29" name="LangSubttlScore0" dataDxfId="67">
      <calculatedColumnFormula>IFERROR(TrackTable[[#This Row],[LangSubttlMatched0]]*VLOOKUP(LANG_SUBTTL, SubtitleConfiguration[], 3, FALSE), "")</calculatedColumnFormula>
    </tableColumn>
    <tableColumn id="46" name="LangSubttlMatched1" dataDxfId="66">
      <calculatedColumnFormula>IF(ISBLANK(TrackTable[[#This Row],[Track]]), "", IF(AND(TrackTable[[#This Row],[LangOk]], EXACT(VLOOKUP(LANG_SUBTTL_KEY1, Configuration[], 2, FALSE), TrackTable[[#This Row],[Lang]])), TRUE, FALSE))</calculatedColumnFormula>
    </tableColumn>
    <tableColumn id="47" name="LangSubttlScore1" dataDxfId="65">
      <calculatedColumnFormula>IFERROR(TrackTable[[#This Row],[LangSubttlMatched1]]*VLOOKUP(LANG_SUBTTL1, SubtitleConfiguration[], 3, FALSE), "")</calculatedColumnFormula>
    </tableColumn>
    <tableColumn id="13" name="LangOsdMatched" dataDxfId="64">
      <calculatedColumnFormula>IF(ISBLANK(TrackTable[[#This Row],[Track]]), "", IF(AND(TrackTable[[#This Row],[LangOk]], EXACT(VLOOKUP(LANG_OSD_KEY, Configuration[], 2, FALSE), TrackTable[[#This Row],[Lang]])), TRUE, FALSE))</calculatedColumnFormula>
    </tableColumn>
    <tableColumn id="31" name="LangOsdScore" dataDxfId="63">
      <calculatedColumnFormula>IFERROR(TrackTable[[#This Row],[LangOsdMatched]]*VLOOKUP(LANG_OSD, SubtitleConfiguration[], 3, FALSE), "")</calculatedColumnFormula>
    </tableColumn>
    <tableColumn id="11" name="LangUndefined" dataDxfId="62">
      <calculatedColumnFormula>IF(ISBLANK(TrackTable[[#This Row],[Track]]), "", IF(AND(TrackTable[[#This Row],[LangOk]], EXACT(VLOOKUP(LANG_UND_KEY, Configuration[], 2, FALSE), TrackTable[[#This Row],[Lang]])), TRUE, FALSE))</calculatedColumnFormula>
    </tableColumn>
    <tableColumn id="16" name="LangUndefinedScore" dataDxfId="61">
      <calculatedColumnFormula>IFERROR(TrackTable[[#This Row],[LangUndefined]]*VLOOKUP(LANG_UND, SubtitleConfiguration[], 3, FALSE), "")</calculatedColumnFormula>
    </tableColumn>
    <tableColumn id="19" name="LangOriginal" dataDxfId="60">
      <calculatedColumnFormula>IF(ISBLANK(TrackTable[[#This Row],[Track]]), "", IF(AND(TrackTable[[#This Row],[LangOk]], EXACT(VLOOKUP(LANG_ORG_KEY, Configuration[], 2, FALSE), TrackTable[[#This Row],[Lang]])), TRUE, FALSE))</calculatedColumnFormula>
    </tableColumn>
    <tableColumn id="24" name="LangOriginalScore" dataDxfId="59">
      <calculatedColumnFormula>IFERROR(TrackTable[[#This Row],[LangOriginal]]*VLOOKUP(LANG_ORG, SubtitleConfiguration[], 3, FALSE), "")</calculatedColumnFormula>
    </tableColumn>
    <tableColumn id="30" name="LangDefault" dataDxfId="58">
      <calculatedColumnFormula>IF(ISBLANK(TrackTable[[#This Row],[Track]]), "", IF(AND(TrackTable[[#This Row],[LangOk]], EXACT(VLOOKUP(LANG_DEF_KEY, Configuration[], 2, FALSE), TrackTable[[#This Row],[Lang]])), TRUE, FALSE))</calculatedColumnFormula>
    </tableColumn>
    <tableColumn id="9" name="LangDefaultScore" dataDxfId="57">
      <calculatedColumnFormula>IFERROR(TrackTable[[#This Row],[LangDefault]]*VLOOKUP(LANG_DEF, SubtitleConfiguration[], 3, FALSE), "")</calculatedColumnFormula>
    </tableColumn>
    <tableColumn id="17" name="LangScore" dataDxfId="56" dataCellStyle="쉼표 [0]">
      <calculatedColumnFormula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calculatedColumnFormula>
    </tableColumn>
    <tableColumn id="15" name="DvbMatched" dataDxfId="55">
      <calculatedColumnFormula>IFERROR(IF(TrackTable[[#This Row],[TypeOk]], AND(VLOOKUP("Type_DVB", Configuration[], 2, FALSE), EXACT(TrackTable[[#This Row],[MainType]], "DVB")), FALSE), "")</calculatedColumnFormula>
    </tableColumn>
    <tableColumn id="22" name="DvbScore" dataDxfId="54">
      <calculatedColumnFormula>IFERROR(IF(TrackTable[[#This Row],[DvbMatched]], VLOOKUP(DVB_M, SubtitlePriorityTable[], 4, FALSE), 0), "")</calculatedColumnFormula>
    </tableColumn>
    <tableColumn id="10" name="EubScore" dataDxfId="53">
      <calculatedColumnFormula>IFERROR(IF(AND(NOT(VLOOKUP("Type_DVB", Configuration[], 2, FALSE)), EXACT(TrackTable[[#This Row],[MainType]], "EBU")), VLOOKUP("Type_EBU", SubtitlePriorityTable[], 4, FALSE), 0), "")</calculatedColumnFormula>
    </tableColumn>
    <tableColumn id="18" name="MainTypeScore" dataDxfId="52" dataCellStyle="쉼표 [0]">
      <calculatedColumnFormula>IFERROR(IF(TrackTable[[#This Row],[TypeOk]], MAX(TrackTable[[#This Row],[DvbScore]], TrackTable[[#This Row],[EubScore]]), ""),  "")</calculatedColumnFormula>
    </tableColumn>
    <tableColumn id="23" name="HohMatched" dataDxfId="51" dataCellStyle="쉼표 [0]">
      <calculatedColumnFormula>IFERROR(AND(TrackTable[[#This Row],[TypeOk]], IFERROR(TrackTable[[#This Row],[HOH]], #VALUE!), VLOOKUP(HOH_M, Configuration[], 2, FALSE)), "")</calculatedColumnFormula>
    </tableColumn>
    <tableColumn id="35" name="HohMatchedScore" dataDxfId="50" dataCellStyle="쉼표 [0]">
      <calculatedColumnFormula>IFERROR(IF(TrackTable[[#This Row],[HohMatched]], VLOOKUP(HOH_M, SubtitlePriorityTable[], 4, FALSE), 0), "")</calculatedColumnFormula>
    </tableColumn>
    <tableColumn id="49" name="HohMatchedUser" dataDxfId="49" dataCellStyle="쉼표 [0]">
      <calculatedColumnFormula>IFERROR(AND(TrackTable[[#This Row],[TypeOk]], IFERROR(TrackTable[[#This Row],[HOH]], #VALUE!), EXACT(VLOOKUP(HOH_U, Configuration[], 2, FALSE), TRUE)), "")</calculatedColumnFormula>
    </tableColumn>
    <tableColumn id="48" name="HohMatchedUserScore" dataDxfId="48" dataCellStyle="쉼표 [0]">
      <calculatedColumnFormula>IFERROR(IF(TrackTable[[#This Row],[HohMatchedUser]], VLOOKUP(HOH_U, SubtitlePriorityTable[], 4, FALSE), 0), "")</calculatedColumnFormula>
    </tableColumn>
    <tableColumn id="55" name="HohOnEsNo" dataDxfId="47" dataCellStyle="쉼표 [0]">
      <calculatedColumnFormula>IFERROR(AND(TrackTable[[#This Row],[TypeOk]], NOT(TrackTable[[#This Row],[HOH]]), OR(EXACT(VLOOKUP(HOH_M, Configuration[], 2, FALSE), TRUE), EXACT(VLOOKUP(HOH_U, Configuration[], 2, FALSE), TRUE))), "")</calculatedColumnFormula>
    </tableColumn>
    <tableColumn id="56" name="HohOnEsNoScore" dataDxfId="46" dataCellStyle="쉼표 [0]">
      <calculatedColumnFormula>IFERROR(IF(TrackTable[[#This Row],[HohOnEsNo]], VLOOKUP("HOH_OnEsNo", SubtitlePriorityTable[], 4, FALSE), 0), "")</calculatedColumnFormula>
    </tableColumn>
    <tableColumn id="51" name="HohOffEsYes" dataDxfId="45" dataCellStyle="쉼표 [0]">
      <calculatedColumnFormula>IFERROR(AND(TrackTable[[#This Row],[TypeOk]], IFERROR(TrackTable[[#This Row],[HOH]], #VALUE!), AND(EXACT(VLOOKUP(HOH_M, Configuration[], 2, FALSE), FALSE), EXACT(VLOOKUP(HOH_U, Configuration[], 2, FALSE), FALSE))), "")</calculatedColumnFormula>
    </tableColumn>
    <tableColumn id="53" name="HohOffEsYesScore" dataDxfId="44" dataCellStyle="쉼표 [0]">
      <calculatedColumnFormula>IFERROR(IF(TrackTable[[#This Row],[HohOffEsYes]], VLOOKUP("HOH_OffEsYes", SubtitlePriorityTable[], 4, FALSE), 0), "")</calculatedColumnFormula>
    </tableColumn>
    <tableColumn id="52" name="HohOffEsNo" dataDxfId="43" dataCellStyle="쉼표 [0]">
      <calculatedColumnFormula>IFERROR(AND(TrackTable[[#This Row],[TypeOk]], NOT(TrackTable[[#This Row],[HOH]]), AND(EXACT(VLOOKUP(HOH_M, Configuration[], 2, FALSE), FALSE), EXACT(VLOOKUP(HOH_U, Configuration[], 2, FALSE), FALSE))), "")</calculatedColumnFormula>
    </tableColumn>
    <tableColumn id="54" name="HohOffEsNoScore" dataDxfId="42" dataCellStyle="쉼표 [0]">
      <calculatedColumnFormula>IFERROR(IF(TrackTable[[#This Row],[HohOffEsNo]], VLOOKUP("HOH_OffEsNo", SubtitlePriorityTable[], 4, FALSE), 0), "")</calculatedColumnFormula>
    </tableColumn>
    <tableColumn id="26" name="HohScore" dataDxfId="41" dataCellStyle="쉼표 [0]">
      <calculatedColumnFormula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calculatedColumnFormula>
    </tableColumn>
    <tableColumn id="37" name="ArMatched" dataDxfId="40" dataCellStyle="쉼표 [0]">
      <calculatedColumnFormula>IFERROR(IF(TrackTable[[#This Row],[TypeOk]], EXACT(VLOOKUP(AR_M, Configuration[], 2, FALSE), TrackTable[[#This Row],[AR]])), "")</calculatedColumnFormula>
    </tableColumn>
    <tableColumn id="38" name="ArMatchedScore" dataDxfId="39" dataCellStyle="쉼표 [0]">
      <calculatedColumnFormula>IFERROR(IF(TrackTable[[#This Row],[ArMatched]], VLOOKUP(AR_M, SubtitlePriorityTable[], 4, FALSE), 0), "")</calculatedColumnFormula>
    </tableColumn>
    <tableColumn id="41" name="ArNo" dataDxfId="38" dataCellStyle="쉼표 [0]">
      <calculatedColumnFormula>IFERROR(IF(TrackTable[[#This Row],[TypeOk]], IF(EXACT(TrackTable[[#This Row],[AR]], "no"), TRUE, FALSE), FALSE), "")</calculatedColumnFormula>
    </tableColumn>
    <tableColumn id="39" name="ArNoScore" dataDxfId="37" dataCellStyle="쉼표 [0]">
      <calculatedColumnFormula>IFERROR(IF(TrackTable[[#This Row],[ArNo]], VLOOKUP("AR_No", SubtitlePriorityTable[], 4, FALSE), 0), "")</calculatedColumnFormula>
    </tableColumn>
    <tableColumn id="40" name="ArScore" dataDxfId="36" dataCellStyle="쉼표 [0]">
      <calculatedColumnFormula>IFERROR(IF(TrackTable[[#This Row],[TypeOk]], MAX(TrackTable[[#This Row],[ArMatchedScore]], TrackTable[[#This Row],[ArNoScore]]), ""), "")</calculatedColumnFormula>
    </tableColumn>
    <tableColumn id="44" name="IsHD" dataDxfId="35" dataCellStyle="쉼표 [0]">
      <calculatedColumnFormula>IFERROR(IF(TrackTable[[#This Row],[TypeOk]], IF(EXACT(TrackTable[[#This Row],[HD]], "yes"), TRUE, FALSE)), "")</calculatedColumnFormula>
    </tableColumn>
    <tableColumn id="42" name="HdScore" dataDxfId="34" dataCellStyle="쉼표 [0]">
      <calculatedColumnFormula>IFERROR(IF(TrackTable[[#This Row],[IsHD]], VLOOKUP("HD_Base", SubtitlePriorityTable[], 4, FALSE), 0), "")</calculatedColumnFormula>
    </tableColumn>
    <tableColumn id="14" name="IsFirstTrack" dataDxfId="33">
      <calculatedColumnFormula>IFERROR(IF(TrackTable[[#This Row],[TypeOk]], IF(MIN(ROW(TrackTable[Track]))=ROW(TrackTable[[#This Row],[Track]]), TRUE, FALSE), ""), "")</calculatedColumnFormula>
    </tableColumn>
    <tableColumn id="20" name="Track Score" dataDxfId="32" dataCellStyle="쉼표 [0]">
      <calculatedColumnFormula>IFERROR(IF(TrackTable[[#This Row],[TypeOk]], TrackTable[[#This Row],[IsFirstTrack]]*VLOOKUP("First_Track", SubtitleConfiguration[], 3, FALSE), ""), "")</calculatedColumnFormula>
    </tableColumn>
    <tableColumn id="6" name="Score" dataDxfId="31" dataCellStyle="쉼표 [0]">
      <calculatedColumnFormula>IF(ISBLANK(TrackTable[[#This Row],[Track]]), EMPTY_VALUE, TrackTable[[#This Row],[LangScore]]+TrackTable[[#This Row],[MainTypeScore]]+TrackTable[[#This Row],[HohScore]]+TrackTable[[#This Row],[ArScore]]+TrackTable[[#This Row],[HdScore]]+TrackTable[[#This Row],[Track Score]])</calculatedColumnFormula>
    </tableColumn>
    <tableColumn id="33" name="Order" dataDxfId="30" dataCellStyle="쉼표 [0]">
      <calculatedColumnFormula>IFERROR(_xlfn.RANK.EQ(TrackTable[[#This Row],[Score]],TrackTable[Score], 0), "")</calculatedColumnFormula>
    </tableColumn>
    <tableColumn id="21" name="Selection Summary" dataDxfId="29" dataCellStyle="쉼표 [0]">
      <calculatedColumnFormula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calculatedColumnFormula>
    </tableColumn>
    <tableColumn id="27" name="Description" dataDxfId="28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9" name="Configuration" displayName="Configuration" ref="B1:D16" totalsRowShown="0" headerRowDxfId="27" dataDxfId="26">
  <autoFilter ref="B1:D16"/>
  <tableColumns count="3">
    <tableColumn id="1" name="Item" dataDxfId="25"/>
    <tableColumn id="2" name="Value" dataDxfId="24"/>
    <tableColumn id="3" name="ScoreRef" dataDxfId="23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id="4" name="표4" displayName="표4" ref="E2:M16" totalsRowShown="0" headerRowDxfId="22" dataDxfId="21">
  <autoFilter ref="E2:M16"/>
  <tableColumns count="9">
    <tableColumn id="10" name="Key" dataDxfId="20"/>
    <tableColumn id="1" name="Item" dataDxfId="19"/>
    <tableColumn id="8" name="item1" dataDxfId="18"/>
    <tableColumn id="9" name="item2" dataDxfId="17"/>
    <tableColumn id="2" name="item3" dataDxfId="16"/>
    <tableColumn id="11" name="Value" dataDxfId="15"/>
    <tableColumn id="6" name="Tab" dataDxfId="14"/>
    <tableColumn id="4" name="Description" dataDxfId="13"/>
    <tableColumn id="5" name="Value Org" dataDxfId="12"/>
  </tableColumns>
  <tableStyleInfo name="TableStyleLight6" showFirstColumn="0" showLastColumn="0" showRowStripes="1" showColumnStripes="0"/>
</table>
</file>

<file path=xl/tables/table9.xml><?xml version="1.0" encoding="utf-8"?>
<table xmlns="http://schemas.openxmlformats.org/spreadsheetml/2006/main" id="6" name="SubttlRef" displayName="SubttlRef" ref="B2:C17" totalsRowShown="0" headerRowDxfId="11" dataDxfId="10">
  <autoFilter ref="B2:C17"/>
  <tableColumns count="2">
    <tableColumn id="1" name="Item" dataDxfId="9"/>
    <tableColumn id="2" name="Value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workbookViewId="0">
      <selection activeCell="G26" sqref="G26"/>
    </sheetView>
  </sheetViews>
  <sheetFormatPr defaultRowHeight="12" x14ac:dyDescent="0.3"/>
  <cols>
    <col min="1" max="1" width="9" style="8"/>
    <col min="2" max="2" width="21.375" style="8" bestFit="1" customWidth="1"/>
    <col min="3" max="5" width="9" style="8"/>
    <col min="6" max="6" width="10.5" style="8" bestFit="1" customWidth="1"/>
    <col min="7" max="16384" width="9" style="8"/>
  </cols>
  <sheetData>
    <row r="2" spans="2:9" x14ac:dyDescent="0.3">
      <c r="B2" s="8" t="s">
        <v>37</v>
      </c>
      <c r="C2" s="11" t="s">
        <v>36</v>
      </c>
    </row>
    <row r="4" spans="2:9" x14ac:dyDescent="0.3">
      <c r="B4" s="8" t="s">
        <v>3</v>
      </c>
      <c r="C4" s="8" t="s">
        <v>27</v>
      </c>
      <c r="E4" s="8" t="s">
        <v>61</v>
      </c>
      <c r="F4" s="8" t="s">
        <v>62</v>
      </c>
      <c r="G4" s="8" t="s">
        <v>60</v>
      </c>
      <c r="H4" s="8" t="s">
        <v>59</v>
      </c>
      <c r="I4" s="8" t="s">
        <v>53</v>
      </c>
    </row>
    <row r="5" spans="2:9" x14ac:dyDescent="0.3">
      <c r="B5" s="8" t="s">
        <v>119</v>
      </c>
      <c r="C5" s="8" t="s">
        <v>0</v>
      </c>
      <c r="E5" s="8" t="s">
        <v>67</v>
      </c>
      <c r="F5" s="8" t="s">
        <v>41</v>
      </c>
      <c r="G5" s="8" t="b">
        <v>0</v>
      </c>
      <c r="H5" s="8" t="s">
        <v>63</v>
      </c>
      <c r="I5" s="8" t="s">
        <v>64</v>
      </c>
    </row>
    <row r="6" spans="2:9" x14ac:dyDescent="0.3">
      <c r="B6" s="8" t="s">
        <v>120</v>
      </c>
      <c r="C6" s="8" t="s">
        <v>34</v>
      </c>
      <c r="E6" s="8" t="s">
        <v>82</v>
      </c>
      <c r="F6" s="8" t="s">
        <v>106</v>
      </c>
      <c r="G6" s="8" t="b">
        <v>0</v>
      </c>
      <c r="H6" s="8" t="s">
        <v>108</v>
      </c>
      <c r="I6" s="8" t="s">
        <v>64</v>
      </c>
    </row>
    <row r="7" spans="2:9" x14ac:dyDescent="0.3">
      <c r="B7" s="9" t="s">
        <v>117</v>
      </c>
      <c r="C7" s="9" t="b">
        <v>1</v>
      </c>
      <c r="E7" s="8" t="s">
        <v>84</v>
      </c>
      <c r="F7" s="8" t="s">
        <v>41</v>
      </c>
      <c r="G7" s="8" t="b">
        <v>0</v>
      </c>
      <c r="H7" s="8" t="s">
        <v>64</v>
      </c>
      <c r="I7" s="8" t="s">
        <v>64</v>
      </c>
    </row>
    <row r="8" spans="2:9" x14ac:dyDescent="0.3">
      <c r="B8" s="9" t="s">
        <v>118</v>
      </c>
      <c r="C8" s="9" t="b">
        <v>0</v>
      </c>
      <c r="E8" s="8" t="s">
        <v>85</v>
      </c>
      <c r="F8" s="8" t="s">
        <v>107</v>
      </c>
      <c r="G8" s="8" t="b">
        <v>0</v>
      </c>
      <c r="H8" s="8" t="s">
        <v>64</v>
      </c>
      <c r="I8" s="8" t="s">
        <v>64</v>
      </c>
    </row>
    <row r="9" spans="2:9" x14ac:dyDescent="0.3">
      <c r="B9" s="9" t="s">
        <v>40</v>
      </c>
      <c r="C9" s="9" t="s">
        <v>41</v>
      </c>
      <c r="E9" s="8" t="s">
        <v>80</v>
      </c>
      <c r="F9" s="8" t="s">
        <v>41</v>
      </c>
      <c r="G9" s="8" t="b">
        <v>1</v>
      </c>
      <c r="H9" s="8" t="s">
        <v>65</v>
      </c>
      <c r="I9" s="8" t="s">
        <v>64</v>
      </c>
    </row>
    <row r="10" spans="2:9" x14ac:dyDescent="0.3">
      <c r="B10" s="9" t="s">
        <v>42</v>
      </c>
      <c r="C10" s="9" t="s">
        <v>43</v>
      </c>
      <c r="E10" s="8" t="s">
        <v>87</v>
      </c>
      <c r="F10" s="8" t="s">
        <v>68</v>
      </c>
      <c r="G10" s="8" t="b">
        <v>0</v>
      </c>
      <c r="H10" s="8" t="s">
        <v>149</v>
      </c>
      <c r="I10" s="8" t="s">
        <v>75</v>
      </c>
    </row>
    <row r="11" spans="2:9" x14ac:dyDescent="0.3">
      <c r="B11" s="9" t="s">
        <v>44</v>
      </c>
      <c r="C11" s="9" t="s">
        <v>72</v>
      </c>
      <c r="E11" s="8" t="s">
        <v>89</v>
      </c>
      <c r="F11" s="8" t="s">
        <v>68</v>
      </c>
      <c r="G11" s="8" t="b">
        <v>0</v>
      </c>
      <c r="H11" s="8" t="s">
        <v>46</v>
      </c>
      <c r="I11" s="8" t="s">
        <v>76</v>
      </c>
    </row>
    <row r="12" spans="2:9" x14ac:dyDescent="0.3">
      <c r="B12" s="9" t="s">
        <v>45</v>
      </c>
      <c r="C12" s="9" t="s">
        <v>46</v>
      </c>
      <c r="E12" s="8" t="s">
        <v>91</v>
      </c>
      <c r="F12" s="8" t="s">
        <v>68</v>
      </c>
      <c r="G12" s="8" t="b">
        <v>0</v>
      </c>
      <c r="H12" s="8" t="s">
        <v>49</v>
      </c>
      <c r="I12" s="8" t="s">
        <v>77</v>
      </c>
    </row>
    <row r="13" spans="2:9" x14ac:dyDescent="0.3">
      <c r="B13" s="9" t="s">
        <v>47</v>
      </c>
      <c r="C13" s="9" t="s">
        <v>49</v>
      </c>
      <c r="E13" s="8" t="s">
        <v>93</v>
      </c>
      <c r="F13" s="8" t="s">
        <v>68</v>
      </c>
      <c r="G13" s="8" t="b">
        <v>0</v>
      </c>
      <c r="H13" s="8" t="s">
        <v>69</v>
      </c>
      <c r="I13" s="8" t="s">
        <v>72</v>
      </c>
    </row>
    <row r="14" spans="2:9" x14ac:dyDescent="0.3">
      <c r="B14" s="9" t="s">
        <v>50</v>
      </c>
      <c r="C14" s="9" t="s">
        <v>51</v>
      </c>
      <c r="E14" s="8" t="s">
        <v>95</v>
      </c>
      <c r="F14" s="8" t="s">
        <v>68</v>
      </c>
      <c r="G14" s="8" t="b">
        <v>0</v>
      </c>
      <c r="H14" s="8" t="s">
        <v>64</v>
      </c>
      <c r="I14" s="8" t="s">
        <v>71</v>
      </c>
    </row>
    <row r="15" spans="2:9" x14ac:dyDescent="0.3">
      <c r="B15" s="9" t="s">
        <v>52</v>
      </c>
      <c r="C15" s="9" t="s">
        <v>73</v>
      </c>
      <c r="E15" s="8" t="s">
        <v>97</v>
      </c>
      <c r="F15" s="8" t="s">
        <v>68</v>
      </c>
      <c r="G15" s="8" t="b">
        <v>1</v>
      </c>
      <c r="H15" s="8" t="s">
        <v>70</v>
      </c>
      <c r="I15" s="8" t="s">
        <v>72</v>
      </c>
    </row>
    <row r="16" spans="2:9" x14ac:dyDescent="0.3">
      <c r="B16" s="9" t="s">
        <v>54</v>
      </c>
      <c r="C16" s="9" t="s">
        <v>74</v>
      </c>
      <c r="E16" s="8" t="s">
        <v>99</v>
      </c>
      <c r="F16" s="8" t="s">
        <v>68</v>
      </c>
      <c r="G16" s="8" t="b">
        <v>1</v>
      </c>
      <c r="H16" s="8" t="s">
        <v>46</v>
      </c>
      <c r="I16" s="8" t="s">
        <v>72</v>
      </c>
    </row>
    <row r="17" spans="2:9" x14ac:dyDescent="0.3">
      <c r="B17" s="9" t="s">
        <v>234</v>
      </c>
      <c r="C17" s="9" t="s">
        <v>235</v>
      </c>
      <c r="E17" s="8" t="s">
        <v>101</v>
      </c>
      <c r="F17" s="8" t="s">
        <v>68</v>
      </c>
      <c r="G17" s="8" t="b">
        <v>1</v>
      </c>
      <c r="H17" s="8" t="s">
        <v>49</v>
      </c>
      <c r="I17" s="8" t="s">
        <v>72</v>
      </c>
    </row>
    <row r="18" spans="2:9" x14ac:dyDescent="0.3">
      <c r="B18" s="9" t="s">
        <v>236</v>
      </c>
      <c r="C18" s="9" t="str">
        <f>""</f>
        <v/>
      </c>
      <c r="E18" s="8" t="s">
        <v>103</v>
      </c>
      <c r="F18" s="8" t="s">
        <v>68</v>
      </c>
      <c r="G18" s="8" t="b">
        <v>1</v>
      </c>
      <c r="H18" s="8" t="s">
        <v>69</v>
      </c>
      <c r="I18" s="8" t="s">
        <v>72</v>
      </c>
    </row>
    <row r="19" spans="2:9" x14ac:dyDescent="0.3">
      <c r="B19" s="9"/>
      <c r="C19" s="9"/>
      <c r="E19" s="8" t="s">
        <v>105</v>
      </c>
      <c r="F19" s="8" t="s">
        <v>68</v>
      </c>
      <c r="G19" s="8" t="b">
        <v>1</v>
      </c>
      <c r="H19" s="8" t="s">
        <v>64</v>
      </c>
      <c r="I19" s="8" t="s">
        <v>78</v>
      </c>
    </row>
    <row r="20" spans="2:9" x14ac:dyDescent="0.3">
      <c r="B20" s="9"/>
      <c r="C20" s="9"/>
    </row>
    <row r="21" spans="2:9" x14ac:dyDescent="0.3">
      <c r="B21" s="9"/>
      <c r="C21" s="9"/>
    </row>
    <row r="22" spans="2:9" x14ac:dyDescent="0.3">
      <c r="B22" s="9"/>
      <c r="C22" s="9"/>
    </row>
    <row r="23" spans="2:9" x14ac:dyDescent="0.3">
      <c r="B23" s="9"/>
      <c r="C23" s="9"/>
    </row>
    <row r="24" spans="2:9" x14ac:dyDescent="0.3">
      <c r="B24" s="9"/>
      <c r="C24" s="9"/>
    </row>
    <row r="25" spans="2:9" x14ac:dyDescent="0.3">
      <c r="B25" s="9"/>
      <c r="C25" s="9"/>
    </row>
    <row r="26" spans="2:9" x14ac:dyDescent="0.3">
      <c r="B26" s="9"/>
      <c r="C26" s="9"/>
    </row>
    <row r="27" spans="2:9" x14ac:dyDescent="0.3">
      <c r="B27" s="9"/>
      <c r="C27" s="9"/>
    </row>
    <row r="28" spans="2:9" x14ac:dyDescent="0.3">
      <c r="B28" s="9"/>
      <c r="C28" s="9"/>
    </row>
    <row r="29" spans="2:9" x14ac:dyDescent="0.3">
      <c r="B29" s="9"/>
      <c r="C29" s="9"/>
    </row>
    <row r="30" spans="2:9" x14ac:dyDescent="0.3">
      <c r="B30" s="9"/>
      <c r="C30" s="9"/>
    </row>
    <row r="31" spans="2:9" x14ac:dyDescent="0.3">
      <c r="B31" s="9"/>
      <c r="C31" s="9"/>
    </row>
    <row r="32" spans="2:9" x14ac:dyDescent="0.3">
      <c r="B32" s="9"/>
      <c r="C32" s="9"/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8"/>
  <sheetViews>
    <sheetView zoomScale="85" zoomScaleNormal="85" workbookViewId="0"/>
  </sheetViews>
  <sheetFormatPr defaultRowHeight="12" x14ac:dyDescent="0.3"/>
  <cols>
    <col min="1" max="1" width="9" style="9"/>
    <col min="2" max="2" width="7.5" style="9" bestFit="1" customWidth="1"/>
    <col min="3" max="3" width="7.875" style="9" bestFit="1" customWidth="1"/>
    <col min="4" max="4" width="9.625" style="9" customWidth="1"/>
    <col min="5" max="5" width="10.625" style="9" bestFit="1" customWidth="1"/>
    <col min="6" max="6" width="6.875" style="9" bestFit="1" customWidth="1"/>
    <col min="7" max="7" width="9" style="9"/>
    <col min="8" max="8" width="7.625" style="9" customWidth="1"/>
    <col min="9" max="9" width="19.125" style="9" bestFit="1" customWidth="1"/>
    <col min="10" max="10" width="18.125" style="9" bestFit="1" customWidth="1"/>
    <col min="11" max="11" width="8.5" style="9" bestFit="1" customWidth="1"/>
    <col min="12" max="16384" width="9" style="9"/>
  </cols>
  <sheetData>
    <row r="2" spans="2:13" x14ac:dyDescent="0.3">
      <c r="B2" s="9" t="s">
        <v>28</v>
      </c>
      <c r="C2" s="9" t="s">
        <v>38</v>
      </c>
      <c r="D2" s="9" t="s">
        <v>39</v>
      </c>
      <c r="E2" s="9" t="s">
        <v>55</v>
      </c>
      <c r="F2" s="9" t="s">
        <v>56</v>
      </c>
      <c r="G2" s="9" t="s">
        <v>57</v>
      </c>
      <c r="H2" s="9" t="s">
        <v>58</v>
      </c>
      <c r="J2" s="9" t="s">
        <v>3</v>
      </c>
      <c r="K2" s="9" t="s">
        <v>12</v>
      </c>
      <c r="L2" s="9" t="s">
        <v>13</v>
      </c>
      <c r="M2" s="9" t="s">
        <v>16</v>
      </c>
    </row>
    <row r="3" spans="2:13" x14ac:dyDescent="0.3">
      <c r="B3" s="9">
        <v>0</v>
      </c>
      <c r="C3" s="9" t="s">
        <v>29</v>
      </c>
      <c r="D3" s="9" t="s">
        <v>66</v>
      </c>
      <c r="E3" s="9" t="str">
        <f>IFERROR(VLOOKUP(SubtitleTrackDb[Type], type_table[], 2, FALSE), "")</f>
        <v>EBU</v>
      </c>
      <c r="F3" s="9" t="b">
        <f>IFERROR(VLOOKUP(SubtitleTrackDb[Type], type_table[], 3, FALSE), "")</f>
        <v>0</v>
      </c>
      <c r="G3" s="9" t="str">
        <f>IFERROR(VLOOKUP(SubtitleTrackDb[Type], type_table[], 4, FALSE), "")</f>
        <v>n/a</v>
      </c>
      <c r="H3" s="9" t="str">
        <f>IFERROR(VLOOKUP(SubtitleTrackDb[Type], type_table[], 5, FALSE), "")</f>
        <v>n/a</v>
      </c>
      <c r="J3" s="9" t="s">
        <v>11</v>
      </c>
      <c r="K3" s="9">
        <v>10000</v>
      </c>
      <c r="M3" s="9">
        <f>IFERROR(VLOOKUP(SubtitlePriorityTable[Reference], SubtitlePriorityTable[], 2, FALSE), 0) + SubtitlePriorityTable[Value]</f>
        <v>10000</v>
      </c>
    </row>
    <row r="4" spans="2:13" x14ac:dyDescent="0.3">
      <c r="B4" s="9">
        <v>1</v>
      </c>
      <c r="C4" s="9" t="s">
        <v>29</v>
      </c>
      <c r="D4" s="9" t="s">
        <v>81</v>
      </c>
      <c r="E4" s="9" t="str">
        <f>IFERROR(VLOOKUP(SubtitleTrackDb[Type], type_table[], 2, FALSE), "")</f>
        <v>EBU</v>
      </c>
      <c r="F4" s="9" t="b">
        <f>IFERROR(VLOOKUP(SubtitleTrackDb[Type], type_table[], 3, FALSE), "")</f>
        <v>0</v>
      </c>
      <c r="G4" s="9" t="str">
        <f>IFERROR(VLOOKUP(SubtitleTrackDb[Type], type_table[], 4, FALSE), "")</f>
        <v>n/a</v>
      </c>
      <c r="H4" s="9" t="str">
        <f>IFERROR(VLOOKUP(SubtitleTrackDb[Type], type_table[], 5, FALSE), "")</f>
        <v>n/a</v>
      </c>
      <c r="J4" s="9" t="s">
        <v>123</v>
      </c>
      <c r="K4" s="9">
        <v>60000</v>
      </c>
      <c r="L4" s="9" t="s">
        <v>15</v>
      </c>
      <c r="M4" s="9">
        <f>IFERROR(VLOOKUP(SubtitlePriorityTable[Reference], SubtitlePriorityTable[], 2, FALSE), 0) + SubtitlePriorityTable[Value]</f>
        <v>70000</v>
      </c>
    </row>
    <row r="5" spans="2:13" x14ac:dyDescent="0.3">
      <c r="B5" s="9">
        <v>2</v>
      </c>
      <c r="C5" s="9" t="s">
        <v>29</v>
      </c>
      <c r="D5" s="9" t="s">
        <v>83</v>
      </c>
      <c r="E5" s="9" t="str">
        <f>IFERROR(VLOOKUP(SubtitleTrackDb[Type], type_table[], 2, FALSE), "")</f>
        <v>EBU</v>
      </c>
      <c r="F5" s="9" t="b">
        <f>IFERROR(VLOOKUP(SubtitleTrackDb[Type], type_table[], 3, FALSE), "")</f>
        <v>0</v>
      </c>
      <c r="G5" s="9" t="str">
        <f>IFERROR(VLOOKUP(SubtitleTrackDb[Type], type_table[], 4, FALSE), "")</f>
        <v>n/a</v>
      </c>
      <c r="H5" s="9" t="str">
        <f>IFERROR(VLOOKUP(SubtitleTrackDb[Type], type_table[], 5, FALSE), "")</f>
        <v>n/a</v>
      </c>
      <c r="J5" s="9" t="s">
        <v>248</v>
      </c>
      <c r="K5" s="9">
        <v>50000</v>
      </c>
      <c r="L5" s="9" t="s">
        <v>14</v>
      </c>
      <c r="M5" s="9">
        <f>IFERROR(VLOOKUP(SubtitlePriorityTable[Reference], SubtitlePriorityTable[], 2, FALSE), 0) + SubtitlePriorityTable[Value]</f>
        <v>60000</v>
      </c>
    </row>
    <row r="6" spans="2:13" x14ac:dyDescent="0.3">
      <c r="B6" s="9">
        <v>3</v>
      </c>
      <c r="C6" s="9" t="s">
        <v>29</v>
      </c>
      <c r="D6" s="9" t="s">
        <v>79</v>
      </c>
      <c r="E6" s="9" t="str">
        <f>IFERROR(VLOOKUP(SubtitleTrackDb[Type], type_table[], 2, FALSE), "")</f>
        <v>EBU</v>
      </c>
      <c r="F6" s="9" t="b">
        <f>IFERROR(VLOOKUP(SubtitleTrackDb[Type], type_table[], 3, FALSE), "")</f>
        <v>1</v>
      </c>
      <c r="G6" s="9" t="str">
        <f>IFERROR(VLOOKUP(SubtitleTrackDb[Type], type_table[], 4, FALSE), "")</f>
        <v>n/a</v>
      </c>
      <c r="H6" s="9" t="str">
        <f>IFERROR(VLOOKUP(SubtitleTrackDb[Type], type_table[], 5, FALSE), "")</f>
        <v>n/a</v>
      </c>
      <c r="J6" s="9" t="s">
        <v>254</v>
      </c>
      <c r="K6" s="9">
        <v>40000</v>
      </c>
      <c r="L6" s="10" t="s">
        <v>255</v>
      </c>
      <c r="M6" s="10">
        <f>IFERROR(VLOOKUP(SubtitlePriorityTable[Reference], SubtitlePriorityTable[], 2, FALSE), 0) + SubtitlePriorityTable[Value]</f>
        <v>50000</v>
      </c>
    </row>
    <row r="7" spans="2:13" x14ac:dyDescent="0.3">
      <c r="B7" s="9">
        <v>4</v>
      </c>
      <c r="C7" s="9" t="s">
        <v>29</v>
      </c>
      <c r="D7" s="9" t="s">
        <v>86</v>
      </c>
      <c r="E7" s="9" t="str">
        <f>IFERROR(VLOOKUP(SubtitleTrackDb[Type], type_table[], 2, FALSE), "")</f>
        <v>DVB</v>
      </c>
      <c r="F7" s="9" t="b">
        <f>IFERROR(VLOOKUP(SubtitleTrackDb[Type], type_table[], 3, FALSE), "")</f>
        <v>0</v>
      </c>
      <c r="G7" s="9" t="str">
        <f>IFERROR(VLOOKUP(SubtitleTrackDb[Type], type_table[], 4, FALSE), "")</f>
        <v>no</v>
      </c>
      <c r="H7" s="9" t="str">
        <f>IFERROR(VLOOKUP(SubtitleTrackDb[Type], type_table[], 5, FALSE), "")</f>
        <v>no</v>
      </c>
      <c r="J7" s="9" t="s">
        <v>109</v>
      </c>
      <c r="K7" s="9">
        <v>30000</v>
      </c>
      <c r="L7" s="9" t="s">
        <v>15</v>
      </c>
      <c r="M7" s="9">
        <f>IFERROR(VLOOKUP(SubtitlePriorityTable[Reference], SubtitlePriorityTable[], 2, FALSE), 0) + SubtitlePriorityTable[Value]</f>
        <v>40000</v>
      </c>
    </row>
    <row r="8" spans="2:13" x14ac:dyDescent="0.3">
      <c r="B8" s="9">
        <v>5</v>
      </c>
      <c r="C8" s="9" t="s">
        <v>29</v>
      </c>
      <c r="D8" s="9" t="s">
        <v>88</v>
      </c>
      <c r="E8" s="9" t="str">
        <f>IFERROR(VLOOKUP(SubtitleTrackDb[Type], type_table[], 2, FALSE), "")</f>
        <v>DVB</v>
      </c>
      <c r="F8" s="9" t="b">
        <f>IFERROR(VLOOKUP(SubtitleTrackDb[Type], type_table[], 3, FALSE), "")</f>
        <v>0</v>
      </c>
      <c r="G8" s="9" t="str">
        <f>IFERROR(VLOOKUP(SubtitleTrackDb[Type], type_table[], 4, FALSE), "")</f>
        <v>4x3</v>
      </c>
      <c r="H8" s="9" t="str">
        <f>IFERROR(VLOOKUP(SubtitleTrackDb[Type], type_table[], 5, FALSE), "")</f>
        <v>no</v>
      </c>
      <c r="J8" s="9" t="s">
        <v>219</v>
      </c>
      <c r="K8" s="9">
        <v>20000</v>
      </c>
      <c r="L8" s="9" t="s">
        <v>11</v>
      </c>
      <c r="M8" s="9">
        <f>IFERROR(VLOOKUP(SubtitlePriorityTable[Reference], SubtitlePriorityTable[], 2, FALSE), 0) + SubtitlePriorityTable[Value]</f>
        <v>30000</v>
      </c>
    </row>
    <row r="9" spans="2:13" x14ac:dyDescent="0.3">
      <c r="B9" s="9">
        <v>6</v>
      </c>
      <c r="C9" s="9" t="s">
        <v>29</v>
      </c>
      <c r="D9" s="9" t="s">
        <v>90</v>
      </c>
      <c r="E9" s="9" t="str">
        <f>IFERROR(VLOOKUP(SubtitleTrackDb[Type], type_table[], 2, FALSE), "")</f>
        <v>DVB</v>
      </c>
      <c r="F9" s="9" t="b">
        <f>IFERROR(VLOOKUP(SubtitleTrackDb[Type], type_table[], 3, FALSE), "")</f>
        <v>0</v>
      </c>
      <c r="G9" s="9" t="str">
        <f>IFERROR(VLOOKUP(SubtitleTrackDb[Type], type_table[], 4, FALSE), "")</f>
        <v>16x9</v>
      </c>
      <c r="H9" s="9" t="str">
        <f>IFERROR(VLOOKUP(SubtitleTrackDb[Type], type_table[], 5, FALSE), "")</f>
        <v>no</v>
      </c>
      <c r="J9" s="9" t="s">
        <v>221</v>
      </c>
      <c r="K9" s="9">
        <v>10000</v>
      </c>
      <c r="L9" s="10" t="s">
        <v>116</v>
      </c>
      <c r="M9" s="10">
        <f>IFERROR(VLOOKUP(SubtitlePriorityTable[Reference], SubtitlePriorityTable[], 2, FALSE), 0) + SubtitlePriorityTable[Value]</f>
        <v>20000</v>
      </c>
    </row>
    <row r="10" spans="2:13" x14ac:dyDescent="0.3">
      <c r="B10" s="9">
        <v>7</v>
      </c>
      <c r="C10" s="9" t="s">
        <v>29</v>
      </c>
      <c r="D10" s="9" t="s">
        <v>92</v>
      </c>
      <c r="E10" s="9" t="str">
        <f>IFERROR(VLOOKUP(SubtitleTrackDb[Type], type_table[], 2, FALSE), "")</f>
        <v>DVB</v>
      </c>
      <c r="F10" s="9" t="b">
        <f>IFERROR(VLOOKUP(SubtitleTrackDb[Type], type_table[], 3, FALSE), "")</f>
        <v>0</v>
      </c>
      <c r="G10" s="9" t="str">
        <f>IFERROR(VLOOKUP(SubtitleTrackDb[Type], type_table[], 4, FALSE), "")</f>
        <v>2.21x1</v>
      </c>
      <c r="H10" s="9" t="str">
        <f>IFERROR(VLOOKUP(SubtitleTrackDb[Type], type_table[], 5, FALSE), "")</f>
        <v>no</v>
      </c>
      <c r="J10" s="9" t="s">
        <v>217</v>
      </c>
      <c r="K10" s="9">
        <v>0</v>
      </c>
      <c r="L10" s="10" t="s">
        <v>11</v>
      </c>
      <c r="M10" s="10">
        <f>IFERROR(VLOOKUP(SubtitlePriorityTable[Reference], SubtitlePriorityTable[], 2, FALSE), 0) + SubtitlePriorityTable[Value]</f>
        <v>10000</v>
      </c>
    </row>
    <row r="11" spans="2:13" x14ac:dyDescent="0.3">
      <c r="B11" s="9">
        <v>8</v>
      </c>
      <c r="C11" s="9" t="s">
        <v>29</v>
      </c>
      <c r="D11" s="9" t="s">
        <v>94</v>
      </c>
      <c r="E11" s="9" t="str">
        <f>IFERROR(VLOOKUP(SubtitleTrackDb[Type], type_table[], 2, FALSE), "")</f>
        <v>DVB</v>
      </c>
      <c r="F11" s="9" t="b">
        <f>IFERROR(VLOOKUP(SubtitleTrackDb[Type], type_table[], 3, FALSE), "")</f>
        <v>0</v>
      </c>
      <c r="G11" s="9" t="str">
        <f>IFERROR(VLOOKUP(SubtitleTrackDb[Type], type_table[], 4, FALSE), "")</f>
        <v>n/a</v>
      </c>
      <c r="H11" s="9" t="str">
        <f>IFERROR(VLOOKUP(SubtitleTrackDb[Type], type_table[], 5, FALSE), "")</f>
        <v>yes</v>
      </c>
      <c r="J11" s="9" t="s">
        <v>240</v>
      </c>
      <c r="K11" s="9">
        <v>1000</v>
      </c>
      <c r="L11" s="10"/>
      <c r="M11" s="10">
        <f>IFERROR(VLOOKUP(SubtitlePriorityTable[Reference], SubtitlePriorityTable[], 2, FALSE), 0) + SubtitlePriorityTable[Value]</f>
        <v>1000</v>
      </c>
    </row>
    <row r="12" spans="2:13" x14ac:dyDescent="0.3">
      <c r="B12" s="9">
        <v>9</v>
      </c>
      <c r="C12" s="9" t="s">
        <v>29</v>
      </c>
      <c r="D12" s="9" t="s">
        <v>96</v>
      </c>
      <c r="E12" s="9" t="str">
        <f>IFERROR(VLOOKUP(SubtitleTrackDb[Type], type_table[], 2, FALSE), "")</f>
        <v>DVB</v>
      </c>
      <c r="F12" s="9" t="b">
        <f>IFERROR(VLOOKUP(SubtitleTrackDb[Type], type_table[], 3, FALSE), "")</f>
        <v>1</v>
      </c>
      <c r="G12" s="9" t="str">
        <f>IFERROR(VLOOKUP(SubtitleTrackDb[Type], type_table[], 4, FALSE), "")</f>
        <v>no</v>
      </c>
      <c r="H12" s="9" t="str">
        <f>IFERROR(VLOOKUP(SubtitleTrackDb[Type], type_table[], 5, FALSE), "")</f>
        <v>no</v>
      </c>
      <c r="J12" s="9" t="s">
        <v>282</v>
      </c>
      <c r="K12" s="9">
        <v>3000</v>
      </c>
      <c r="L12" s="10" t="s">
        <v>285</v>
      </c>
      <c r="M12" s="10">
        <f>IFERROR(VLOOKUP(SubtitlePriorityTable[Reference], SubtitlePriorityTable[], 2, FALSE), 0) + SubtitlePriorityTable[Value]</f>
        <v>4000</v>
      </c>
    </row>
    <row r="13" spans="2:13" x14ac:dyDescent="0.3">
      <c r="B13" s="9">
        <v>10</v>
      </c>
      <c r="C13" s="9" t="s">
        <v>29</v>
      </c>
      <c r="D13" s="9" t="s">
        <v>98</v>
      </c>
      <c r="E13" s="9" t="str">
        <f>IFERROR(VLOOKUP(SubtitleTrackDb[Type], type_table[], 2, FALSE), "")</f>
        <v>DVB</v>
      </c>
      <c r="F13" s="9" t="b">
        <f>IFERROR(VLOOKUP(SubtitleTrackDb[Type], type_table[], 3, FALSE), "")</f>
        <v>1</v>
      </c>
      <c r="G13" s="9" t="str">
        <f>IFERROR(VLOOKUP(SubtitleTrackDb[Type], type_table[], 4, FALSE), "")</f>
        <v>4x3</v>
      </c>
      <c r="H13" s="9" t="str">
        <f>IFERROR(VLOOKUP(SubtitleTrackDb[Type], type_table[], 5, FALSE), "")</f>
        <v>no</v>
      </c>
      <c r="J13" s="9" t="s">
        <v>289</v>
      </c>
      <c r="K13" s="9">
        <v>2000</v>
      </c>
      <c r="L13" s="10" t="s">
        <v>285</v>
      </c>
      <c r="M13" s="10">
        <f>IFERROR(VLOOKUP(SubtitlePriorityTable[Reference], SubtitlePriorityTable[], 2, FALSE), 0) + SubtitlePriorityTable[Value]</f>
        <v>3000</v>
      </c>
    </row>
    <row r="14" spans="2:13" x14ac:dyDescent="0.3">
      <c r="B14" s="9">
        <v>11</v>
      </c>
      <c r="C14" s="9" t="s">
        <v>29</v>
      </c>
      <c r="D14" s="9" t="s">
        <v>100</v>
      </c>
      <c r="E14" s="9" t="str">
        <f>IFERROR(VLOOKUP(SubtitleTrackDb[Type], type_table[], 2, FALSE), "")</f>
        <v>DVB</v>
      </c>
      <c r="F14" s="9" t="b">
        <f>IFERROR(VLOOKUP(SubtitleTrackDb[Type], type_table[], 3, FALSE), "")</f>
        <v>1</v>
      </c>
      <c r="G14" s="9" t="str">
        <f>IFERROR(VLOOKUP(SubtitleTrackDb[Type], type_table[], 4, FALSE), "")</f>
        <v>16x9</v>
      </c>
      <c r="H14" s="9" t="str">
        <f>IFERROR(VLOOKUP(SubtitleTrackDb[Type], type_table[], 5, FALSE), "")</f>
        <v>no</v>
      </c>
      <c r="J14" s="9" t="s">
        <v>239</v>
      </c>
      <c r="K14" s="9">
        <v>1000</v>
      </c>
      <c r="L14" s="10" t="s">
        <v>240</v>
      </c>
      <c r="M14" s="10">
        <f>IFERROR(VLOOKUP(SubtitlePriorityTable[Reference], SubtitlePriorityTable[], 2, FALSE), 0) + SubtitlePriorityTable[Value]</f>
        <v>2000</v>
      </c>
    </row>
    <row r="15" spans="2:13" x14ac:dyDescent="0.3">
      <c r="B15" s="9">
        <v>12</v>
      </c>
      <c r="C15" s="9" t="s">
        <v>29</v>
      </c>
      <c r="D15" s="9" t="s">
        <v>102</v>
      </c>
      <c r="E15" s="9" t="str">
        <f>IFERROR(VLOOKUP(SubtitleTrackDb[Type], type_table[], 2, FALSE), "")</f>
        <v>DVB</v>
      </c>
      <c r="F15" s="9" t="b">
        <f>IFERROR(VLOOKUP(SubtitleTrackDb[Type], type_table[], 3, FALSE), "")</f>
        <v>1</v>
      </c>
      <c r="G15" s="9" t="str">
        <f>IFERROR(VLOOKUP(SubtitleTrackDb[Type], type_table[], 4, FALSE), "")</f>
        <v>2.21x1</v>
      </c>
      <c r="H15" s="9" t="str">
        <f>IFERROR(VLOOKUP(SubtitleTrackDb[Type], type_table[], 5, FALSE), "")</f>
        <v>no</v>
      </c>
      <c r="J15" s="9" t="s">
        <v>283</v>
      </c>
      <c r="K15" s="9">
        <v>6000</v>
      </c>
      <c r="L15" s="10" t="s">
        <v>285</v>
      </c>
      <c r="M15" s="10">
        <f>IFERROR(VLOOKUP(SubtitlePriorityTable[Reference], SubtitlePriorityTable[], 2, FALSE), 0) + SubtitlePriorityTable[Value]</f>
        <v>7000</v>
      </c>
    </row>
    <row r="16" spans="2:13" x14ac:dyDescent="0.3">
      <c r="B16" s="9">
        <v>13</v>
      </c>
      <c r="C16" s="9" t="s">
        <v>29</v>
      </c>
      <c r="D16" s="9" t="s">
        <v>104</v>
      </c>
      <c r="E16" s="9" t="str">
        <f>IFERROR(VLOOKUP(SubtitleTrackDb[Type], type_table[], 2, FALSE), "")</f>
        <v>DVB</v>
      </c>
      <c r="F16" s="9" t="b">
        <f>IFERROR(VLOOKUP(SubtitleTrackDb[Type], type_table[], 3, FALSE), "")</f>
        <v>1</v>
      </c>
      <c r="G16" s="9" t="str">
        <f>IFERROR(VLOOKUP(SubtitleTrackDb[Type], type_table[], 4, FALSE), "")</f>
        <v>n/a</v>
      </c>
      <c r="H16" s="9" t="str">
        <f>IFERROR(VLOOKUP(SubtitleTrackDb[Type], type_table[], 5, FALSE), "")</f>
        <v>yes</v>
      </c>
      <c r="J16" s="9" t="s">
        <v>284</v>
      </c>
      <c r="K16" s="9">
        <v>5000</v>
      </c>
      <c r="L16" s="10" t="s">
        <v>285</v>
      </c>
      <c r="M16" s="10">
        <f>IFERROR(VLOOKUP(SubtitlePriorityTable[Reference], SubtitlePriorityTable[], 2, FALSE), 0) + SubtitlePriorityTable[Value]</f>
        <v>6000</v>
      </c>
    </row>
    <row r="17" spans="2:18" x14ac:dyDescent="0.3">
      <c r="B17" s="9">
        <v>14</v>
      </c>
      <c r="C17" s="9" t="s">
        <v>30</v>
      </c>
      <c r="D17" s="9" t="s">
        <v>81</v>
      </c>
      <c r="E17" s="9" t="str">
        <f>IFERROR(VLOOKUP(SubtitleTrackDb[Type], type_table[], 2, FALSE), "")</f>
        <v>EBU</v>
      </c>
      <c r="F17" s="9" t="b">
        <f>IFERROR(VLOOKUP(SubtitleTrackDb[Type], type_table[], 3, FALSE), "")</f>
        <v>0</v>
      </c>
      <c r="G17" s="9" t="str">
        <f>IFERROR(VLOOKUP(SubtitleTrackDb[Type], type_table[], 4, FALSE), "")</f>
        <v>n/a</v>
      </c>
      <c r="H17" s="9" t="str">
        <f>IFERROR(VLOOKUP(SubtitleTrackDb[Type], type_table[], 5, FALSE), "")</f>
        <v>n/a</v>
      </c>
      <c r="J17" s="9" t="s">
        <v>241</v>
      </c>
      <c r="K17" s="9">
        <v>4000</v>
      </c>
      <c r="L17" s="10" t="s">
        <v>242</v>
      </c>
      <c r="M17" s="10">
        <f>IFERROR(VLOOKUP(SubtitlePriorityTable[Reference], SubtitlePriorityTable[], 2, FALSE), 0) + SubtitlePriorityTable[Value]</f>
        <v>5000</v>
      </c>
    </row>
    <row r="18" spans="2:18" x14ac:dyDescent="0.3">
      <c r="B18" s="9">
        <v>15</v>
      </c>
      <c r="C18" s="9" t="s">
        <v>204</v>
      </c>
      <c r="D18" s="9" t="s">
        <v>86</v>
      </c>
      <c r="E18" s="9" t="str">
        <f>IFERROR(VLOOKUP(SubtitleTrackDb[Type], type_table[], 2, FALSE), "")</f>
        <v>DVB</v>
      </c>
      <c r="F18" s="9" t="b">
        <f>IFERROR(VLOOKUP(SubtitleTrackDb[Type], type_table[], 3, FALSE), "")</f>
        <v>0</v>
      </c>
      <c r="G18" s="9" t="str">
        <f>IFERROR(VLOOKUP(SubtitleTrackDb[Type], type_table[], 4, FALSE), "")</f>
        <v>no</v>
      </c>
      <c r="H18" s="9" t="str">
        <f>IFERROR(VLOOKUP(SubtitleTrackDb[Type], type_table[], 5, FALSE), "")</f>
        <v>no</v>
      </c>
      <c r="J18" s="9" t="s">
        <v>111</v>
      </c>
      <c r="K18" s="9">
        <v>100000</v>
      </c>
      <c r="M18" s="9">
        <f>IFERROR(VLOOKUP(SubtitlePriorityTable[Reference], SubtitlePriorityTable[], 2, FALSE), 0) + SubtitlePriorityTable[Value]</f>
        <v>100000</v>
      </c>
      <c r="Q18" s="15"/>
      <c r="R18" s="15"/>
    </row>
    <row r="19" spans="2:18" x14ac:dyDescent="0.3">
      <c r="B19" s="9">
        <v>16</v>
      </c>
      <c r="C19" s="9" t="s">
        <v>205</v>
      </c>
      <c r="D19" s="9" t="s">
        <v>88</v>
      </c>
      <c r="E19" s="9" t="str">
        <f>IFERROR(VLOOKUP(SubtitleTrackDb[Type], type_table[], 2, FALSE), "")</f>
        <v>DVB</v>
      </c>
      <c r="F19" s="9" t="b">
        <f>IFERROR(VLOOKUP(SubtitleTrackDb[Type], type_table[], 3, FALSE), "")</f>
        <v>0</v>
      </c>
      <c r="G19" s="9" t="str">
        <f>IFERROR(VLOOKUP(SubtitleTrackDb[Type], type_table[], 4, FALSE), "")</f>
        <v>4x3</v>
      </c>
      <c r="H19" s="9" t="str">
        <f>IFERROR(VLOOKUP(SubtitleTrackDb[Type], type_table[], 5, FALSE), "")</f>
        <v>no</v>
      </c>
      <c r="J19" s="9" t="s">
        <v>264</v>
      </c>
      <c r="K19" s="9">
        <v>0</v>
      </c>
      <c r="L19" s="10" t="s">
        <v>265</v>
      </c>
      <c r="M19" s="10">
        <f>IFERROR(VLOOKUP(SubtitlePriorityTable[Reference], SubtitlePriorityTable[], 2, FALSE), 0) + SubtitlePriorityTable[Value]</f>
        <v>100000</v>
      </c>
      <c r="Q19" s="15"/>
      <c r="R19" s="15"/>
    </row>
    <row r="20" spans="2:18" x14ac:dyDescent="0.3">
      <c r="B20" s="9">
        <v>17</v>
      </c>
      <c r="C20" s="9" t="s">
        <v>205</v>
      </c>
      <c r="D20" s="9" t="s">
        <v>96</v>
      </c>
      <c r="E20" s="9" t="str">
        <f>IFERROR(VLOOKUP(SubtitleTrackDb[Type], type_table[], 2, FALSE), "")</f>
        <v>DVB</v>
      </c>
      <c r="F20" s="9" t="b">
        <f>IFERROR(VLOOKUP(SubtitleTrackDb[Type], type_table[], 3, FALSE), "")</f>
        <v>1</v>
      </c>
      <c r="G20" s="9" t="str">
        <f>IFERROR(VLOOKUP(SubtitleTrackDb[Type], type_table[], 4, FALSE), "")</f>
        <v>no</v>
      </c>
      <c r="H20" s="9" t="str">
        <f>IFERROR(VLOOKUP(SubtitleTrackDb[Type], type_table[], 5, FALSE), "")</f>
        <v>no</v>
      </c>
      <c r="J20" s="9" t="s">
        <v>267</v>
      </c>
      <c r="K20" s="9">
        <v>100000</v>
      </c>
      <c r="L20" s="10" t="s">
        <v>256</v>
      </c>
      <c r="M20" s="10">
        <f>IFERROR(VLOOKUP(SubtitlePriorityTable[Reference], SubtitlePriorityTable[], 2, FALSE), 0) + SubtitlePriorityTable[Value]</f>
        <v>200000</v>
      </c>
    </row>
    <row r="21" spans="2:18" x14ac:dyDescent="0.3">
      <c r="B21" s="9">
        <v>18</v>
      </c>
      <c r="C21" s="9" t="s">
        <v>207</v>
      </c>
      <c r="D21" s="9" t="s">
        <v>98</v>
      </c>
      <c r="E21" s="9" t="str">
        <f>IFERROR(VLOOKUP(SubtitleTrackDb[Type], type_table[], 2, FALSE), "")</f>
        <v>DVB</v>
      </c>
      <c r="F21" s="9" t="b">
        <f>IFERROR(VLOOKUP(SubtitleTrackDb[Type], type_table[], 3, FALSE), "")</f>
        <v>1</v>
      </c>
      <c r="G21" s="9" t="str">
        <f>IFERROR(VLOOKUP(SubtitleTrackDb[Type], type_table[], 4, FALSE), "")</f>
        <v>4x3</v>
      </c>
      <c r="H21" s="9" t="str">
        <f>IFERROR(VLOOKUP(SubtitleTrackDb[Type], type_table[], 5, FALSE), "")</f>
        <v>no</v>
      </c>
      <c r="J21" s="9" t="s">
        <v>269</v>
      </c>
      <c r="K21" s="9">
        <v>100000</v>
      </c>
      <c r="L21" s="10" t="s">
        <v>256</v>
      </c>
      <c r="M21" s="10">
        <f>IFERROR(VLOOKUP(SubtitlePriorityTable[Reference], SubtitlePriorityTable[], 2, FALSE), 0) + SubtitlePriorityTable[Value]</f>
        <v>200000</v>
      </c>
    </row>
    <row r="22" spans="2:18" x14ac:dyDescent="0.3">
      <c r="B22" s="9">
        <v>19</v>
      </c>
      <c r="C22" s="9" t="s">
        <v>206</v>
      </c>
      <c r="D22" s="9" t="s">
        <v>81</v>
      </c>
      <c r="E22" s="9" t="str">
        <f>IFERROR(VLOOKUP(SubtitleTrackDb[Type], type_table[], 2, FALSE), "")</f>
        <v>EBU</v>
      </c>
      <c r="F22" s="9" t="b">
        <f>IFERROR(VLOOKUP(SubtitleTrackDb[Type], type_table[], 3, FALSE), "")</f>
        <v>0</v>
      </c>
      <c r="G22" s="9" t="str">
        <f>IFERROR(VLOOKUP(SubtitleTrackDb[Type], type_table[], 4, FALSE), "")</f>
        <v>n/a</v>
      </c>
      <c r="H22" s="9" t="str">
        <f>IFERROR(VLOOKUP(SubtitleTrackDb[Type], type_table[], 5, FALSE), "")</f>
        <v>n/a</v>
      </c>
      <c r="J22" s="9" t="s">
        <v>270</v>
      </c>
      <c r="K22" s="9">
        <v>300000</v>
      </c>
      <c r="L22" s="10" t="s">
        <v>256</v>
      </c>
      <c r="M22" s="10">
        <f>IFERROR(VLOOKUP(SubtitlePriorityTable[Reference], SubtitlePriorityTable[], 2, FALSE), 0) + SubtitlePriorityTable[Value]</f>
        <v>400000</v>
      </c>
    </row>
    <row r="23" spans="2:18" x14ac:dyDescent="0.3">
      <c r="B23" s="9">
        <v>20</v>
      </c>
      <c r="C23" s="9" t="s">
        <v>206</v>
      </c>
      <c r="D23" s="9" t="s">
        <v>86</v>
      </c>
      <c r="E23" s="9" t="str">
        <f>IFERROR(VLOOKUP(SubtitleTrackDb[Type], type_table[], 2, FALSE), "")</f>
        <v>DVB</v>
      </c>
      <c r="F23" s="9" t="b">
        <f>IFERROR(VLOOKUP(SubtitleTrackDb[Type], type_table[], 3, FALSE), "")</f>
        <v>0</v>
      </c>
      <c r="G23" s="9" t="str">
        <f>IFERROR(VLOOKUP(SubtitleTrackDb[Type], type_table[], 4, FALSE), "")</f>
        <v>no</v>
      </c>
      <c r="H23" s="9" t="str">
        <f>IFERROR(VLOOKUP(SubtitleTrackDb[Type], type_table[], 5, FALSE), "")</f>
        <v>no</v>
      </c>
      <c r="J23" s="9" t="s">
        <v>271</v>
      </c>
      <c r="K23" s="9">
        <v>200000</v>
      </c>
      <c r="L23" s="10" t="s">
        <v>256</v>
      </c>
      <c r="M23" s="10">
        <f>IFERROR(VLOOKUP(SubtitlePriorityTable[Reference], SubtitlePriorityTable[], 2, FALSE), 0) + SubtitlePriorityTable[Value]</f>
        <v>300000</v>
      </c>
    </row>
    <row r="24" spans="2:18" x14ac:dyDescent="0.3">
      <c r="B24" s="9">
        <v>21</v>
      </c>
      <c r="C24" s="9" t="s">
        <v>206</v>
      </c>
      <c r="D24" s="9" t="s">
        <v>88</v>
      </c>
      <c r="E24" s="9" t="str">
        <f>IFERROR(VLOOKUP(SubtitleTrackDb[Type], type_table[], 2, FALSE), "")</f>
        <v>DVB</v>
      </c>
      <c r="F24" s="9" t="b">
        <f>IFERROR(VLOOKUP(SubtitleTrackDb[Type], type_table[], 3, FALSE), "")</f>
        <v>0</v>
      </c>
      <c r="G24" s="9" t="str">
        <f>IFERROR(VLOOKUP(SubtitleTrackDb[Type], type_table[], 4, FALSE), "")</f>
        <v>4x3</v>
      </c>
      <c r="H24" s="9" t="str">
        <f>IFERROR(VLOOKUP(SubtitleTrackDb[Type], type_table[], 5, FALSE), "")</f>
        <v>no</v>
      </c>
      <c r="J24" s="9" t="s">
        <v>112</v>
      </c>
      <c r="K24" s="9">
        <v>10</v>
      </c>
      <c r="M24" s="9">
        <f>IFERROR(VLOOKUP(SubtitlePriorityTable[Reference], SubtitlePriorityTable[], 2, FALSE), 0) + SubtitlePriorityTable[Value]</f>
        <v>10</v>
      </c>
    </row>
    <row r="25" spans="2:18" x14ac:dyDescent="0.3">
      <c r="B25" s="9">
        <v>22</v>
      </c>
      <c r="C25" s="9" t="s">
        <v>206</v>
      </c>
      <c r="D25" s="9" t="s">
        <v>96</v>
      </c>
      <c r="E25" s="9" t="str">
        <f>IFERROR(VLOOKUP(SubtitleTrackDb[Type], type_table[], 2, FALSE), "")</f>
        <v>DVB</v>
      </c>
      <c r="F25" s="9" t="b">
        <f>IFERROR(VLOOKUP(SubtitleTrackDb[Type], type_table[], 3, FALSE), "")</f>
        <v>1</v>
      </c>
      <c r="G25" s="9" t="str">
        <f>IFERROR(VLOOKUP(SubtitleTrackDb[Type], type_table[], 4, FALSE), "")</f>
        <v>no</v>
      </c>
      <c r="H25" s="9" t="str">
        <f>IFERROR(VLOOKUP(SubtitleTrackDb[Type], type_table[], 5, FALSE), "")</f>
        <v>no</v>
      </c>
      <c r="J25" s="9" t="s">
        <v>246</v>
      </c>
      <c r="K25" s="9">
        <v>10</v>
      </c>
      <c r="L25" s="9" t="s">
        <v>114</v>
      </c>
      <c r="M25" s="9">
        <f>IFERROR(VLOOKUP(SubtitlePriorityTable[Reference], SubtitlePriorityTable[], 2, FALSE), 0) + SubtitlePriorityTable[Value]</f>
        <v>20</v>
      </c>
    </row>
    <row r="26" spans="2:18" x14ac:dyDescent="0.3">
      <c r="B26" s="9">
        <v>23</v>
      </c>
      <c r="C26" s="9" t="s">
        <v>206</v>
      </c>
      <c r="D26" s="9" t="s">
        <v>98</v>
      </c>
      <c r="E26" s="10" t="str">
        <f>IFERROR(VLOOKUP(SubtitleTrackDb[Type], type_table[], 2, FALSE), "")</f>
        <v>DVB</v>
      </c>
      <c r="F26" s="10" t="b">
        <f>IFERROR(VLOOKUP(SubtitleTrackDb[Type], type_table[], 3, FALSE), "")</f>
        <v>1</v>
      </c>
      <c r="G26" s="10" t="str">
        <f>IFERROR(VLOOKUP(SubtitleTrackDb[Type], type_table[], 4, FALSE), "")</f>
        <v>4x3</v>
      </c>
      <c r="H26" s="10" t="str">
        <f>IFERROR(VLOOKUP(SubtitleTrackDb[Type], type_table[], 5, FALSE), "")</f>
        <v>no</v>
      </c>
      <c r="J26" s="9" t="s">
        <v>247</v>
      </c>
      <c r="K26" s="9">
        <v>20</v>
      </c>
      <c r="L26" s="10" t="s">
        <v>245</v>
      </c>
      <c r="M26" s="10">
        <f>IFERROR(VLOOKUP(SubtitlePriorityTable[Reference], SubtitlePriorityTable[], 2, FALSE), 0) + SubtitlePriorityTable[Value]</f>
        <v>30</v>
      </c>
    </row>
    <row r="27" spans="2:18" x14ac:dyDescent="0.3">
      <c r="B27" s="9">
        <v>24</v>
      </c>
      <c r="C27" s="9" t="s">
        <v>210</v>
      </c>
      <c r="D27" s="9" t="s">
        <v>81</v>
      </c>
      <c r="E27" s="9" t="str">
        <f>IFERROR(VLOOKUP(SubtitleTrackDb[Type], type_table[], 2, FALSE), "")</f>
        <v>EBU</v>
      </c>
      <c r="F27" s="9" t="b">
        <f>IFERROR(VLOOKUP(SubtitleTrackDb[Type], type_table[], 3, FALSE), "")</f>
        <v>0</v>
      </c>
      <c r="G27" s="9" t="str">
        <f>IFERROR(VLOOKUP(SubtitleTrackDb[Type], type_table[], 4, FALSE), "")</f>
        <v>n/a</v>
      </c>
      <c r="H27" s="9" t="str">
        <f>IFERROR(VLOOKUP(SubtitleTrackDb[Type], type_table[], 5, FALSE), "")</f>
        <v>n/a</v>
      </c>
      <c r="J27" s="9" t="s">
        <v>115</v>
      </c>
      <c r="K27" s="9">
        <v>100</v>
      </c>
      <c r="L27" s="10"/>
      <c r="M27" s="10">
        <f>IFERROR(VLOOKUP(SubtitlePriorityTable[Reference], SubtitlePriorityTable[], 2, FALSE), 0) + SubtitlePriorityTable[Value]</f>
        <v>100</v>
      </c>
    </row>
    <row r="28" spans="2:18" x14ac:dyDescent="0.3">
      <c r="B28" s="9">
        <v>25</v>
      </c>
      <c r="C28" s="9" t="s">
        <v>210</v>
      </c>
      <c r="D28" s="9" t="s">
        <v>86</v>
      </c>
      <c r="E28" s="9" t="str">
        <f>IFERROR(VLOOKUP(SubtitleTrackDb[Type], type_table[], 2, FALSE), "")</f>
        <v>DVB</v>
      </c>
      <c r="F28" s="9" t="b">
        <f>IFERROR(VLOOKUP(SubtitleTrackDb[Type], type_table[], 3, FALSE), "")</f>
        <v>0</v>
      </c>
      <c r="G28" s="9" t="str">
        <f>IFERROR(VLOOKUP(SubtitleTrackDb[Type], type_table[], 4, FALSE), "")</f>
        <v>no</v>
      </c>
      <c r="H28" s="9" t="str">
        <f>IFERROR(VLOOKUP(SubtitleTrackDb[Type], type_table[], 5, FALSE), "")</f>
        <v>no</v>
      </c>
      <c r="J28" s="9" t="s">
        <v>294</v>
      </c>
      <c r="K28" s="9">
        <v>100</v>
      </c>
      <c r="L28" s="10" t="s">
        <v>295</v>
      </c>
      <c r="M28" s="10">
        <f>IFERROR(VLOOKUP(SubtitlePriorityTable[Reference], SubtitlePriorityTable[], 2, FALSE), 0) + SubtitlePriorityTable[Value]</f>
        <v>200</v>
      </c>
    </row>
    <row r="29" spans="2:18" x14ac:dyDescent="0.3">
      <c r="B29" s="9">
        <v>26</v>
      </c>
      <c r="C29" s="9" t="s">
        <v>210</v>
      </c>
      <c r="D29" s="9" t="s">
        <v>88</v>
      </c>
      <c r="E29" s="9" t="str">
        <f>IFERROR(VLOOKUP(SubtitleTrackDb[Type], type_table[], 2, FALSE), "")</f>
        <v>DVB</v>
      </c>
      <c r="F29" s="9" t="b">
        <f>IFERROR(VLOOKUP(SubtitleTrackDb[Type], type_table[], 3, FALSE), "")</f>
        <v>0</v>
      </c>
      <c r="G29" s="9" t="str">
        <f>IFERROR(VLOOKUP(SubtitleTrackDb[Type], type_table[], 4, FALSE), "")</f>
        <v>4x3</v>
      </c>
      <c r="H29" s="9" t="str">
        <f>IFERROR(VLOOKUP(SubtitleTrackDb[Type], type_table[], 5, FALSE), "")</f>
        <v>no</v>
      </c>
      <c r="J29" s="9" t="s">
        <v>297</v>
      </c>
      <c r="K29" s="9">
        <v>200</v>
      </c>
      <c r="L29" s="10" t="s">
        <v>299</v>
      </c>
      <c r="M29" s="10">
        <f>IFERROR(VLOOKUP(SubtitlePriorityTable[Reference], SubtitlePriorityTable[], 2, FALSE), 0) + SubtitlePriorityTable[Value]</f>
        <v>300</v>
      </c>
    </row>
    <row r="30" spans="2:18" x14ac:dyDescent="0.3">
      <c r="B30" s="9">
        <v>27</v>
      </c>
      <c r="C30" s="9" t="s">
        <v>210</v>
      </c>
      <c r="D30" s="9" t="s">
        <v>96</v>
      </c>
      <c r="E30" s="10" t="str">
        <f>IFERROR(VLOOKUP(SubtitleTrackDb[Type], type_table[], 2, FALSE), "")</f>
        <v>DVB</v>
      </c>
      <c r="F30" s="10" t="b">
        <f>IFERROR(VLOOKUP(SubtitleTrackDb[Type], type_table[], 3, FALSE), "")</f>
        <v>1</v>
      </c>
      <c r="G30" s="10" t="str">
        <f>IFERROR(VLOOKUP(SubtitleTrackDb[Type], type_table[], 4, FALSE), "")</f>
        <v>no</v>
      </c>
      <c r="H30" s="10" t="str">
        <f>IFERROR(VLOOKUP(SubtitleTrackDb[Type], type_table[], 5, FALSE), "")</f>
        <v>no</v>
      </c>
      <c r="J30" s="9" t="s">
        <v>298</v>
      </c>
      <c r="K30" s="9">
        <v>300</v>
      </c>
      <c r="L30" s="10" t="s">
        <v>296</v>
      </c>
      <c r="M30" s="10">
        <f>IFERROR(VLOOKUP(SubtitlePriorityTable[Reference], SubtitlePriorityTable[], 2, FALSE), 0) + SubtitlePriorityTable[Value]</f>
        <v>400</v>
      </c>
    </row>
    <row r="31" spans="2:18" x14ac:dyDescent="0.3">
      <c r="B31" s="9">
        <v>28</v>
      </c>
      <c r="C31" s="9" t="s">
        <v>211</v>
      </c>
      <c r="D31" s="9" t="s">
        <v>98</v>
      </c>
      <c r="E31" s="10" t="str">
        <f>IFERROR(VLOOKUP(SubtitleTrackDb[Type], type_table[], 2, FALSE), "")</f>
        <v>DVB</v>
      </c>
      <c r="F31" s="10" t="b">
        <f>IFERROR(VLOOKUP(SubtitleTrackDb[Type], type_table[], 3, FALSE), "")</f>
        <v>1</v>
      </c>
      <c r="G31" s="10" t="str">
        <f>IFERROR(VLOOKUP(SubtitleTrackDb[Type], type_table[], 4, FALSE), "")</f>
        <v>4x3</v>
      </c>
      <c r="H31" s="10" t="str">
        <f>IFERROR(VLOOKUP(SubtitleTrackDb[Type], type_table[], 5, FALSE), "")</f>
        <v>no</v>
      </c>
      <c r="J31" s="9" t="s">
        <v>7</v>
      </c>
      <c r="K31" s="9">
        <v>1</v>
      </c>
      <c r="M31" s="9">
        <f>IFERROR(VLOOKUP(SubtitlePriorityTable[Reference], SubtitlePriorityTable[], 2, FALSE), 0) + SubtitlePriorityTable[Value]</f>
        <v>1</v>
      </c>
    </row>
    <row r="32" spans="2:18" x14ac:dyDescent="0.3">
      <c r="B32" s="9">
        <v>29</v>
      </c>
      <c r="C32" s="9" t="s">
        <v>215</v>
      </c>
      <c r="D32" s="9" t="s">
        <v>81</v>
      </c>
      <c r="E32" s="10" t="str">
        <f>IFERROR(VLOOKUP(SubtitleTrackDb[Type], type_table[], 2, FALSE), "")</f>
        <v>EBU</v>
      </c>
      <c r="F32" s="10" t="b">
        <f>IFERROR(VLOOKUP(SubtitleTrackDb[Type], type_table[], 3, FALSE), "")</f>
        <v>0</v>
      </c>
      <c r="G32" s="10" t="str">
        <f>IFERROR(VLOOKUP(SubtitleTrackDb[Type], type_table[], 4, FALSE), "")</f>
        <v>n/a</v>
      </c>
      <c r="H32" s="10" t="str">
        <f>IFERROR(VLOOKUP(SubtitleTrackDb[Type], type_table[], 5, FALSE), "")</f>
        <v>n/a</v>
      </c>
    </row>
    <row r="33" spans="2:12" x14ac:dyDescent="0.3">
      <c r="B33" s="9">
        <v>30</v>
      </c>
      <c r="C33" s="9" t="s">
        <v>147</v>
      </c>
      <c r="D33" s="9" t="s">
        <v>86</v>
      </c>
      <c r="E33" s="9" t="str">
        <f>IFERROR(VLOOKUP(SubtitleTrackDb[Type], type_table[], 2, FALSE), "")</f>
        <v>DVB</v>
      </c>
      <c r="F33" s="9" t="b">
        <f>IFERROR(VLOOKUP(SubtitleTrackDb[Type], type_table[], 3, FALSE), "")</f>
        <v>0</v>
      </c>
      <c r="G33" s="9" t="str">
        <f>IFERROR(VLOOKUP(SubtitleTrackDb[Type], type_table[], 4, FALSE), "")</f>
        <v>no</v>
      </c>
      <c r="H33" s="9" t="str">
        <f>IFERROR(VLOOKUP(SubtitleTrackDb[Type], type_table[], 5, FALSE), "")</f>
        <v>no</v>
      </c>
      <c r="J33" s="9" t="s">
        <v>4</v>
      </c>
      <c r="K33" s="9" t="s">
        <v>5</v>
      </c>
      <c r="L33" s="9" t="s">
        <v>6</v>
      </c>
    </row>
    <row r="34" spans="2:12" x14ac:dyDescent="0.3">
      <c r="B34" s="9">
        <v>31</v>
      </c>
      <c r="C34" s="9" t="s">
        <v>147</v>
      </c>
      <c r="D34" s="9" t="s">
        <v>88</v>
      </c>
      <c r="E34" s="9" t="str">
        <f>IFERROR(VLOOKUP(SubtitleTrackDb[Type], type_table[], 2, FALSE), "")</f>
        <v>DVB</v>
      </c>
      <c r="F34" s="9" t="b">
        <f>IFERROR(VLOOKUP(SubtitleTrackDb[Type], type_table[], 3, FALSE), "")</f>
        <v>0</v>
      </c>
      <c r="G34" s="9" t="str">
        <f>IFERROR(VLOOKUP(SubtitleTrackDb[Type], type_table[], 4, FALSE), "")</f>
        <v>4x3</v>
      </c>
      <c r="H34" s="9" t="str">
        <f>IFERROR(VLOOKUP(SubtitleTrackDb[Type], type_table[], 5, FALSE), "")</f>
        <v>no</v>
      </c>
      <c r="J34" s="9" t="s">
        <v>8</v>
      </c>
      <c r="K34" s="9">
        <f>IFERROR(VLOOKUP(SubtitleConfiguration[item], Configuration[[Item]:[Value]], 2, FALSE), "")</f>
        <v>0</v>
      </c>
      <c r="L34" s="9">
        <f>VLOOKUP(SubtitleConfiguration[item], SubtitlePriorityTable[], 4, FALSE)</f>
        <v>70000</v>
      </c>
    </row>
    <row r="35" spans="2:12" x14ac:dyDescent="0.3">
      <c r="B35" s="9">
        <v>32</v>
      </c>
      <c r="C35" s="9" t="s">
        <v>147</v>
      </c>
      <c r="D35" s="9" t="s">
        <v>96</v>
      </c>
      <c r="E35" s="9" t="str">
        <f>IFERROR(VLOOKUP(SubtitleTrackDb[Type], type_table[], 2, FALSE), "")</f>
        <v>DVB</v>
      </c>
      <c r="F35" s="9" t="b">
        <f>IFERROR(VLOOKUP(SubtitleTrackDb[Type], type_table[], 3, FALSE), "")</f>
        <v>1</v>
      </c>
      <c r="G35" s="9" t="str">
        <f>IFERROR(VLOOKUP(SubtitleTrackDb[Type], type_table[], 4, FALSE), "")</f>
        <v>no</v>
      </c>
      <c r="H35" s="9" t="str">
        <f>IFERROR(VLOOKUP(SubtitleTrackDb[Type], type_table[], 5, FALSE), "")</f>
        <v>no</v>
      </c>
      <c r="J35" s="9" t="s">
        <v>248</v>
      </c>
      <c r="K35" s="9" t="str">
        <f>IFERROR(VLOOKUP(SubtitleConfiguration[item], Configuration[[Item]:[Value]], 2, FALSE), "")</f>
        <v>eng</v>
      </c>
      <c r="L35" s="9">
        <f>VLOOKUP(SubtitleConfiguration[item], SubtitlePriorityTable[], 4, FALSE)</f>
        <v>60000</v>
      </c>
    </row>
    <row r="36" spans="2:12" x14ac:dyDescent="0.3">
      <c r="B36" s="9">
        <v>33</v>
      </c>
      <c r="C36" s="9" t="s">
        <v>35</v>
      </c>
      <c r="D36" s="9" t="s">
        <v>98</v>
      </c>
      <c r="E36" s="9" t="str">
        <f>IFERROR(VLOOKUP(SubtitleTrackDb[Type], type_table[], 2, FALSE), "")</f>
        <v>DVB</v>
      </c>
      <c r="F36" s="9" t="b">
        <f>IFERROR(VLOOKUP(SubtitleTrackDb[Type], type_table[], 3, FALSE), "")</f>
        <v>1</v>
      </c>
      <c r="G36" s="9" t="str">
        <f>IFERROR(VLOOKUP(SubtitleTrackDb[Type], type_table[], 4, FALSE), "")</f>
        <v>4x3</v>
      </c>
      <c r="H36" s="9" t="str">
        <f>IFERROR(VLOOKUP(SubtitleTrackDb[Type], type_table[], 5, FALSE), "")</f>
        <v>no</v>
      </c>
      <c r="J36" s="9" t="s">
        <v>257</v>
      </c>
      <c r="K36" s="10" t="str">
        <f>IFERROR(VLOOKUP(SubtitleConfiguration[item], Configuration[[Item]:[Value]], 2, FALSE), "")</f>
        <v>dan</v>
      </c>
      <c r="L36" s="10">
        <f>VLOOKUP(SubtitleConfiguration[item], SubtitlePriorityTable[], 4, FALSE)</f>
        <v>50000</v>
      </c>
    </row>
    <row r="37" spans="2:12" x14ac:dyDescent="0.3">
      <c r="B37" s="9">
        <v>34</v>
      </c>
      <c r="C37" s="9" t="s">
        <v>212</v>
      </c>
      <c r="D37" s="9" t="s">
        <v>81</v>
      </c>
      <c r="E37" s="10" t="str">
        <f>IFERROR(VLOOKUP(SubtitleTrackDb[Type], type_table[], 2, FALSE), "")</f>
        <v>EBU</v>
      </c>
      <c r="F37" s="10" t="b">
        <f>IFERROR(VLOOKUP(SubtitleTrackDb[Type], type_table[], 3, FALSE), "")</f>
        <v>0</v>
      </c>
      <c r="G37" s="10" t="str">
        <f>IFERROR(VLOOKUP(SubtitleTrackDb[Type], type_table[], 4, FALSE), "")</f>
        <v>n/a</v>
      </c>
      <c r="H37" s="10" t="str">
        <f>IFERROR(VLOOKUP(SubtitleTrackDb[Type], type_table[], 5, FALSE), "")</f>
        <v>n/a</v>
      </c>
      <c r="J37" s="9" t="s">
        <v>121</v>
      </c>
      <c r="K37" s="9" t="str">
        <f>IFERROR(VLOOKUP(SubtitleConfiguration[item], Configuration[[Item]:[Value]], 2, FALSE), "")</f>
        <v>fra</v>
      </c>
      <c r="L37" s="9">
        <f>VLOOKUP(SubtitleConfiguration[item], SubtitlePriorityTable[], 4, FALSE)</f>
        <v>40000</v>
      </c>
    </row>
    <row r="38" spans="2:12" x14ac:dyDescent="0.3">
      <c r="B38" s="9">
        <v>35</v>
      </c>
      <c r="C38" s="9" t="s">
        <v>212</v>
      </c>
      <c r="D38" s="9" t="s">
        <v>86</v>
      </c>
      <c r="E38" s="10" t="str">
        <f>IFERROR(VLOOKUP(SubtitleTrackDb[Type], type_table[], 2, FALSE), "")</f>
        <v>DVB</v>
      </c>
      <c r="F38" s="10" t="b">
        <f>IFERROR(VLOOKUP(SubtitleTrackDb[Type], type_table[], 3, FALSE), "")</f>
        <v>0</v>
      </c>
      <c r="G38" s="10" t="str">
        <f>IFERROR(VLOOKUP(SubtitleTrackDb[Type], type_table[], 4, FALSE), "")</f>
        <v>no</v>
      </c>
      <c r="H38" s="10" t="str">
        <f>IFERROR(VLOOKUP(SubtitleTrackDb[Type], type_table[], 5, FALSE), "")</f>
        <v>no</v>
      </c>
      <c r="J38" s="9" t="s">
        <v>218</v>
      </c>
      <c r="K38" s="10" t="str">
        <f>IFERROR(VLOOKUP(SubtitleConfiguration[item], Configuration[[Item]:[Value]], 2, FALSE), "")</f>
        <v>und</v>
      </c>
      <c r="L38" s="10">
        <f>VLOOKUP(SubtitleConfiguration[item], SubtitlePriorityTable[], 4, FALSE)</f>
        <v>30000</v>
      </c>
    </row>
    <row r="39" spans="2:12" x14ac:dyDescent="0.3">
      <c r="B39" s="9">
        <v>36</v>
      </c>
      <c r="C39" s="9" t="s">
        <v>212</v>
      </c>
      <c r="D39" s="9" t="s">
        <v>88</v>
      </c>
      <c r="E39" s="10" t="str">
        <f>IFERROR(VLOOKUP(SubtitleTrackDb[Type], type_table[], 2, FALSE), "")</f>
        <v>DVB</v>
      </c>
      <c r="F39" s="10" t="b">
        <f>IFERROR(VLOOKUP(SubtitleTrackDb[Type], type_table[], 3, FALSE), "")</f>
        <v>0</v>
      </c>
      <c r="G39" s="10" t="str">
        <f>IFERROR(VLOOKUP(SubtitleTrackDb[Type], type_table[], 4, FALSE), "")</f>
        <v>4x3</v>
      </c>
      <c r="H39" s="10" t="str">
        <f>IFERROR(VLOOKUP(SubtitleTrackDb[Type], type_table[], 5, FALSE), "")</f>
        <v>no</v>
      </c>
      <c r="J39" s="9" t="s">
        <v>220</v>
      </c>
      <c r="K39" s="10" t="str">
        <f>IFERROR(VLOOKUP(SubtitleConfiguration[item], Configuration[[Item]:[Value]], 2, FALSE), "")</f>
        <v>qaa</v>
      </c>
      <c r="L39" s="10">
        <f>VLOOKUP(SubtitleConfiguration[item], SubtitlePriorityTable[], 4, FALSE)</f>
        <v>20000</v>
      </c>
    </row>
    <row r="40" spans="2:12" x14ac:dyDescent="0.3">
      <c r="B40" s="9">
        <v>37</v>
      </c>
      <c r="C40" s="9" t="s">
        <v>213</v>
      </c>
      <c r="D40" s="9" t="s">
        <v>96</v>
      </c>
      <c r="E40" s="10" t="str">
        <f>IFERROR(VLOOKUP(SubtitleTrackDb[Type], type_table[], 2, FALSE), "")</f>
        <v>DVB</v>
      </c>
      <c r="F40" s="10" t="b">
        <f>IFERROR(VLOOKUP(SubtitleTrackDb[Type], type_table[], 3, FALSE), "")</f>
        <v>1</v>
      </c>
      <c r="G40" s="10" t="str">
        <f>IFERROR(VLOOKUP(SubtitleTrackDb[Type], type_table[], 4, FALSE), "")</f>
        <v>no</v>
      </c>
      <c r="H40" s="10" t="str">
        <f>IFERROR(VLOOKUP(SubtitleTrackDb[Type], type_table[], 5, FALSE), "")</f>
        <v>no</v>
      </c>
      <c r="J40" s="9" t="s">
        <v>110</v>
      </c>
      <c r="K40" s="10" t="str">
        <f>IFERROR(VLOOKUP(SubtitleConfiguration[item], Configuration[[Item]:[Value]], 2, FALSE), "")</f>
        <v>eng</v>
      </c>
      <c r="L40" s="10">
        <f>VLOOKUP(SubtitleConfiguration[item], SubtitlePriorityTable[], 4, FALSE)</f>
        <v>10000</v>
      </c>
    </row>
    <row r="41" spans="2:12" x14ac:dyDescent="0.3">
      <c r="B41" s="9">
        <v>38</v>
      </c>
      <c r="C41" s="9" t="s">
        <v>214</v>
      </c>
      <c r="D41" s="9" t="s">
        <v>98</v>
      </c>
      <c r="E41" s="10" t="str">
        <f>IFERROR(VLOOKUP(SubtitleTrackDb[Type], type_table[], 2, FALSE), "")</f>
        <v>DVB</v>
      </c>
      <c r="F41" s="10" t="b">
        <f>IFERROR(VLOOKUP(SubtitleTrackDb[Type], type_table[], 3, FALSE), "")</f>
        <v>1</v>
      </c>
      <c r="G41" s="10" t="str">
        <f>IFERROR(VLOOKUP(SubtitleTrackDb[Type], type_table[], 4, FALSE), "")</f>
        <v>4x3</v>
      </c>
      <c r="H41" s="10" t="str">
        <f>IFERROR(VLOOKUP(SubtitleTrackDb[Type], type_table[], 5, FALSE), "")</f>
        <v>no</v>
      </c>
      <c r="J41" s="9" t="s">
        <v>125</v>
      </c>
      <c r="K41" s="9" t="b">
        <f>IFERROR(VLOOKUP(SubtitleConfiguration[item], Configuration[[Item]:[Value]], 2, FALSE), "")</f>
        <v>1</v>
      </c>
      <c r="L41" s="9">
        <f>VLOOKUP(SubtitleConfiguration[item], SubtitlePriorityTable[], 4, FALSE)</f>
        <v>300000</v>
      </c>
    </row>
    <row r="42" spans="2:12" x14ac:dyDescent="0.3">
      <c r="B42" s="9">
        <v>39</v>
      </c>
      <c r="C42" s="9" t="s">
        <v>196</v>
      </c>
      <c r="D42" s="9" t="s">
        <v>197</v>
      </c>
      <c r="E42" s="9" t="str">
        <f>IFERROR(VLOOKUP(SubtitleTrackDb[Type], type_table[], 2, FALSE), "")</f>
        <v>EBU</v>
      </c>
      <c r="F42" s="9" t="b">
        <f>IFERROR(VLOOKUP(SubtitleTrackDb[Type], type_table[], 3, FALSE), "")</f>
        <v>0</v>
      </c>
      <c r="G42" s="9" t="str">
        <f>IFERROR(VLOOKUP(SubtitleTrackDb[Type], type_table[], 4, FALSE), "")</f>
        <v>n/a</v>
      </c>
      <c r="H42" s="9" t="str">
        <f>IFERROR(VLOOKUP(SubtitleTrackDb[Type], type_table[], 5, FALSE), "")</f>
        <v>n/a</v>
      </c>
      <c r="J42" s="9" t="s">
        <v>262</v>
      </c>
      <c r="K42" s="10" t="b">
        <f>IFERROR(VLOOKUP(SubtitleConfiguration[item], Configuration[[Item]:[Value]], 2, FALSE), "")</f>
        <v>0</v>
      </c>
      <c r="L42" s="10">
        <f>VLOOKUP(SubtitleConfiguration[item], SubtitlePriorityTable[], 4, FALSE)</f>
        <v>400000</v>
      </c>
    </row>
    <row r="43" spans="2:12" x14ac:dyDescent="0.3">
      <c r="B43" s="9">
        <v>40</v>
      </c>
      <c r="C43" s="9" t="s">
        <v>196</v>
      </c>
      <c r="D43" s="9" t="s">
        <v>198</v>
      </c>
      <c r="E43" s="9" t="str">
        <f>IFERROR(VLOOKUP(SubtitleTrackDb[Type], type_table[], 2, FALSE), "")</f>
        <v>DVB</v>
      </c>
      <c r="F43" s="9" t="b">
        <f>IFERROR(VLOOKUP(SubtitleTrackDb[Type], type_table[], 3, FALSE), "")</f>
        <v>0</v>
      </c>
      <c r="G43" s="9" t="str">
        <f>IFERROR(VLOOKUP(SubtitleTrackDb[Type], type_table[], 4, FALSE), "")</f>
        <v>no</v>
      </c>
      <c r="H43" s="9" t="str">
        <f>IFERROR(VLOOKUP(SubtitleTrackDb[Type], type_table[], 5, FALSE), "")</f>
        <v>no</v>
      </c>
      <c r="J43" s="9" t="s">
        <v>263</v>
      </c>
      <c r="K43" s="10" t="str">
        <f>IFERROR(VLOOKUP(SubtitleConfiguration[item], Configuration[[Item]:[Value]], 2, FALSE), "")</f>
        <v/>
      </c>
      <c r="L43" s="10">
        <f>VLOOKUP(SubtitleConfiguration[item], SubtitlePriorityTable[], 4, FALSE)</f>
        <v>100000</v>
      </c>
    </row>
    <row r="44" spans="2:12" x14ac:dyDescent="0.3">
      <c r="B44" s="9">
        <v>41</v>
      </c>
      <c r="C44" s="9" t="s">
        <v>196</v>
      </c>
      <c r="D44" s="9" t="s">
        <v>200</v>
      </c>
      <c r="E44" s="9" t="str">
        <f>IFERROR(VLOOKUP(SubtitleTrackDb[Type], type_table[], 2, FALSE), "")</f>
        <v>DVB</v>
      </c>
      <c r="F44" s="9" t="b">
        <f>IFERROR(VLOOKUP(SubtitleTrackDb[Type], type_table[], 3, FALSE), "")</f>
        <v>0</v>
      </c>
      <c r="G44" s="9" t="str">
        <f>IFERROR(VLOOKUP(SubtitleTrackDb[Type], type_table[], 4, FALSE), "")</f>
        <v>4x3</v>
      </c>
      <c r="H44" s="9" t="str">
        <f>IFERROR(VLOOKUP(SubtitleTrackDb[Type], type_table[], 5, FALSE), "")</f>
        <v>no</v>
      </c>
      <c r="J44" s="9" t="s">
        <v>266</v>
      </c>
      <c r="K44" s="10" t="str">
        <f>IFERROR(VLOOKUP(SubtitleConfiguration[item], Configuration[[Item]:[Value]], 2, FALSE), "")</f>
        <v/>
      </c>
      <c r="L44" s="10">
        <f>VLOOKUP(SubtitleConfiguration[item], SubtitlePriorityTable[], 4, FALSE)</f>
        <v>200000</v>
      </c>
    </row>
    <row r="45" spans="2:12" x14ac:dyDescent="0.3">
      <c r="B45" s="9">
        <v>42</v>
      </c>
      <c r="C45" s="9" t="s">
        <v>196</v>
      </c>
      <c r="D45" s="9" t="s">
        <v>199</v>
      </c>
      <c r="E45" s="9" t="str">
        <f>IFERROR(VLOOKUP(SubtitleTrackDb[Type], type_table[], 2, FALSE), "")</f>
        <v>DVB</v>
      </c>
      <c r="F45" s="9" t="b">
        <f>IFERROR(VLOOKUP(SubtitleTrackDb[Type], type_table[], 3, FALSE), "")</f>
        <v>1</v>
      </c>
      <c r="G45" s="9" t="str">
        <f>IFERROR(VLOOKUP(SubtitleTrackDb[Type], type_table[], 4, FALSE), "")</f>
        <v>no</v>
      </c>
      <c r="H45" s="9" t="str">
        <f>IFERROR(VLOOKUP(SubtitleTrackDb[Type], type_table[], 5, FALSE), "")</f>
        <v>no</v>
      </c>
      <c r="J45" s="9" t="s">
        <v>268</v>
      </c>
      <c r="K45" s="10" t="str">
        <f>IFERROR(VLOOKUP(SubtitleConfiguration[item], Configuration[[Item]:[Value]], 2, FALSE), "")</f>
        <v/>
      </c>
      <c r="L45" s="10">
        <f>VLOOKUP(SubtitleConfiguration[item], SubtitlePriorityTable[], 4, FALSE)</f>
        <v>200000</v>
      </c>
    </row>
    <row r="46" spans="2:12" x14ac:dyDescent="0.3">
      <c r="B46" s="9">
        <v>43</v>
      </c>
      <c r="C46" s="9" t="s">
        <v>196</v>
      </c>
      <c r="D46" s="9" t="s">
        <v>201</v>
      </c>
      <c r="E46" s="9" t="str">
        <f>IFERROR(VLOOKUP(SubtitleTrackDb[Type], type_table[], 2, FALSE), "")</f>
        <v>DVB</v>
      </c>
      <c r="F46" s="9" t="b">
        <f>IFERROR(VLOOKUP(SubtitleTrackDb[Type], type_table[], 3, FALSE), "")</f>
        <v>1</v>
      </c>
      <c r="G46" s="9" t="str">
        <f>IFERROR(VLOOKUP(SubtitleTrackDb[Type], type_table[], 4, FALSE), "")</f>
        <v>4x3</v>
      </c>
      <c r="H46" s="9" t="str">
        <f>IFERROR(VLOOKUP(SubtitleTrackDb[Type], type_table[], 5, FALSE), "")</f>
        <v>no</v>
      </c>
      <c r="J46" s="9" t="s">
        <v>285</v>
      </c>
      <c r="K46" s="10" t="str">
        <f>IFERROR(VLOOKUP(SubtitleConfiguration[item], Configuration[[Item]:[Value]], 2, FALSE), "")</f>
        <v/>
      </c>
      <c r="L46" s="10">
        <f>VLOOKUP(SubtitleConfiguration[item], SubtitlePriorityTable[], 4, FALSE)</f>
        <v>1000</v>
      </c>
    </row>
    <row r="47" spans="2:12" x14ac:dyDescent="0.3">
      <c r="B47" s="9">
        <v>44</v>
      </c>
      <c r="C47" s="9" t="s">
        <v>202</v>
      </c>
      <c r="D47" s="9" t="s">
        <v>86</v>
      </c>
      <c r="E47" s="10" t="str">
        <f>IFERROR(VLOOKUP(SubtitleTrackDb[Type], type_table[], 2, FALSE), "")</f>
        <v>DVB</v>
      </c>
      <c r="F47" s="10" t="b">
        <f>IFERROR(VLOOKUP(SubtitleTrackDb[Type], type_table[], 3, FALSE), "")</f>
        <v>0</v>
      </c>
      <c r="G47" s="10" t="str">
        <f>IFERROR(VLOOKUP(SubtitleTrackDb[Type], type_table[], 4, FALSE), "")</f>
        <v>no</v>
      </c>
      <c r="H47" s="10" t="str">
        <f>IFERROR(VLOOKUP(SubtitleTrackDb[Type], type_table[], 5, FALSE), "")</f>
        <v>no</v>
      </c>
      <c r="J47" s="9" t="s">
        <v>287</v>
      </c>
      <c r="K47" s="10" t="b">
        <f>IFERROR(VLOOKUP(SubtitleConfiguration[item], Configuration[[Item]:[Value]], 2, FALSE), "")</f>
        <v>0</v>
      </c>
      <c r="L47" s="10">
        <f>VLOOKUP(SubtitleConfiguration[item], SubtitlePriorityTable[], 4, FALSE)</f>
        <v>7000</v>
      </c>
    </row>
    <row r="48" spans="2:12" x14ac:dyDescent="0.3">
      <c r="B48" s="9">
        <v>45</v>
      </c>
      <c r="C48" s="9" t="s">
        <v>203</v>
      </c>
      <c r="D48" s="9" t="s">
        <v>88</v>
      </c>
      <c r="E48" s="10" t="str">
        <f>IFERROR(VLOOKUP(SubtitleTrackDb[Type], type_table[], 2, FALSE), "")</f>
        <v>DVB</v>
      </c>
      <c r="F48" s="10" t="b">
        <f>IFERROR(VLOOKUP(SubtitleTrackDb[Type], type_table[], 3, FALSE), "")</f>
        <v>0</v>
      </c>
      <c r="G48" s="10" t="str">
        <f>IFERROR(VLOOKUP(SubtitleTrackDb[Type], type_table[], 4, FALSE), "")</f>
        <v>4x3</v>
      </c>
      <c r="H48" s="10" t="str">
        <f>IFERROR(VLOOKUP(SubtitleTrackDb[Type], type_table[], 5, FALSE), "")</f>
        <v>no</v>
      </c>
      <c r="J48" s="9" t="s">
        <v>284</v>
      </c>
      <c r="K48" s="10" t="str">
        <f>IFERROR(VLOOKUP(SubtitleConfiguration[item], Configuration[[Item]:[Value]], 2, FALSE), "")</f>
        <v/>
      </c>
      <c r="L48" s="10">
        <f>VLOOKUP(SubtitleConfiguration[item], SubtitlePriorityTable[], 4, FALSE)</f>
        <v>6000</v>
      </c>
    </row>
    <row r="49" spans="2:12" x14ac:dyDescent="0.3">
      <c r="B49" s="9">
        <v>46</v>
      </c>
      <c r="C49" s="9" t="s">
        <v>203</v>
      </c>
      <c r="D49" s="9" t="s">
        <v>96</v>
      </c>
      <c r="E49" s="10" t="str">
        <f>IFERROR(VLOOKUP(SubtitleTrackDb[Type], type_table[], 2, FALSE), "")</f>
        <v>DVB</v>
      </c>
      <c r="F49" s="10" t="b">
        <f>IFERROR(VLOOKUP(SubtitleTrackDb[Type], type_table[], 3, FALSE), "")</f>
        <v>1</v>
      </c>
      <c r="G49" s="10" t="str">
        <f>IFERROR(VLOOKUP(SubtitleTrackDb[Type], type_table[], 4, FALSE), "")</f>
        <v>no</v>
      </c>
      <c r="H49" s="10" t="str">
        <f>IFERROR(VLOOKUP(SubtitleTrackDb[Type], type_table[], 5, FALSE), "")</f>
        <v>no</v>
      </c>
      <c r="J49" s="9" t="s">
        <v>286</v>
      </c>
      <c r="K49" s="10" t="b">
        <f>IFERROR(VLOOKUP(SubtitleConfiguration[item], Configuration[[Item]:[Value]], 2, FALSE), "")</f>
        <v>1</v>
      </c>
      <c r="L49" s="10">
        <f>VLOOKUP(SubtitleConfiguration[item], SubtitlePriorityTable[], 4, FALSE)</f>
        <v>5000</v>
      </c>
    </row>
    <row r="50" spans="2:12" x14ac:dyDescent="0.3">
      <c r="B50" s="9">
        <v>47</v>
      </c>
      <c r="C50" s="9" t="s">
        <v>203</v>
      </c>
      <c r="D50" s="9" t="s">
        <v>98</v>
      </c>
      <c r="E50" s="10" t="str">
        <f>IFERROR(VLOOKUP(SubtitleTrackDb[Type], type_table[], 2, FALSE), "")</f>
        <v>DVB</v>
      </c>
      <c r="F50" s="10" t="b">
        <f>IFERROR(VLOOKUP(SubtitleTrackDb[Type], type_table[], 3, FALSE), "")</f>
        <v>1</v>
      </c>
      <c r="G50" s="10" t="str">
        <f>IFERROR(VLOOKUP(SubtitleTrackDb[Type], type_table[], 4, FALSE), "")</f>
        <v>4x3</v>
      </c>
      <c r="H50" s="10" t="str">
        <f>IFERROR(VLOOKUP(SubtitleTrackDb[Type], type_table[], 5, FALSE), "")</f>
        <v>no</v>
      </c>
      <c r="J50" s="9" t="s">
        <v>288</v>
      </c>
      <c r="K50" s="10" t="b">
        <f>IFERROR(VLOOKUP(SubtitleConfiguration[item], Configuration[[Item]:[Value]], 2, FALSE), "")</f>
        <v>0</v>
      </c>
      <c r="L50" s="10">
        <f>VLOOKUP(SubtitleConfiguration[item], SubtitlePriorityTable[], 4, FALSE)</f>
        <v>4000</v>
      </c>
    </row>
    <row r="51" spans="2:12" x14ac:dyDescent="0.3">
      <c r="B51" s="9">
        <v>48</v>
      </c>
      <c r="C51" s="9" t="s">
        <v>148</v>
      </c>
      <c r="D51" s="9" t="s">
        <v>81</v>
      </c>
      <c r="E51" s="10" t="str">
        <f>IFERROR(VLOOKUP(SubtitleTrackDb[Type], type_table[], 2, FALSE), "")</f>
        <v>EBU</v>
      </c>
      <c r="F51" s="10" t="b">
        <f>IFERROR(VLOOKUP(SubtitleTrackDb[Type], type_table[], 3, FALSE), "")</f>
        <v>0</v>
      </c>
      <c r="G51" s="10" t="str">
        <f>IFERROR(VLOOKUP(SubtitleTrackDb[Type], type_table[], 4, FALSE), "")</f>
        <v>n/a</v>
      </c>
      <c r="H51" s="10" t="str">
        <f>IFERROR(VLOOKUP(SubtitleTrackDb[Type], type_table[], 5, FALSE), "")</f>
        <v>n/a</v>
      </c>
      <c r="J51" s="9" t="s">
        <v>289</v>
      </c>
      <c r="K51" s="9" t="str">
        <f>IFERROR(VLOOKUP(SubtitleConfiguration[item], Configuration[[Item]:[Value]], 2, FALSE), "")</f>
        <v/>
      </c>
      <c r="L51" s="10">
        <f>VLOOKUP(SubtitleConfiguration[item], SubtitlePriorityTable[], 4, FALSE)</f>
        <v>3000</v>
      </c>
    </row>
    <row r="52" spans="2:12" x14ac:dyDescent="0.3">
      <c r="B52" s="9">
        <v>49</v>
      </c>
      <c r="C52" s="9" t="s">
        <v>148</v>
      </c>
      <c r="D52" s="9" t="s">
        <v>86</v>
      </c>
      <c r="E52" s="10" t="str">
        <f>IFERROR(VLOOKUP(SubtitleTrackDb[Type], type_table[], 2, FALSE), "")</f>
        <v>DVB</v>
      </c>
      <c r="F52" s="10" t="b">
        <f>IFERROR(VLOOKUP(SubtitleTrackDb[Type], type_table[], 3, FALSE), "")</f>
        <v>0</v>
      </c>
      <c r="G52" s="10" t="str">
        <f>IFERROR(VLOOKUP(SubtitleTrackDb[Type], type_table[], 4, FALSE), "")</f>
        <v>no</v>
      </c>
      <c r="H52" s="10" t="str">
        <f>IFERROR(VLOOKUP(SubtitleTrackDb[Type], type_table[], 5, FALSE), "")</f>
        <v>no</v>
      </c>
      <c r="J52" s="9" t="s">
        <v>239</v>
      </c>
      <c r="K52" s="10" t="b">
        <f>IFERROR(VLOOKUP(SubtitleConfiguration[item], Configuration[[Item]:[Value]], 2, FALSE), "")</f>
        <v>0</v>
      </c>
      <c r="L52" s="10">
        <f>VLOOKUP(SubtitleConfiguration[item], SubtitlePriorityTable[], 4, FALSE)</f>
        <v>2000</v>
      </c>
    </row>
    <row r="53" spans="2:12" x14ac:dyDescent="0.3">
      <c r="B53" s="9">
        <v>50</v>
      </c>
      <c r="C53" s="9" t="s">
        <v>148</v>
      </c>
      <c r="D53" s="9" t="s">
        <v>88</v>
      </c>
      <c r="E53" s="10" t="str">
        <f>IFERROR(VLOOKUP(SubtitleTrackDb[Type], type_table[], 2, FALSE), "")</f>
        <v>DVB</v>
      </c>
      <c r="F53" s="10" t="b">
        <f>IFERROR(VLOOKUP(SubtitleTrackDb[Type], type_table[], 3, FALSE), "")</f>
        <v>0</v>
      </c>
      <c r="G53" s="10" t="str">
        <f>IFERROR(VLOOKUP(SubtitleTrackDb[Type], type_table[], 4, FALSE), "")</f>
        <v>4x3</v>
      </c>
      <c r="H53" s="10" t="str">
        <f>IFERROR(VLOOKUP(SubtitleTrackDb[Type], type_table[], 5, FALSE), "")</f>
        <v>no</v>
      </c>
      <c r="J53" s="9" t="s">
        <v>122</v>
      </c>
      <c r="K53" s="9" t="str">
        <f>IFERROR(VLOOKUP(SubtitleConfiguration[item], Configuration[[Item]:[Value]], 2, FALSE), "")</f>
        <v>16x9</v>
      </c>
      <c r="L53" s="10">
        <f>VLOOKUP(SubtitleConfiguration[item], SubtitlePriorityTable[], 4, FALSE)</f>
        <v>30</v>
      </c>
    </row>
    <row r="54" spans="2:12" x14ac:dyDescent="0.3">
      <c r="B54" s="9">
        <v>51</v>
      </c>
      <c r="C54" s="9" t="s">
        <v>208</v>
      </c>
      <c r="D54" s="9" t="s">
        <v>96</v>
      </c>
      <c r="E54" s="10" t="str">
        <f>IFERROR(VLOOKUP(SubtitleTrackDb[Type], type_table[], 2, FALSE), "")</f>
        <v>DVB</v>
      </c>
      <c r="F54" s="10" t="b">
        <f>IFERROR(VLOOKUP(SubtitleTrackDb[Type], type_table[], 3, FALSE), "")</f>
        <v>1</v>
      </c>
      <c r="G54" s="10" t="str">
        <f>IFERROR(VLOOKUP(SubtitleTrackDb[Type], type_table[], 4, FALSE), "")</f>
        <v>no</v>
      </c>
      <c r="H54" s="10" t="str">
        <f>IFERROR(VLOOKUP(SubtitleTrackDb[Type], type_table[], 5, FALSE), "")</f>
        <v>no</v>
      </c>
      <c r="J54" s="9" t="s">
        <v>124</v>
      </c>
      <c r="K54" s="9" t="str">
        <f>IFERROR(VLOOKUP(SubtitleConfiguration[item], Configuration[[Item]:[Value]], 2, FALSE), "")</f>
        <v/>
      </c>
      <c r="L54" s="10">
        <f>VLOOKUP(SubtitleConfiguration[item], SubtitlePriorityTable[], 4, FALSE)</f>
        <v>20</v>
      </c>
    </row>
    <row r="55" spans="2:12" x14ac:dyDescent="0.3">
      <c r="B55" s="9">
        <v>52</v>
      </c>
      <c r="C55" s="9" t="s">
        <v>209</v>
      </c>
      <c r="D55" s="9" t="s">
        <v>98</v>
      </c>
      <c r="E55" s="10" t="str">
        <f>IFERROR(VLOOKUP(SubtitleTrackDb[Type], type_table[], 2, FALSE), "")</f>
        <v>DVB</v>
      </c>
      <c r="F55" s="10" t="b">
        <f>IFERROR(VLOOKUP(SubtitleTrackDb[Type], type_table[], 3, FALSE), "")</f>
        <v>1</v>
      </c>
      <c r="G55" s="10" t="str">
        <f>IFERROR(VLOOKUP(SubtitleTrackDb[Type], type_table[], 4, FALSE), "")</f>
        <v>4x3</v>
      </c>
      <c r="H55" s="10" t="str">
        <f>IFERROR(VLOOKUP(SubtitleTrackDb[Type], type_table[], 5, FALSE), "")</f>
        <v>no</v>
      </c>
      <c r="J55" s="9" t="s">
        <v>301</v>
      </c>
      <c r="K55" s="9" t="str">
        <f>IFERROR(VLOOKUP(SubtitleConfiguration[item], Configuration[[Item]:[Value]], 2, FALSE), "")</f>
        <v/>
      </c>
      <c r="L55" s="9">
        <f>VLOOKUP(SubtitleConfiguration[item], SubtitlePriorityTable[], 4, FALSE)</f>
        <v>200</v>
      </c>
    </row>
    <row r="56" spans="2:12" x14ac:dyDescent="0.3">
      <c r="E56" s="10" t="str">
        <f>IFERROR(VLOOKUP(SubtitleTrackDb[Type], type_table[], 2, FALSE), "")</f>
        <v/>
      </c>
      <c r="F56" s="10" t="str">
        <f>IFERROR(VLOOKUP(SubtitleTrackDb[Type], type_table[], 3, FALSE), "")</f>
        <v/>
      </c>
      <c r="G56" s="10" t="str">
        <f>IFERROR(VLOOKUP(SubtitleTrackDb[Type], type_table[], 4, FALSE), "")</f>
        <v/>
      </c>
      <c r="H56" s="10" t="str">
        <f>IFERROR(VLOOKUP(SubtitleTrackDb[Type], type_table[], 5, FALSE), "")</f>
        <v/>
      </c>
      <c r="J56" s="9" t="s">
        <v>297</v>
      </c>
      <c r="K56" s="10" t="str">
        <f>IFERROR(VLOOKUP(SubtitleConfiguration[item], Configuration[[Item]:[Value]], 2, FALSE), "")</f>
        <v/>
      </c>
      <c r="L56" s="10">
        <f>VLOOKUP(SubtitleConfiguration[item], SubtitlePriorityTable[], 4, FALSE)</f>
        <v>300</v>
      </c>
    </row>
    <row r="57" spans="2:12" x14ac:dyDescent="0.3">
      <c r="E57" s="10" t="str">
        <f>IFERROR(VLOOKUP(SubtitleTrackDb[Type], type_table[], 2, FALSE), "")</f>
        <v/>
      </c>
      <c r="F57" s="10" t="str">
        <f>IFERROR(VLOOKUP(SubtitleTrackDb[Type], type_table[], 3, FALSE), "")</f>
        <v/>
      </c>
      <c r="G57" s="10" t="str">
        <f>IFERROR(VLOOKUP(SubtitleTrackDb[Type], type_table[], 4, FALSE), "")</f>
        <v/>
      </c>
      <c r="H57" s="10" t="str">
        <f>IFERROR(VLOOKUP(SubtitleTrackDb[Type], type_table[], 5, FALSE), "")</f>
        <v/>
      </c>
      <c r="J57" s="9" t="s">
        <v>300</v>
      </c>
      <c r="K57" s="10" t="str">
        <f>IFERROR(VLOOKUP(SubtitleConfiguration[item], Configuration[[Item]:[Value]], 2, FALSE), "")</f>
        <v/>
      </c>
      <c r="L57" s="10">
        <f>VLOOKUP(SubtitleConfiguration[item], SubtitlePriorityTable[], 4, FALSE)</f>
        <v>400</v>
      </c>
    </row>
    <row r="58" spans="2:12" x14ac:dyDescent="0.3">
      <c r="E58" s="10" t="str">
        <f>IFERROR(VLOOKUP(SubtitleTrackDb[Type], type_table[], 2, FALSE), "")</f>
        <v/>
      </c>
      <c r="F58" s="10" t="str">
        <f>IFERROR(VLOOKUP(SubtitleTrackDb[Type], type_table[], 3, FALSE), "")</f>
        <v/>
      </c>
      <c r="G58" s="10" t="str">
        <f>IFERROR(VLOOKUP(SubtitleTrackDb[Type], type_table[], 4, FALSE), "")</f>
        <v/>
      </c>
      <c r="H58" s="10" t="str">
        <f>IFERROR(VLOOKUP(SubtitleTrackDb[Type], type_table[], 5, FALSE), "")</f>
        <v/>
      </c>
      <c r="J58" s="9" t="s">
        <v>7</v>
      </c>
      <c r="K58" s="9" t="str">
        <f>IFERROR(VLOOKUP(SubtitleConfiguration[item], Configuration[[Item]:[Value]], 2, FALSE), "")</f>
        <v/>
      </c>
      <c r="L58" s="10">
        <f>VLOOKUP(SubtitleConfiguration[item], SubtitlePriorityTable[], 4, FALSE)</f>
        <v>1</v>
      </c>
    </row>
    <row r="59" spans="2:12" x14ac:dyDescent="0.3">
      <c r="E59" s="10" t="str">
        <f>IFERROR(VLOOKUP(SubtitleTrackDb[Type], type_table[], 2, FALSE), "")</f>
        <v/>
      </c>
      <c r="F59" s="10" t="str">
        <f>IFERROR(VLOOKUP(SubtitleTrackDb[Type], type_table[], 3, FALSE), "")</f>
        <v/>
      </c>
      <c r="G59" s="10" t="str">
        <f>IFERROR(VLOOKUP(SubtitleTrackDb[Type], type_table[], 4, FALSE), "")</f>
        <v/>
      </c>
      <c r="H59" s="10" t="str">
        <f>IFERROR(VLOOKUP(SubtitleTrackDb[Type], type_table[], 5, FALSE), "")</f>
        <v/>
      </c>
    </row>
    <row r="60" spans="2:12" x14ac:dyDescent="0.3">
      <c r="E60" s="10"/>
      <c r="F60" s="10"/>
      <c r="G60" s="10"/>
      <c r="H60" s="10"/>
    </row>
    <row r="61" spans="2:12" x14ac:dyDescent="0.3">
      <c r="E61" s="10"/>
      <c r="F61" s="10"/>
      <c r="G61" s="10"/>
      <c r="H61" s="10"/>
    </row>
    <row r="62" spans="2:12" x14ac:dyDescent="0.3">
      <c r="E62" s="10"/>
      <c r="F62" s="10"/>
      <c r="G62" s="10"/>
      <c r="H62" s="10"/>
    </row>
    <row r="63" spans="2:12" x14ac:dyDescent="0.3">
      <c r="E63" s="10"/>
      <c r="F63" s="10"/>
      <c r="G63" s="10"/>
      <c r="H63" s="10"/>
    </row>
    <row r="64" spans="2:12" x14ac:dyDescent="0.3">
      <c r="E64" s="10"/>
      <c r="F64" s="10"/>
      <c r="G64" s="10"/>
      <c r="H64" s="10"/>
    </row>
    <row r="65" spans="5:8" x14ac:dyDescent="0.3">
      <c r="E65" s="10" t="str">
        <f>IFERROR(VLOOKUP(SubtitleTrackDb[Type], type_table[], 2, FALSE), "")</f>
        <v/>
      </c>
      <c r="F65" s="10" t="str">
        <f>IFERROR(VLOOKUP(SubtitleTrackDb[Type], type_table[], 3, FALSE), "")</f>
        <v/>
      </c>
      <c r="G65" s="10" t="str">
        <f>IFERROR(VLOOKUP(SubtitleTrackDb[Type], type_table[], 4, FALSE), "")</f>
        <v/>
      </c>
      <c r="H65" s="10" t="str">
        <f>IFERROR(VLOOKUP(SubtitleTrackDb[Type], type_table[], 5, FALSE), "")</f>
        <v/>
      </c>
    </row>
    <row r="66" spans="5:8" x14ac:dyDescent="0.3">
      <c r="E66" s="10" t="str">
        <f>IFERROR(VLOOKUP(SubtitleTrackDb[Type], type_table[], 2, FALSE), "")</f>
        <v/>
      </c>
      <c r="F66" s="10" t="str">
        <f>IFERROR(VLOOKUP(SubtitleTrackDb[Type], type_table[], 3, FALSE), "")</f>
        <v/>
      </c>
      <c r="G66" s="10" t="str">
        <f>IFERROR(VLOOKUP(SubtitleTrackDb[Type], type_table[], 4, FALSE), "")</f>
        <v/>
      </c>
      <c r="H66" s="10" t="str">
        <f>IFERROR(VLOOKUP(SubtitleTrackDb[Type], type_table[], 5, FALSE), "")</f>
        <v/>
      </c>
    </row>
    <row r="67" spans="5:8" x14ac:dyDescent="0.3">
      <c r="E67" s="10" t="str">
        <f>IFERROR(VLOOKUP(SubtitleTrackDb[Type], type_table[], 2, FALSE), "")</f>
        <v/>
      </c>
      <c r="F67" s="10" t="str">
        <f>IFERROR(VLOOKUP(SubtitleTrackDb[Type], type_table[], 3, FALSE), "")</f>
        <v/>
      </c>
      <c r="G67" s="10" t="str">
        <f>IFERROR(VLOOKUP(SubtitleTrackDb[Type], type_table[], 4, FALSE), "")</f>
        <v/>
      </c>
      <c r="H67" s="10" t="str">
        <f>IFERROR(VLOOKUP(SubtitleTrackDb[Type], type_table[], 5, FALSE), "")</f>
        <v/>
      </c>
    </row>
    <row r="68" spans="5:8" x14ac:dyDescent="0.3">
      <c r="E68" s="10" t="str">
        <f>IFERROR(VLOOKUP(SubtitleTrackDb[Type], type_table[], 2, FALSE), "")</f>
        <v/>
      </c>
      <c r="F68" s="10" t="str">
        <f>IFERROR(VLOOKUP(SubtitleTrackDb[Type], type_table[], 3, FALSE), "")</f>
        <v/>
      </c>
      <c r="G68" s="10" t="str">
        <f>IFERROR(VLOOKUP(SubtitleTrackDb[Type], type_table[], 4, FALSE), "")</f>
        <v/>
      </c>
      <c r="H68" s="10" t="str">
        <f>IFERROR(VLOOKUP(SubtitleTrackDb[Type], type_table[], 5, FALSE), "")</f>
        <v/>
      </c>
    </row>
  </sheetData>
  <protectedRanges>
    <protectedRange algorithmName="SHA-512" hashValue="zNk7HmujkWr4F110kR92DGty1/GV8h/KyPmd+3RHgzt7QPDgcuU0Ifa4v/gOgh72Oia4dh+AozoatUvzgzWXRQ==" saltValue="pINaujaQruWkkRU27YuniQ==" spinCount="100000" sqref="B3:D68" name="AudioEsTable"/>
    <protectedRange algorithmName="SHA-512" hashValue="fLAwKOGiXMPC7qy7WzzCyA3WBuF1Z/YTNInlGDEDXv6UtKmCnorUz62p4QN1gEeg9fZYl3UhL2YwTrljL+ONPA==" saltValue="dEzXvXuZYXwNSoGJXzsUsw==" spinCount="100000" sqref="M3:M31" name="PriorityValue"/>
  </protectedRanges>
  <phoneticPr fontId="2" type="noConversion"/>
  <pageMargins left="0.7" right="0.7" top="0.75" bottom="0.75" header="0.3" footer="0.3"/>
  <ignoredErrors>
    <ignoredError sqref="L4:L10 L12:L26 L29:L30 L28" calculatedColumn="1"/>
  </ignoredErrors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Base!$E$5:$E$19</xm:f>
          </x14:formula1>
          <xm:sqref>D3:D68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61"/>
  <sheetViews>
    <sheetView tabSelected="1" zoomScale="80" zoomScaleNormal="80" workbookViewId="0">
      <pane xSplit="8" ySplit="20" topLeftCell="AC21" activePane="bottomRight" state="frozen"/>
      <selection activeCell="D5" sqref="D5:D6"/>
      <selection pane="topRight" activeCell="D5" sqref="D5:D6"/>
      <selection pane="bottomLeft" activeCell="D5" sqref="D5:D6"/>
      <selection pane="bottomRight" activeCell="B41" sqref="B41"/>
    </sheetView>
  </sheetViews>
  <sheetFormatPr defaultRowHeight="13.5" outlineLevelCol="1" x14ac:dyDescent="0.3"/>
  <cols>
    <col min="1" max="1" width="2.875" style="1" customWidth="1"/>
    <col min="2" max="2" width="14.25" style="1" customWidth="1"/>
    <col min="3" max="3" width="10" style="1" customWidth="1"/>
    <col min="4" max="4" width="14.25" style="1" customWidth="1"/>
    <col min="5" max="5" width="8.25" style="1" bestFit="1" customWidth="1"/>
    <col min="6" max="7" width="8.25" style="1" customWidth="1"/>
    <col min="8" max="9" width="6.5" style="1" customWidth="1"/>
    <col min="10" max="10" width="8.375" style="1" customWidth="1"/>
    <col min="11" max="11" width="16.375" style="1" hidden="1" customWidth="1" outlineLevel="1"/>
    <col min="12" max="12" width="13.75" style="1" hidden="1" customWidth="1" outlineLevel="1"/>
    <col min="13" max="13" width="16.375" style="1" hidden="1" customWidth="1" outlineLevel="1"/>
    <col min="14" max="16" width="12.75" style="1" hidden="1" customWidth="1" outlineLevel="1"/>
    <col min="17" max="17" width="16.375" style="1" hidden="1" customWidth="1" outlineLevel="1"/>
    <col min="18" max="24" width="9.375" style="1" hidden="1" customWidth="1" outlineLevel="1"/>
    <col min="25" max="25" width="12" style="1" bestFit="1" customWidth="1" collapsed="1"/>
    <col min="26" max="26" width="14.125" style="1" hidden="1" customWidth="1" outlineLevel="1"/>
    <col min="27" max="27" width="11.25" style="1" hidden="1" customWidth="1" outlineLevel="1"/>
    <col min="28" max="28" width="11.125" style="1" hidden="1" customWidth="1" outlineLevel="1"/>
    <col min="29" max="29" width="13.5" style="1" customWidth="1" collapsed="1"/>
    <col min="30" max="39" width="16.25" style="1" hidden="1" customWidth="1" outlineLevel="1"/>
    <col min="40" max="40" width="9.25" style="1" customWidth="1" collapsed="1"/>
    <col min="41" max="44" width="16.25" style="1" hidden="1" customWidth="1" outlineLevel="1"/>
    <col min="45" max="45" width="10" style="1" bestFit="1" customWidth="1" collapsed="1"/>
    <col min="46" max="46" width="7.625" style="1" customWidth="1" outlineLevel="1"/>
    <col min="47" max="47" width="10.375" style="1" bestFit="1" customWidth="1"/>
    <col min="48" max="48" width="16.375" style="1" hidden="1" customWidth="1" outlineLevel="1"/>
    <col min="49" max="49" width="10" style="1" customWidth="1" collapsed="1"/>
    <col min="50" max="50" width="9" style="1" bestFit="1" customWidth="1"/>
    <col min="51" max="51" width="8.5" style="1" bestFit="1" customWidth="1"/>
    <col min="52" max="52" width="70.25" style="1" bestFit="1" customWidth="1"/>
    <col min="53" max="61" width="15.625" style="1" customWidth="1"/>
    <col min="62" max="16384" width="9" style="1"/>
  </cols>
  <sheetData>
    <row r="1" spans="2:52" x14ac:dyDescent="0.3">
      <c r="B1" s="1" t="s">
        <v>192</v>
      </c>
      <c r="C1" s="1" t="s">
        <v>193</v>
      </c>
      <c r="D1" s="2" t="s">
        <v>140</v>
      </c>
    </row>
    <row r="2" spans="2:52" x14ac:dyDescent="0.3">
      <c r="B2" s="1" t="s">
        <v>126</v>
      </c>
      <c r="D2" s="2" t="s">
        <v>137</v>
      </c>
      <c r="AZ2" s="1" t="str">
        <f>"""" &amp; VLOOKUP("Lang_Subttl0",Configuration[],2,FALSE) &amp; """, """&amp;VLOOKUP("Lang_Subttl1",Configuration[],2,FALSE) &amp; """, """&amp;VLOOKUP("Lang_OSD",Configuration[],2,FALSE) &amp; """ // szLang0[], szLang1[], szOsdLang[],"</f>
        <v>"eng", "dan", "fra" // szLang0[], szLang1[], szOsdLang[],</v>
      </c>
    </row>
    <row r="3" spans="2:52" x14ac:dyDescent="0.3">
      <c r="B3" s="1" t="s">
        <v>248</v>
      </c>
      <c r="C3" s="1" t="s">
        <v>281</v>
      </c>
      <c r="D3" s="2" t="s">
        <v>248</v>
      </c>
      <c r="AZ3" s="1" t="str">
        <f>"""" &amp; VLOOKUP("Lang_Default",Configuration[],2,FALSE) &amp; """, // szLangDefault[],"</f>
        <v>"eng", // szLangDefault[],</v>
      </c>
    </row>
    <row r="4" spans="2:52" x14ac:dyDescent="0.3">
      <c r="B4" s="2" t="s">
        <v>249</v>
      </c>
      <c r="C4" s="2" t="s">
        <v>258</v>
      </c>
      <c r="D4" s="2" t="s">
        <v>249</v>
      </c>
      <c r="AZ4" s="1" t="str">
        <f>VLOOKUP("AR_Menu",Configuration[],2,FALSE) &amp; ", // eAspectRatio,"</f>
        <v>16x9, // eAspectRatio,</v>
      </c>
    </row>
    <row r="5" spans="2:52" x14ac:dyDescent="0.3">
      <c r="B5" s="1" t="s">
        <v>109</v>
      </c>
      <c r="C5" s="1" t="s">
        <v>259</v>
      </c>
      <c r="D5" s="2" t="s">
        <v>138</v>
      </c>
      <c r="AZ5" s="1" t="str">
        <f xml:space="preserve"> "" &amp; VLOOKUP("Type_DVB",Configuration[],2,FALSE) &amp; ", " &amp; VLOOKUP("HOH_Menu",Configuration[],2,FALSE) &amp; ", // bDvbMenu, bHohMenu,"</f>
        <v>TRUE, TRUE, // bDvbMenu, bHohMenu,</v>
      </c>
    </row>
    <row r="6" spans="2:52" x14ac:dyDescent="0.3">
      <c r="B6" s="2" t="s">
        <v>232</v>
      </c>
      <c r="C6" s="2" t="s">
        <v>224</v>
      </c>
      <c r="D6" s="2" t="s">
        <v>225</v>
      </c>
      <c r="AZ6" s="1" t="str">
        <f>"""" &amp; VLOOKUP("Lang_User",Configuration[],2,FALSE) &amp; """, """ &amp; VLOOKUP("HOH_User",Configuration[],2,FALSE) &amp; """, // szLangUser, bHohUser"</f>
        <v>"", "FALSE", // szLangUser, bHohUser</v>
      </c>
    </row>
    <row r="7" spans="2:52" x14ac:dyDescent="0.3">
      <c r="B7" s="2" t="s">
        <v>233</v>
      </c>
      <c r="C7" s="2" t="s">
        <v>216</v>
      </c>
      <c r="D7" s="2" t="s">
        <v>222</v>
      </c>
    </row>
    <row r="8" spans="2:52" x14ac:dyDescent="0.3">
      <c r="B8" s="2" t="s">
        <v>223</v>
      </c>
      <c r="C8" s="2" t="s">
        <v>280</v>
      </c>
      <c r="D8" s="2" t="s">
        <v>223</v>
      </c>
    </row>
    <row r="9" spans="2:52" x14ac:dyDescent="0.3">
      <c r="B9" s="2" t="s">
        <v>279</v>
      </c>
      <c r="C9" s="2" t="b">
        <v>0</v>
      </c>
      <c r="D9" s="2" t="s">
        <v>279</v>
      </c>
      <c r="E9" s="2"/>
      <c r="F9" s="2"/>
      <c r="G9" s="2"/>
    </row>
    <row r="10" spans="2:52" x14ac:dyDescent="0.3">
      <c r="B10" s="2" t="s">
        <v>278</v>
      </c>
      <c r="C10" s="2" t="b">
        <v>1</v>
      </c>
      <c r="D10" s="2" t="s">
        <v>278</v>
      </c>
      <c r="E10" s="2"/>
      <c r="F10" s="2"/>
      <c r="G10" s="2"/>
    </row>
    <row r="11" spans="2:52" x14ac:dyDescent="0.3">
      <c r="B11" s="2" t="s">
        <v>290</v>
      </c>
      <c r="C11" s="2" t="b">
        <v>0</v>
      </c>
      <c r="D11" s="2" t="s">
        <v>283</v>
      </c>
      <c r="E11" s="2"/>
      <c r="F11" s="2"/>
      <c r="G11" s="2"/>
    </row>
    <row r="12" spans="2:52" x14ac:dyDescent="0.3">
      <c r="B12" s="2" t="s">
        <v>244</v>
      </c>
      <c r="C12" s="2" t="b">
        <v>1</v>
      </c>
      <c r="D12" s="2" t="s">
        <v>243</v>
      </c>
      <c r="E12" s="2"/>
      <c r="F12" s="2"/>
      <c r="G12" s="2"/>
    </row>
    <row r="13" spans="2:52" x14ac:dyDescent="0.3">
      <c r="B13" s="2" t="s">
        <v>288</v>
      </c>
      <c r="C13" s="2" t="b">
        <v>0</v>
      </c>
      <c r="D13" s="2" t="s">
        <v>292</v>
      </c>
      <c r="E13" s="2"/>
      <c r="F13" s="2"/>
      <c r="G13" s="2"/>
    </row>
    <row r="14" spans="2:52" x14ac:dyDescent="0.3">
      <c r="B14" s="2" t="s">
        <v>291</v>
      </c>
      <c r="C14" s="2" t="b">
        <v>0</v>
      </c>
      <c r="D14" s="2" t="s">
        <v>293</v>
      </c>
      <c r="E14" s="2"/>
      <c r="F14" s="2"/>
      <c r="G14" s="2"/>
    </row>
    <row r="15" spans="2:52" x14ac:dyDescent="0.3">
      <c r="B15" s="1" t="s">
        <v>113</v>
      </c>
      <c r="C15" s="1" t="s">
        <v>48</v>
      </c>
      <c r="D15" s="2" t="s">
        <v>139</v>
      </c>
    </row>
    <row r="16" spans="2:52" x14ac:dyDescent="0.3">
      <c r="B16" s="2"/>
      <c r="C16" s="2"/>
      <c r="D16" s="2"/>
    </row>
    <row r="17" spans="2:53" x14ac:dyDescent="0.3">
      <c r="B17" s="2"/>
      <c r="C17" s="2"/>
      <c r="D17" s="2"/>
    </row>
    <row r="18" spans="2:53" x14ac:dyDescent="0.3">
      <c r="B18" s="2"/>
      <c r="C18" s="2"/>
      <c r="D18" s="2"/>
    </row>
    <row r="20" spans="2:53" x14ac:dyDescent="0.3">
      <c r="B20" s="1" t="s">
        <v>1</v>
      </c>
      <c r="C20" s="1" t="s">
        <v>38</v>
      </c>
      <c r="D20" s="1" t="s">
        <v>129</v>
      </c>
      <c r="E20" s="1" t="s">
        <v>130</v>
      </c>
      <c r="F20" s="1" t="s">
        <v>131</v>
      </c>
      <c r="G20" s="1" t="s">
        <v>132</v>
      </c>
      <c r="H20" s="1" t="s">
        <v>133</v>
      </c>
      <c r="I20" s="1" t="s">
        <v>237</v>
      </c>
      <c r="J20" s="1" t="s">
        <v>238</v>
      </c>
      <c r="K20" s="1" t="s">
        <v>127</v>
      </c>
      <c r="L20" s="1" t="s">
        <v>128</v>
      </c>
      <c r="M20" s="1" t="s">
        <v>252</v>
      </c>
      <c r="N20" s="1" t="s">
        <v>253</v>
      </c>
      <c r="O20" s="1" t="s">
        <v>250</v>
      </c>
      <c r="P20" s="1" t="s">
        <v>251</v>
      </c>
      <c r="Q20" s="1" t="s">
        <v>134</v>
      </c>
      <c r="R20" s="1" t="s">
        <v>135</v>
      </c>
      <c r="S20" s="1" t="s">
        <v>226</v>
      </c>
      <c r="T20" s="1" t="s">
        <v>227</v>
      </c>
      <c r="U20" s="1" t="s">
        <v>228</v>
      </c>
      <c r="V20" s="1" t="s">
        <v>229</v>
      </c>
      <c r="W20" s="1" t="s">
        <v>230</v>
      </c>
      <c r="X20" s="1" t="s">
        <v>231</v>
      </c>
      <c r="Y20" s="1" t="s">
        <v>157</v>
      </c>
      <c r="Z20" s="1" t="s">
        <v>136</v>
      </c>
      <c r="AA20" s="1" t="s">
        <v>141</v>
      </c>
      <c r="AB20" s="1" t="s">
        <v>142</v>
      </c>
      <c r="AC20" s="1" t="s">
        <v>143</v>
      </c>
      <c r="AD20" s="1" t="s">
        <v>144</v>
      </c>
      <c r="AE20" s="1" t="s">
        <v>145</v>
      </c>
      <c r="AF20" s="1" t="s">
        <v>260</v>
      </c>
      <c r="AG20" s="1" t="s">
        <v>261</v>
      </c>
      <c r="AH20" s="1" t="s">
        <v>276</v>
      </c>
      <c r="AI20" s="1" t="s">
        <v>277</v>
      </c>
      <c r="AJ20" s="1" t="s">
        <v>272</v>
      </c>
      <c r="AK20" s="1" t="s">
        <v>274</v>
      </c>
      <c r="AL20" s="1" t="s">
        <v>273</v>
      </c>
      <c r="AM20" s="1" t="s">
        <v>275</v>
      </c>
      <c r="AN20" s="1" t="s">
        <v>146</v>
      </c>
      <c r="AO20" s="1" t="s">
        <v>150</v>
      </c>
      <c r="AP20" s="1" t="s">
        <v>151</v>
      </c>
      <c r="AQ20" s="1" t="s">
        <v>154</v>
      </c>
      <c r="AR20" s="1" t="s">
        <v>152</v>
      </c>
      <c r="AS20" s="1" t="s">
        <v>153</v>
      </c>
      <c r="AT20" s="1" t="s">
        <v>156</v>
      </c>
      <c r="AU20" s="1" t="s">
        <v>155</v>
      </c>
      <c r="AV20" s="1" t="s">
        <v>9</v>
      </c>
      <c r="AW20" s="1" t="s">
        <v>10</v>
      </c>
      <c r="AX20" s="1" t="s">
        <v>2</v>
      </c>
      <c r="AY20" s="1" t="s">
        <v>19</v>
      </c>
      <c r="AZ20" s="1" t="s">
        <v>17</v>
      </c>
      <c r="BA20" s="2" t="s">
        <v>18</v>
      </c>
    </row>
    <row r="21" spans="2:53" x14ac:dyDescent="0.3">
      <c r="B21" s="1">
        <v>29</v>
      </c>
      <c r="C21" s="5" t="str">
        <f>IF(ISBLANK(TrackTable[[#This Row],[Track]]), EMPTY_VALUE, IFERROR(VLOOKUP(TrackTable[[#This Row],[Track]], SubtitleTrackDb[], 2, FALSE), EMPTY_VALUE))</f>
        <v>fin</v>
      </c>
      <c r="D21" s="5" t="str">
        <f>IF(ISBLANK(TrackTable[[#This Row],[Track]]), EMPTY_VALUE, IFERROR(VLOOKUP(TrackTable[[#This Row],[Track]], SubtitleTrackDb[], 3, FALSE), EMPTY_VALUE))</f>
        <v>0x02</v>
      </c>
      <c r="E21" s="5" t="str">
        <f>IF(ISBLANK(TrackTable[[#This Row],[Track]]), EMPTY_VALUE, IFERROR(VLOOKUP(TrackTable[[#This Row],[Track]], SubtitleTrackDb[], 4, FALSE), "n/a"))</f>
        <v>EBU</v>
      </c>
      <c r="F21" s="5" t="b">
        <f>IF(ISBLANK(TrackTable[[#This Row],[Track]]), EMPTY_VALUE, IFERROR(VLOOKUP(TrackTable[[#This Row],[Track]], SubtitleTrackDb[], 5, FALSE), "n/a"))</f>
        <v>0</v>
      </c>
      <c r="G21" s="5" t="str">
        <f>IF(ISBLANK(TrackTable[[#This Row],[Track]]), EMPTY_VALUE, IFERROR(VLOOKUP(TrackTable[[#This Row],[Track]], SubtitleTrackDb[], 6, FALSE), "n/a"))</f>
        <v>n/a</v>
      </c>
      <c r="H21" s="5" t="str">
        <f>IF(ISBLANK(TrackTable[[#This Row],[Track]]), EMPTY_VALUE, IFERROR(VLOOKUP(TrackTable[[#This Row],[Track]], SubtitleTrackDb[], 7, FALSE), "n/a"))</f>
        <v>n/a</v>
      </c>
      <c r="I21" s="5" t="b">
        <f>IF(ISBLANK(TrackTable[[#This Row],[Track]]), EMPTY_VALUE, IF(LEN(TrackTable[[#This Row],[Lang]])=3, TRUE,  FALSE))</f>
        <v>1</v>
      </c>
      <c r="J21" s="17" t="b">
        <f>IF(ISBLANK(TrackTable[[#This Row],[Track]]), EMPTY_VALUE, AND(NOT(ISBLANK(TrackTable[[#This Row],[Track]])), LEN(TrackTable[[#This Row],[Type Code]])=4))</f>
        <v>1</v>
      </c>
      <c r="K21" s="1" t="b">
        <f>IF(ISBLANK(TrackTable[[#This Row],[Track]]), "", IF(AND(TrackTable[[#This Row],[LangOk]], EXACT(VLOOKUP(LANG_USER_KEY, Configuration[], 2, FALSE), TrackTable[[#This Row],[Lang]])), TRUE, FALSE))</f>
        <v>0</v>
      </c>
      <c r="L21" s="1">
        <f>IFERROR(TrackTable[[#This Row],[LangUsrMatched]]*VLOOKUP(LANG_USER, SubtitleConfiguration[], 3, FALSE), "")</f>
        <v>0</v>
      </c>
      <c r="M21" s="1" t="b">
        <f>IF(ISBLANK(TrackTable[[#This Row],[Track]]), "", IF(AND(TrackTable[[#This Row],[LangOk]], EXACT(VLOOKUP(LANG_SUBTTL_KEY, Configuration[], 2, FALSE), TrackTable[[#This Row],[Lang]])), TRUE, FALSE))</f>
        <v>0</v>
      </c>
      <c r="N21" s="1">
        <f>IFERROR(TrackTable[[#This Row],[LangSubttlMatched0]]*VLOOKUP(LANG_SUBTTL, SubtitleConfiguration[], 3, FALSE), "")</f>
        <v>0</v>
      </c>
      <c r="O21" s="1" t="b">
        <f>IF(ISBLANK(TrackTable[[#This Row],[Track]]), "", IF(AND(TrackTable[[#This Row],[LangOk]], EXACT(VLOOKUP(LANG_SUBTTL_KEY1, Configuration[], 2, FALSE), TrackTable[[#This Row],[Lang]])), TRUE, FALSE))</f>
        <v>0</v>
      </c>
      <c r="P21" s="1">
        <f>IFERROR(TrackTable[[#This Row],[LangSubttlMatched1]]*VLOOKUP(LANG_SUBTTL1, SubtitleConfiguration[], 3, FALSE), "")</f>
        <v>0</v>
      </c>
      <c r="Q21" s="1" t="b">
        <f>IF(ISBLANK(TrackTable[[#This Row],[Track]]), "", IF(AND(TrackTable[[#This Row],[LangOk]], EXACT(VLOOKUP(LANG_OSD_KEY, Configuration[], 2, FALSE), TrackTable[[#This Row],[Lang]])), TRUE, FALSE))</f>
        <v>0</v>
      </c>
      <c r="R21" s="1">
        <f>IFERROR(TrackTable[[#This Row],[LangOsdMatched]]*VLOOKUP(LANG_OSD, SubtitleConfiguration[], 3, FALSE), "")</f>
        <v>0</v>
      </c>
      <c r="S21" s="1" t="b">
        <f>IF(ISBLANK(TrackTable[[#This Row],[Track]]), "", IF(AND(TrackTable[[#This Row],[LangOk]], EXACT(VLOOKUP(LANG_UND_KEY, Configuration[], 2, FALSE), TrackTable[[#This Row],[Lang]])), TRUE, FALSE))</f>
        <v>0</v>
      </c>
      <c r="T21" s="1">
        <f>IFERROR(TrackTable[[#This Row],[LangUndefined]]*VLOOKUP(LANG_UND, SubtitleConfiguration[], 3, FALSE), "")</f>
        <v>0</v>
      </c>
      <c r="U21" s="1" t="b">
        <f>IF(ISBLANK(TrackTable[[#This Row],[Track]]), "", IF(AND(TrackTable[[#This Row],[LangOk]], EXACT(VLOOKUP(LANG_ORG_KEY, Configuration[], 2, FALSE), TrackTable[[#This Row],[Lang]])), TRUE, FALSE))</f>
        <v>0</v>
      </c>
      <c r="V21" s="1">
        <f>IFERROR(TrackTable[[#This Row],[LangOriginal]]*VLOOKUP(LANG_ORG, SubtitleConfiguration[], 3, FALSE), "")</f>
        <v>0</v>
      </c>
      <c r="W21" s="1" t="b">
        <f>IF(ISBLANK(TrackTable[[#This Row],[Track]]), "", IF(AND(TrackTable[[#This Row],[LangOk]], EXACT(VLOOKUP(LANG_DEF_KEY, Configuration[], 2, FALSE), TrackTable[[#This Row],[Lang]])), TRUE, FALSE))</f>
        <v>0</v>
      </c>
      <c r="X21" s="1">
        <f>IFERROR(TrackTable[[#This Row],[LangDefault]]*VLOOKUP(LANG_DEF, SubtitleConfiguration[], 3, FALSE), "")</f>
        <v>0</v>
      </c>
      <c r="Y21" s="6">
        <f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f>
        <v>10000</v>
      </c>
      <c r="Z21" s="7" t="b">
        <f>IFERROR(IF(TrackTable[[#This Row],[TypeOk]], AND(VLOOKUP("Type_DVB", Configuration[], 2, FALSE), EXACT(TrackTable[[#This Row],[MainType]], "DVB")), FALSE), "")</f>
        <v>0</v>
      </c>
      <c r="AA21" s="7">
        <f>IFERROR(IF(TrackTable[[#This Row],[DvbMatched]], VLOOKUP(DVB_M, SubtitlePriorityTable[], 4, FALSE), 0), "")</f>
        <v>0</v>
      </c>
      <c r="AB21" s="7">
        <f>IFERROR(IF(AND(NOT(VLOOKUP("Type_DVB", Configuration[], 2, FALSE)), EXACT(TrackTable[[#This Row],[MainType]], "EBU")), VLOOKUP("Type_EBU", SubtitlePriorityTable[], 4, FALSE), 0), "")</f>
        <v>0</v>
      </c>
      <c r="AC21" s="6">
        <f>IFERROR(IF(TrackTable[[#This Row],[TypeOk]], MAX(TrackTable[[#This Row],[DvbScore]], TrackTable[[#This Row],[EubScore]]), ""),  "")</f>
        <v>0</v>
      </c>
      <c r="AD21" s="6" t="b">
        <f>IFERROR(AND(TrackTable[[#This Row],[TypeOk]], IFERROR(TrackTable[[#This Row],[HOH]], #VALUE!), VLOOKUP(HOH_M, Configuration[], 2, FALSE)), "")</f>
        <v>0</v>
      </c>
      <c r="AE21" s="6">
        <f>IFERROR(IF(TrackTable[[#This Row],[HohMatched]], VLOOKUP(HOH_M, SubtitlePriorityTable[], 4, FALSE), 0), "")</f>
        <v>0</v>
      </c>
      <c r="AF21" s="6" t="b">
        <f>IFERROR(AND(TrackTable[[#This Row],[TypeOk]], IFERROR(TrackTable[[#This Row],[HOH]], #VALUE!), EXACT(VLOOKUP(HOH_U, Configuration[], 2, FALSE), TRUE)), "")</f>
        <v>0</v>
      </c>
      <c r="AG21" s="6">
        <f>IFERROR(IF(TrackTable[[#This Row],[HohMatchedUser]], VLOOKUP(HOH_U, SubtitlePriorityTable[], 4, FALSE), 0), "")</f>
        <v>0</v>
      </c>
      <c r="AH21" s="6" t="b">
        <f>IFERROR(AND(TrackTable[[#This Row],[TypeOk]], NOT(TrackTable[[#This Row],[HOH]]), OR(EXACT(VLOOKUP(HOH_M, Configuration[], 2, FALSE), TRUE), EXACT(VLOOKUP(HOH_U, Configuration[], 2, FALSE), TRUE))), "")</f>
        <v>1</v>
      </c>
      <c r="AI21" s="6">
        <f>IFERROR(IF(TrackTable[[#This Row],[HohOnEsNo]], VLOOKUP("HOH_OnEsNo", SubtitlePriorityTable[], 4, FALSE), 0), "")</f>
        <v>200000</v>
      </c>
      <c r="AJ21" s="6" t="b">
        <f>IFERROR(AND(TrackTable[[#This Row],[TypeOk]], IFERROR(TrackTable[[#This Row],[HOH]], #VALUE!), AND(EXACT(VLOOKUP(HOH_M, Configuration[], 2, FALSE), FALSE), EXACT(VLOOKUP(HOH_U, Configuration[], 2, FALSE), FALSE))), "")</f>
        <v>0</v>
      </c>
      <c r="AK21" s="6">
        <f>IFERROR(IF(TrackTable[[#This Row],[HohOffEsYes]], VLOOKUP("HOH_OffEsYes", SubtitlePriorityTable[], 4, FALSE), 0), "")</f>
        <v>0</v>
      </c>
      <c r="AL21" s="6" t="b">
        <f>IFERROR(AND(TrackTable[[#This Row],[TypeOk]], NOT(TrackTable[[#This Row],[HOH]]), AND(EXACT(VLOOKUP(HOH_M, Configuration[], 2, FALSE), FALSE), EXACT(VLOOKUP(HOH_U, Configuration[], 2, FALSE), FALSE))), "")</f>
        <v>0</v>
      </c>
      <c r="AM21" s="6">
        <f>IFERROR(IF(TrackTable[[#This Row],[HohOffEsNo]], VLOOKUP("HOH_OffEsNo", SubtitlePriorityTable[], 4, FALSE), 0), "")</f>
        <v>0</v>
      </c>
      <c r="AN21" s="6">
        <f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f>
        <v>200000</v>
      </c>
      <c r="AO21" s="6" t="b">
        <f>IFERROR(IF(TrackTable[[#This Row],[TypeOk]], EXACT(VLOOKUP(AR_M, Configuration[], 2, FALSE), TrackTable[[#This Row],[AR]])), "")</f>
        <v>0</v>
      </c>
      <c r="AP21" s="6">
        <f>IFERROR(IF(TrackTable[[#This Row],[ArMatched]], VLOOKUP(AR_M, SubtitlePriorityTable[], 4, FALSE), 0), "")</f>
        <v>0</v>
      </c>
      <c r="AQ21" s="6" t="b">
        <f>IFERROR(IF(TrackTable[[#This Row],[TypeOk]], IF(EXACT(TrackTable[[#This Row],[AR]], "no"), TRUE, FALSE), FALSE), "")</f>
        <v>0</v>
      </c>
      <c r="AR21" s="6">
        <f>IFERROR(IF(TrackTable[[#This Row],[ArNo]], VLOOKUP("AR_No", SubtitlePriorityTable[], 4, FALSE), 0), "")</f>
        <v>0</v>
      </c>
      <c r="AS21" s="6">
        <f>IFERROR(IF(TrackTable[[#This Row],[TypeOk]], MAX(TrackTable[[#This Row],[ArMatchedScore]], TrackTable[[#This Row],[ArNoScore]]), ""), "")</f>
        <v>0</v>
      </c>
      <c r="AT21" s="6" t="b">
        <f>IFERROR(IF(TrackTable[[#This Row],[TypeOk]], IF(EXACT(TrackTable[[#This Row],[HD]], "yes"), TRUE, FALSE)), "")</f>
        <v>0</v>
      </c>
      <c r="AU21" s="6">
        <f>IFERROR(IF(TrackTable[[#This Row],[IsHD]], VLOOKUP("HD_Base", SubtitlePriorityTable[], 4, FALSE), 0), "")</f>
        <v>0</v>
      </c>
      <c r="AV21" s="7" t="b">
        <f>IFERROR(IF(TrackTable[[#This Row],[TypeOk]], IF(MIN(ROW(TrackTable[Track]))=ROW(TrackTable[[#This Row],[Track]]), TRUE, FALSE), ""), "")</f>
        <v>1</v>
      </c>
      <c r="AW21" s="6">
        <f>IFERROR(IF(TrackTable[[#This Row],[TypeOk]], TrackTable[[#This Row],[IsFirstTrack]]*VLOOKUP("First_Track", SubtitleConfiguration[], 3, FALSE), ""), "")</f>
        <v>1</v>
      </c>
      <c r="AX21" s="6">
        <f>IF(ISBLANK(TrackTable[[#This Row],[Track]]), EMPTY_VALUE, TrackTable[[#This Row],[LangScore]]+TrackTable[[#This Row],[MainTypeScore]]+TrackTable[[#This Row],[HohScore]]+TrackTable[[#This Row],[ArScore]]+TrackTable[[#This Row],[HdScore]]+TrackTable[[#This Row],[Track Score]])</f>
        <v>210001</v>
      </c>
      <c r="AY21" s="4">
        <f>IFERROR(_xlfn.RANK.EQ(TrackTable[[#This Row],[Score]],TrackTable[Score], 0), "")</f>
        <v>5</v>
      </c>
      <c r="AZ21" s="4" t="str">
        <f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f>
        <v>29, // [ Lang : "fin", MainType : "EBU", HOH : FALSE, AR : "n/a", HD : "n/a" ]</v>
      </c>
      <c r="BA21" s="2"/>
    </row>
    <row r="22" spans="2:53" x14ac:dyDescent="0.3">
      <c r="B22" s="1">
        <v>4</v>
      </c>
      <c r="C22" s="5" t="str">
        <f>IF(ISBLANK(TrackTable[[#This Row],[Track]]), EMPTY_VALUE, IFERROR(VLOOKUP(TrackTable[[#This Row],[Track]], SubtitleTrackDb[], 2, FALSE), EMPTY_VALUE))</f>
        <v>eng</v>
      </c>
      <c r="D22" s="5" t="str">
        <f>IF(ISBLANK(TrackTable[[#This Row],[Track]]), EMPTY_VALUE, IFERROR(VLOOKUP(TrackTable[[#This Row],[Track]], SubtitleTrackDb[], 3, FALSE), EMPTY_VALUE))</f>
        <v>0x10</v>
      </c>
      <c r="E22" s="5" t="str">
        <f>IF(ISBLANK(TrackTable[[#This Row],[Track]]), EMPTY_VALUE, IFERROR(VLOOKUP(TrackTable[[#This Row],[Track]], SubtitleTrackDb[], 4, FALSE), "n/a"))</f>
        <v>DVB</v>
      </c>
      <c r="F22" s="5" t="b">
        <f>IF(ISBLANK(TrackTable[[#This Row],[Track]]), EMPTY_VALUE, IFERROR(VLOOKUP(TrackTable[[#This Row],[Track]], SubtitleTrackDb[], 5, FALSE), "n/a"))</f>
        <v>0</v>
      </c>
      <c r="G22" s="5" t="str">
        <f>IF(ISBLANK(TrackTable[[#This Row],[Track]]), EMPTY_VALUE, IFERROR(VLOOKUP(TrackTable[[#This Row],[Track]], SubtitleTrackDb[], 6, FALSE), "n/a"))</f>
        <v>no</v>
      </c>
      <c r="H22" s="5" t="str">
        <f>IF(ISBLANK(TrackTable[[#This Row],[Track]]), EMPTY_VALUE, IFERROR(VLOOKUP(TrackTable[[#This Row],[Track]], SubtitleTrackDb[], 7, FALSE), "n/a"))</f>
        <v>no</v>
      </c>
      <c r="I22" s="5" t="b">
        <f>IF(ISBLANK(TrackTable[[#This Row],[Track]]), EMPTY_VALUE, IF(LEN(TrackTable[[#This Row],[Lang]])=3, TRUE,  FALSE))</f>
        <v>1</v>
      </c>
      <c r="J22" s="5" t="b">
        <f>IF(ISBLANK(TrackTable[[#This Row],[Track]]), EMPTY_VALUE, AND(NOT(ISBLANK(TrackTable[[#This Row],[Track]])), LEN(TrackTable[[#This Row],[Type Code]])=4))</f>
        <v>1</v>
      </c>
      <c r="K22" s="1" t="b">
        <f>IF(ISBLANK(TrackTable[[#This Row],[Track]]), "", IF(AND(TrackTable[[#This Row],[LangOk]], EXACT(VLOOKUP(LANG_USER_KEY, Configuration[], 2, FALSE), TrackTable[[#This Row],[Lang]])), TRUE, FALSE))</f>
        <v>0</v>
      </c>
      <c r="L22" s="1">
        <f>IFERROR(TrackTable[[#This Row],[LangUsrMatched]]*VLOOKUP(LANG_USER, SubtitleConfiguration[], 3, FALSE), "")</f>
        <v>0</v>
      </c>
      <c r="M22" s="1" t="b">
        <f>IF(ISBLANK(TrackTable[[#This Row],[Track]]), "", IF(AND(TrackTable[[#This Row],[LangOk]], EXACT(VLOOKUP(LANG_SUBTTL_KEY, Configuration[], 2, FALSE), TrackTable[[#This Row],[Lang]])), TRUE, FALSE))</f>
        <v>1</v>
      </c>
      <c r="N22" s="1">
        <f>IFERROR(TrackTable[[#This Row],[LangSubttlMatched0]]*VLOOKUP(LANG_SUBTTL, SubtitleConfiguration[], 3, FALSE), "")</f>
        <v>60000</v>
      </c>
      <c r="O22" s="1" t="b">
        <f>IF(ISBLANK(TrackTable[[#This Row],[Track]]), "", IF(AND(TrackTable[[#This Row],[LangOk]], EXACT(VLOOKUP(LANG_SUBTTL_KEY1, Configuration[], 2, FALSE), TrackTable[[#This Row],[Lang]])), TRUE, FALSE))</f>
        <v>0</v>
      </c>
      <c r="P22" s="1">
        <f>IFERROR(TrackTable[[#This Row],[LangSubttlMatched1]]*VLOOKUP(LANG_SUBTTL1, SubtitleConfiguration[], 3, FALSE), "")</f>
        <v>0</v>
      </c>
      <c r="Q22" s="1" t="b">
        <f>IF(ISBLANK(TrackTable[[#This Row],[Track]]), "", IF(AND(TrackTable[[#This Row],[LangOk]], EXACT(VLOOKUP(LANG_OSD_KEY, Configuration[], 2, FALSE), TrackTable[[#This Row],[Lang]])), TRUE, FALSE))</f>
        <v>0</v>
      </c>
      <c r="R22" s="1">
        <f>IFERROR(TrackTable[[#This Row],[LangOsdMatched]]*VLOOKUP(LANG_OSD, SubtitleConfiguration[], 3, FALSE), "")</f>
        <v>0</v>
      </c>
      <c r="S22" s="1" t="b">
        <f>IF(ISBLANK(TrackTable[[#This Row],[Track]]), "", IF(AND(TrackTable[[#This Row],[LangOk]], EXACT(VLOOKUP(LANG_UND_KEY, Configuration[], 2, FALSE), TrackTable[[#This Row],[Lang]])), TRUE, FALSE))</f>
        <v>0</v>
      </c>
      <c r="T22" s="1">
        <f>IFERROR(TrackTable[[#This Row],[LangUndefined]]*VLOOKUP(LANG_UND, SubtitleConfiguration[], 3, FALSE), "")</f>
        <v>0</v>
      </c>
      <c r="U22" s="1" t="b">
        <f>IF(ISBLANK(TrackTable[[#This Row],[Track]]), "", IF(AND(TrackTable[[#This Row],[LangOk]], EXACT(VLOOKUP(LANG_ORG_KEY, Configuration[], 2, FALSE), TrackTable[[#This Row],[Lang]])), TRUE, FALSE))</f>
        <v>0</v>
      </c>
      <c r="V22" s="1">
        <f>IFERROR(TrackTable[[#This Row],[LangOriginal]]*VLOOKUP(LANG_ORG, SubtitleConfiguration[], 3, FALSE), "")</f>
        <v>0</v>
      </c>
      <c r="W22" s="1" t="b">
        <f>IF(ISBLANK(TrackTable[[#This Row],[Track]]), "", IF(AND(TrackTable[[#This Row],[LangOk]], EXACT(VLOOKUP(LANG_DEF_KEY, Configuration[], 2, FALSE), TrackTable[[#This Row],[Lang]])), TRUE, FALSE))</f>
        <v>1</v>
      </c>
      <c r="X22" s="1">
        <f>IFERROR(TrackTable[[#This Row],[LangDefault]]*VLOOKUP(LANG_DEF, SubtitleConfiguration[], 3, FALSE), "")</f>
        <v>10000</v>
      </c>
      <c r="Y22" s="6">
        <f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f>
        <v>60000</v>
      </c>
      <c r="Z22" s="7" t="b">
        <f>IFERROR(IF(TrackTable[[#This Row],[TypeOk]], AND(VLOOKUP("Type_DVB", Configuration[], 2, FALSE), EXACT(TrackTable[[#This Row],[MainType]], "DVB")), FALSE), "")</f>
        <v>1</v>
      </c>
      <c r="AA22" s="7">
        <f>IFERROR(IF(TrackTable[[#This Row],[DvbMatched]], VLOOKUP(DVB_M, SubtitlePriorityTable[], 4, FALSE), 0), "")</f>
        <v>5000</v>
      </c>
      <c r="AB22" s="7">
        <f>IFERROR(IF(AND(NOT(VLOOKUP("Type_DVB", Configuration[], 2, FALSE)), EXACT(TrackTable[[#This Row],[MainType]], "EBU")), VLOOKUP("Type_EBU", SubtitlePriorityTable[], 4, FALSE), 0), "")</f>
        <v>0</v>
      </c>
      <c r="AC22" s="6">
        <f>IFERROR(IF(TrackTable[[#This Row],[TypeOk]], MAX(TrackTable[[#This Row],[DvbScore]], TrackTable[[#This Row],[EubScore]]), ""),  "")</f>
        <v>5000</v>
      </c>
      <c r="AD22" s="6" t="b">
        <f>IFERROR(AND(TrackTable[[#This Row],[TypeOk]], IFERROR(TrackTable[[#This Row],[HOH]], #VALUE!), VLOOKUP(HOH_M, Configuration[], 2, FALSE)), "")</f>
        <v>0</v>
      </c>
      <c r="AE22" s="6">
        <f>IFERROR(IF(TrackTable[[#This Row],[HohMatched]], VLOOKUP(HOH_M, SubtitlePriorityTable[], 4, FALSE), 0), "")</f>
        <v>0</v>
      </c>
      <c r="AF22" s="6" t="b">
        <f>IFERROR(AND(TrackTable[[#This Row],[TypeOk]], IFERROR(TrackTable[[#This Row],[HOH]], #VALUE!), EXACT(VLOOKUP(HOH_U, Configuration[], 2, FALSE), TRUE)), "")</f>
        <v>0</v>
      </c>
      <c r="AG22" s="6">
        <f>IFERROR(IF(TrackTable[[#This Row],[HohMatchedUser]], VLOOKUP(HOH_U, SubtitlePriorityTable[], 4, FALSE), 0), "")</f>
        <v>0</v>
      </c>
      <c r="AH22" s="6" t="b">
        <f>IFERROR(AND(TrackTable[[#This Row],[TypeOk]], NOT(TrackTable[[#This Row],[HOH]]), OR(EXACT(VLOOKUP(HOH_M, Configuration[], 2, FALSE), TRUE), EXACT(VLOOKUP(HOH_U, Configuration[], 2, FALSE), TRUE))), "")</f>
        <v>1</v>
      </c>
      <c r="AI22" s="6">
        <f>IFERROR(IF(TrackTable[[#This Row],[HohOnEsNo]], VLOOKUP("HOH_OnEsNo", SubtitlePriorityTable[], 4, FALSE), 0), "")</f>
        <v>200000</v>
      </c>
      <c r="AJ22" s="6" t="b">
        <f>IFERROR(AND(TrackTable[[#This Row],[TypeOk]], IFERROR(TrackTable[[#This Row],[HOH]], #VALUE!), AND(EXACT(VLOOKUP(HOH_M, Configuration[], 2, FALSE), FALSE), EXACT(VLOOKUP(HOH_U, Configuration[], 2, FALSE), FALSE))), "")</f>
        <v>0</v>
      </c>
      <c r="AK22" s="6">
        <f>IFERROR(IF(TrackTable[[#This Row],[HohOffEsYes]], VLOOKUP("HOH_OffEsYes", SubtitlePriorityTable[], 4, FALSE), 0), "")</f>
        <v>0</v>
      </c>
      <c r="AL22" s="6" t="b">
        <f>IFERROR(AND(TrackTable[[#This Row],[TypeOk]], NOT(TrackTable[[#This Row],[HOH]]), AND(EXACT(VLOOKUP(HOH_M, Configuration[], 2, FALSE), FALSE), EXACT(VLOOKUP(HOH_U, Configuration[], 2, FALSE), FALSE))), "")</f>
        <v>0</v>
      </c>
      <c r="AM22" s="6">
        <f>IFERROR(IF(TrackTable[[#This Row],[HohOffEsNo]], VLOOKUP("HOH_OffEsNo", SubtitlePriorityTable[], 4, FALSE), 0), "")</f>
        <v>0</v>
      </c>
      <c r="AN22" s="6">
        <f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f>
        <v>200000</v>
      </c>
      <c r="AO22" s="6" t="b">
        <f>IFERROR(IF(TrackTable[[#This Row],[TypeOk]], EXACT(VLOOKUP(AR_M, Configuration[], 2, FALSE), TrackTable[[#This Row],[AR]])), "")</f>
        <v>0</v>
      </c>
      <c r="AP22" s="6">
        <f>IFERROR(IF(TrackTable[[#This Row],[ArMatched]], VLOOKUP(AR_M, SubtitlePriorityTable[], 4, FALSE), 0), "")</f>
        <v>0</v>
      </c>
      <c r="AQ22" s="6" t="b">
        <f>IFERROR(IF(TrackTable[[#This Row],[TypeOk]], IF(EXACT(TrackTable[[#This Row],[AR]], "no"), TRUE, FALSE), FALSE), "")</f>
        <v>1</v>
      </c>
      <c r="AR22" s="6">
        <f>IFERROR(IF(TrackTable[[#This Row],[ArNo]], VLOOKUP("AR_No", SubtitlePriorityTable[], 4, FALSE), 0), "")</f>
        <v>20</v>
      </c>
      <c r="AS22" s="6">
        <f>IFERROR(IF(TrackTable[[#This Row],[TypeOk]], MAX(TrackTable[[#This Row],[ArMatchedScore]], TrackTable[[#This Row],[ArNoScore]]), ""), "")</f>
        <v>20</v>
      </c>
      <c r="AT22" s="6" t="b">
        <f>IFERROR(IF(TrackTable[[#This Row],[TypeOk]], IF(EXACT(TrackTable[[#This Row],[HD]], "yes"), TRUE, FALSE)), "")</f>
        <v>0</v>
      </c>
      <c r="AU22" s="6">
        <f>IFERROR(IF(TrackTable[[#This Row],[IsHD]], VLOOKUP("HD_Base", SubtitlePriorityTable[], 4, FALSE), 0), "")</f>
        <v>0</v>
      </c>
      <c r="AV22" s="7" t="b">
        <f>IFERROR(IF(TrackTable[[#This Row],[TypeOk]], IF(MIN(ROW(TrackTable[Track]))=ROW(TrackTable[[#This Row],[Track]]), TRUE, FALSE), ""), "")</f>
        <v>0</v>
      </c>
      <c r="AW22" s="6">
        <f>IFERROR(IF(TrackTable[[#This Row],[TypeOk]], TrackTable[[#This Row],[IsFirstTrack]]*VLOOKUP("First_Track", SubtitleConfiguration[], 3, FALSE), ""), "")</f>
        <v>0</v>
      </c>
      <c r="AX22" s="6">
        <f>IF(ISBLANK(TrackTable[[#This Row],[Track]]), EMPTY_VALUE, TrackTable[[#This Row],[LangScore]]+TrackTable[[#This Row],[MainTypeScore]]+TrackTable[[#This Row],[HohScore]]+TrackTable[[#This Row],[ArScore]]+TrackTable[[#This Row],[HdScore]]+TrackTable[[#This Row],[Track Score]])</f>
        <v>265020</v>
      </c>
      <c r="AY22" s="4">
        <f>IFERROR(_xlfn.RANK.EQ(TrackTable[[#This Row],[Score]],TrackTable[Score], 0), "")</f>
        <v>3</v>
      </c>
      <c r="AZ22" s="4" t="str">
        <f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f>
        <v>04, // [ Lang : "eng", MainType : "DVB", HOH : FALSE, AR : "no", HD : "no" ]</v>
      </c>
      <c r="BA22" s="2" t="b">
        <f>EXACT(VLOOKUP("Lang_User", SubtitleConfiguration[], 2, FALSE), IF(LEN(TrackTable[Lang])&gt;=3, TrackTable[Lang], "error"))</f>
        <v>0</v>
      </c>
    </row>
    <row r="23" spans="2:53" x14ac:dyDescent="0.3">
      <c r="B23" s="1">
        <v>5</v>
      </c>
      <c r="C23" s="5" t="str">
        <f>IF(ISBLANK(TrackTable[[#This Row],[Track]]), EMPTY_VALUE, IFERROR(VLOOKUP(TrackTable[[#This Row],[Track]], SubtitleTrackDb[], 2, FALSE), EMPTY_VALUE))</f>
        <v>eng</v>
      </c>
      <c r="D23" s="5" t="str">
        <f>IF(ISBLANK(TrackTable[[#This Row],[Track]]), EMPTY_VALUE, IFERROR(VLOOKUP(TrackTable[[#This Row],[Track]], SubtitleTrackDb[], 3, FALSE), EMPTY_VALUE))</f>
        <v>0x11</v>
      </c>
      <c r="E23" s="5" t="str">
        <f>IF(ISBLANK(TrackTable[[#This Row],[Track]]), EMPTY_VALUE, IFERROR(VLOOKUP(TrackTable[[#This Row],[Track]], SubtitleTrackDb[], 4, FALSE), "n/a"))</f>
        <v>DVB</v>
      </c>
      <c r="F23" s="5" t="b">
        <f>IF(ISBLANK(TrackTable[[#This Row],[Track]]), EMPTY_VALUE, IFERROR(VLOOKUP(TrackTable[[#This Row],[Track]], SubtitleTrackDb[], 5, FALSE), "n/a"))</f>
        <v>0</v>
      </c>
      <c r="G23" s="5" t="str">
        <f>IF(ISBLANK(TrackTable[[#This Row],[Track]]), EMPTY_VALUE, IFERROR(VLOOKUP(TrackTable[[#This Row],[Track]], SubtitleTrackDb[], 6, FALSE), "n/a"))</f>
        <v>4x3</v>
      </c>
      <c r="H23" s="5" t="str">
        <f>IF(ISBLANK(TrackTable[[#This Row],[Track]]), EMPTY_VALUE, IFERROR(VLOOKUP(TrackTable[[#This Row],[Track]], SubtitleTrackDb[], 7, FALSE), "n/a"))</f>
        <v>no</v>
      </c>
      <c r="I23" s="5" t="b">
        <f>IF(ISBLANK(TrackTable[[#This Row],[Track]]), EMPTY_VALUE, IF(LEN(TrackTable[[#This Row],[Lang]])=3, TRUE,  FALSE))</f>
        <v>1</v>
      </c>
      <c r="J23" s="5" t="b">
        <f>IF(ISBLANK(TrackTable[[#This Row],[Track]]), EMPTY_VALUE, AND(NOT(ISBLANK(TrackTable[[#This Row],[Track]])), LEN(TrackTable[[#This Row],[Type Code]])=4))</f>
        <v>1</v>
      </c>
      <c r="K23" s="1" t="b">
        <f>IF(ISBLANK(TrackTable[[#This Row],[Track]]), "", IF(AND(TrackTable[[#This Row],[LangOk]], EXACT(VLOOKUP(LANG_USER_KEY, Configuration[], 2, FALSE), TrackTable[[#This Row],[Lang]])), TRUE, FALSE))</f>
        <v>0</v>
      </c>
      <c r="L23" s="1">
        <f>IFERROR(TrackTable[[#This Row],[LangUsrMatched]]*VLOOKUP(LANG_USER, SubtitleConfiguration[], 3, FALSE), "")</f>
        <v>0</v>
      </c>
      <c r="M23" s="1" t="b">
        <f>IF(ISBLANK(TrackTable[[#This Row],[Track]]), "", IF(AND(TrackTable[[#This Row],[LangOk]], EXACT(VLOOKUP(LANG_SUBTTL_KEY, Configuration[], 2, FALSE), TrackTable[[#This Row],[Lang]])), TRUE, FALSE))</f>
        <v>1</v>
      </c>
      <c r="N23" s="1">
        <f>IFERROR(TrackTable[[#This Row],[LangSubttlMatched0]]*VLOOKUP(LANG_SUBTTL, SubtitleConfiguration[], 3, FALSE), "")</f>
        <v>60000</v>
      </c>
      <c r="O23" s="1" t="b">
        <f>IF(ISBLANK(TrackTable[[#This Row],[Track]]), "", IF(AND(TrackTable[[#This Row],[LangOk]], EXACT(VLOOKUP(LANG_SUBTTL_KEY1, Configuration[], 2, FALSE), TrackTable[[#This Row],[Lang]])), TRUE, FALSE))</f>
        <v>0</v>
      </c>
      <c r="P23" s="1">
        <f>IFERROR(TrackTable[[#This Row],[LangSubttlMatched1]]*VLOOKUP(LANG_SUBTTL1, SubtitleConfiguration[], 3, FALSE), "")</f>
        <v>0</v>
      </c>
      <c r="Q23" s="1" t="b">
        <f>IF(ISBLANK(TrackTable[[#This Row],[Track]]), "", IF(AND(TrackTable[[#This Row],[LangOk]], EXACT(VLOOKUP(LANG_OSD_KEY, Configuration[], 2, FALSE), TrackTable[[#This Row],[Lang]])), TRUE, FALSE))</f>
        <v>0</v>
      </c>
      <c r="R23" s="1">
        <f>IFERROR(TrackTable[[#This Row],[LangOsdMatched]]*VLOOKUP(LANG_OSD, SubtitleConfiguration[], 3, FALSE), "")</f>
        <v>0</v>
      </c>
      <c r="S23" s="1" t="b">
        <f>IF(ISBLANK(TrackTable[[#This Row],[Track]]), "", IF(AND(TrackTable[[#This Row],[LangOk]], EXACT(VLOOKUP(LANG_UND_KEY, Configuration[], 2, FALSE), TrackTable[[#This Row],[Lang]])), TRUE, FALSE))</f>
        <v>0</v>
      </c>
      <c r="T23" s="1">
        <f>IFERROR(TrackTable[[#This Row],[LangUndefined]]*VLOOKUP(LANG_UND, SubtitleConfiguration[], 3, FALSE), "")</f>
        <v>0</v>
      </c>
      <c r="U23" s="1" t="b">
        <f>IF(ISBLANK(TrackTable[[#This Row],[Track]]), "", IF(AND(TrackTable[[#This Row],[LangOk]], EXACT(VLOOKUP(LANG_ORG_KEY, Configuration[], 2, FALSE), TrackTable[[#This Row],[Lang]])), TRUE, FALSE))</f>
        <v>0</v>
      </c>
      <c r="V23" s="1">
        <f>IFERROR(TrackTable[[#This Row],[LangOriginal]]*VLOOKUP(LANG_ORG, SubtitleConfiguration[], 3, FALSE), "")</f>
        <v>0</v>
      </c>
      <c r="W23" s="1" t="b">
        <f>IF(ISBLANK(TrackTable[[#This Row],[Track]]), "", IF(AND(TrackTable[[#This Row],[LangOk]], EXACT(VLOOKUP(LANG_DEF_KEY, Configuration[], 2, FALSE), TrackTable[[#This Row],[Lang]])), TRUE, FALSE))</f>
        <v>1</v>
      </c>
      <c r="X23" s="1">
        <f>IFERROR(TrackTable[[#This Row],[LangDefault]]*VLOOKUP(LANG_DEF, SubtitleConfiguration[], 3, FALSE), "")</f>
        <v>10000</v>
      </c>
      <c r="Y23" s="6">
        <f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f>
        <v>60000</v>
      </c>
      <c r="Z23" s="7" t="b">
        <f>IFERROR(IF(TrackTable[[#This Row],[TypeOk]], AND(VLOOKUP("Type_DVB", Configuration[], 2, FALSE), EXACT(TrackTable[[#This Row],[MainType]], "DVB")), FALSE), "")</f>
        <v>1</v>
      </c>
      <c r="AA23" s="7">
        <f>IFERROR(IF(TrackTable[[#This Row],[DvbMatched]], VLOOKUP(DVB_M, SubtitlePriorityTable[], 4, FALSE), 0), "")</f>
        <v>5000</v>
      </c>
      <c r="AB23" s="7">
        <f>IFERROR(IF(AND(NOT(VLOOKUP("Type_DVB", Configuration[], 2, FALSE)), EXACT(TrackTable[[#This Row],[MainType]], "EBU")), VLOOKUP("Type_EBU", SubtitlePriorityTable[], 4, FALSE), 0), "")</f>
        <v>0</v>
      </c>
      <c r="AC23" s="6">
        <f>IFERROR(IF(TrackTable[[#This Row],[TypeOk]], MAX(TrackTable[[#This Row],[DvbScore]], TrackTable[[#This Row],[EubScore]]), ""),  "")</f>
        <v>5000</v>
      </c>
      <c r="AD23" s="6" t="b">
        <f>IFERROR(AND(TrackTable[[#This Row],[TypeOk]], IFERROR(TrackTable[[#This Row],[HOH]], #VALUE!), VLOOKUP(HOH_M, Configuration[], 2, FALSE)), "")</f>
        <v>0</v>
      </c>
      <c r="AE23" s="6">
        <f>IFERROR(IF(TrackTable[[#This Row],[HohMatched]], VLOOKUP(HOH_M, SubtitlePriorityTable[], 4, FALSE), 0), "")</f>
        <v>0</v>
      </c>
      <c r="AF23" s="6" t="b">
        <f>IFERROR(AND(TrackTable[[#This Row],[TypeOk]], IFERROR(TrackTable[[#This Row],[HOH]], #VALUE!), EXACT(VLOOKUP(HOH_U, Configuration[], 2, FALSE), TRUE)), "")</f>
        <v>0</v>
      </c>
      <c r="AG23" s="6">
        <f>IFERROR(IF(TrackTable[[#This Row],[HohMatchedUser]], VLOOKUP(HOH_U, SubtitlePriorityTable[], 4, FALSE), 0), "")</f>
        <v>0</v>
      </c>
      <c r="AH23" s="6" t="b">
        <f>IFERROR(AND(TrackTable[[#This Row],[TypeOk]], NOT(TrackTable[[#This Row],[HOH]]), OR(EXACT(VLOOKUP(HOH_M, Configuration[], 2, FALSE), TRUE), EXACT(VLOOKUP(HOH_U, Configuration[], 2, FALSE), TRUE))), "")</f>
        <v>1</v>
      </c>
      <c r="AI23" s="6">
        <f>IFERROR(IF(TrackTable[[#This Row],[HohOnEsNo]], VLOOKUP("HOH_OnEsNo", SubtitlePriorityTable[], 4, FALSE), 0), "")</f>
        <v>200000</v>
      </c>
      <c r="AJ23" s="6" t="b">
        <f>IFERROR(AND(TrackTable[[#This Row],[TypeOk]], IFERROR(TrackTable[[#This Row],[HOH]], #VALUE!), AND(EXACT(VLOOKUP(HOH_M, Configuration[], 2, FALSE), FALSE), EXACT(VLOOKUP(HOH_U, Configuration[], 2, FALSE), FALSE))), "")</f>
        <v>0</v>
      </c>
      <c r="AK23" s="6">
        <f>IFERROR(IF(TrackTable[[#This Row],[HohOffEsYes]], VLOOKUP("HOH_OffEsYes", SubtitlePriorityTable[], 4, FALSE), 0), "")</f>
        <v>0</v>
      </c>
      <c r="AL23" s="6" t="b">
        <f>IFERROR(AND(TrackTable[[#This Row],[TypeOk]], NOT(TrackTable[[#This Row],[HOH]]), AND(EXACT(VLOOKUP(HOH_M, Configuration[], 2, FALSE), FALSE), EXACT(VLOOKUP(HOH_U, Configuration[], 2, FALSE), FALSE))), "")</f>
        <v>0</v>
      </c>
      <c r="AM23" s="6">
        <f>IFERROR(IF(TrackTable[[#This Row],[HohOffEsNo]], VLOOKUP("HOH_OffEsNo", SubtitlePriorityTable[], 4, FALSE), 0), "")</f>
        <v>0</v>
      </c>
      <c r="AN23" s="6">
        <f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f>
        <v>200000</v>
      </c>
      <c r="AO23" s="6" t="b">
        <f>IFERROR(IF(TrackTable[[#This Row],[TypeOk]], EXACT(VLOOKUP(AR_M, Configuration[], 2, FALSE), TrackTable[[#This Row],[AR]])), "")</f>
        <v>0</v>
      </c>
      <c r="AP23" s="6">
        <f>IFERROR(IF(TrackTable[[#This Row],[ArMatched]], VLOOKUP(AR_M, SubtitlePriorityTable[], 4, FALSE), 0), "")</f>
        <v>0</v>
      </c>
      <c r="AQ23" s="6" t="b">
        <f>IFERROR(IF(TrackTable[[#This Row],[TypeOk]], IF(EXACT(TrackTable[[#This Row],[AR]], "no"), TRUE, FALSE), FALSE), "")</f>
        <v>0</v>
      </c>
      <c r="AR23" s="6">
        <f>IFERROR(IF(TrackTable[[#This Row],[ArNo]], VLOOKUP("AR_No", SubtitlePriorityTable[], 4, FALSE), 0), "")</f>
        <v>0</v>
      </c>
      <c r="AS23" s="6">
        <f>IFERROR(IF(TrackTable[[#This Row],[TypeOk]], MAX(TrackTable[[#This Row],[ArMatchedScore]], TrackTable[[#This Row],[ArNoScore]]), ""), "")</f>
        <v>0</v>
      </c>
      <c r="AT23" s="6" t="b">
        <f>IFERROR(IF(TrackTable[[#This Row],[TypeOk]], IF(EXACT(TrackTable[[#This Row],[HD]], "yes"), TRUE, FALSE)), "")</f>
        <v>0</v>
      </c>
      <c r="AU23" s="6">
        <f>IFERROR(IF(TrackTable[[#This Row],[IsHD]], VLOOKUP("HD_Base", SubtitlePriorityTable[], 4, FALSE), 0), "")</f>
        <v>0</v>
      </c>
      <c r="AV23" s="7" t="b">
        <f>IFERROR(IF(TrackTable[[#This Row],[TypeOk]], IF(MIN(ROW(TrackTable[Track]))=ROW(TrackTable[[#This Row],[Track]]), TRUE, FALSE), ""), "")</f>
        <v>0</v>
      </c>
      <c r="AW23" s="6">
        <f>IFERROR(IF(TrackTable[[#This Row],[TypeOk]], TrackTable[[#This Row],[IsFirstTrack]]*VLOOKUP("First_Track", SubtitleConfiguration[], 3, FALSE), ""), "")</f>
        <v>0</v>
      </c>
      <c r="AX23" s="6">
        <f>IF(ISBLANK(TrackTable[[#This Row],[Track]]), EMPTY_VALUE, TrackTable[[#This Row],[LangScore]]+TrackTable[[#This Row],[MainTypeScore]]+TrackTable[[#This Row],[HohScore]]+TrackTable[[#This Row],[ArScore]]+TrackTable[[#This Row],[HdScore]]+TrackTable[[#This Row],[Track Score]])</f>
        <v>265000</v>
      </c>
      <c r="AY23" s="4">
        <f>IFERROR(_xlfn.RANK.EQ(TrackTable[[#This Row],[Score]],TrackTable[Score], 0), "")</f>
        <v>4</v>
      </c>
      <c r="AZ23" s="4" t="str">
        <f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f>
        <v>05, // [ Lang : "eng", MainType : "DVB", HOH : FALSE, AR : "4x3", HD : "no" ]</v>
      </c>
      <c r="BA23" s="2" t="b">
        <f>VLOOKUP(HOH_M, Configuration[], 2, FALSE)</f>
        <v>1</v>
      </c>
    </row>
    <row r="24" spans="2:53" x14ac:dyDescent="0.3">
      <c r="B24" s="1">
        <v>6</v>
      </c>
      <c r="C24" s="5" t="str">
        <f>IF(ISBLANK(TrackTable[[#This Row],[Track]]), EMPTY_VALUE, IFERROR(VLOOKUP(TrackTable[[#This Row],[Track]], SubtitleTrackDb[], 2, FALSE), EMPTY_VALUE))</f>
        <v>eng</v>
      </c>
      <c r="D24" s="5" t="str">
        <f>IF(ISBLANK(TrackTable[[#This Row],[Track]]), EMPTY_VALUE, IFERROR(VLOOKUP(TrackTable[[#This Row],[Track]], SubtitleTrackDb[], 3, FALSE), EMPTY_VALUE))</f>
        <v>0x12</v>
      </c>
      <c r="E24" s="5" t="str">
        <f>IF(ISBLANK(TrackTable[[#This Row],[Track]]), EMPTY_VALUE, IFERROR(VLOOKUP(TrackTable[[#This Row],[Track]], SubtitleTrackDb[], 4, FALSE), "n/a"))</f>
        <v>DVB</v>
      </c>
      <c r="F24" s="5" t="b">
        <f>IF(ISBLANK(TrackTable[[#This Row],[Track]]), EMPTY_VALUE, IFERROR(VLOOKUP(TrackTable[[#This Row],[Track]], SubtitleTrackDb[], 5, FALSE), "n/a"))</f>
        <v>0</v>
      </c>
      <c r="G24" s="5" t="str">
        <f>IF(ISBLANK(TrackTable[[#This Row],[Track]]), EMPTY_VALUE, IFERROR(VLOOKUP(TrackTable[[#This Row],[Track]], SubtitleTrackDb[], 6, FALSE), "n/a"))</f>
        <v>16x9</v>
      </c>
      <c r="H24" s="5" t="str">
        <f>IF(ISBLANK(TrackTable[[#This Row],[Track]]), EMPTY_VALUE, IFERROR(VLOOKUP(TrackTable[[#This Row],[Track]], SubtitleTrackDb[], 7, FALSE), "n/a"))</f>
        <v>no</v>
      </c>
      <c r="I24" s="5" t="b">
        <f>IF(ISBLANK(TrackTable[[#This Row],[Track]]), EMPTY_VALUE, IF(LEN(TrackTable[[#This Row],[Lang]])=3, TRUE,  FALSE))</f>
        <v>1</v>
      </c>
      <c r="J24" s="5" t="b">
        <f>IF(ISBLANK(TrackTable[[#This Row],[Track]]), EMPTY_VALUE, AND(NOT(ISBLANK(TrackTable[[#This Row],[Track]])), LEN(TrackTable[[#This Row],[Type Code]])=4))</f>
        <v>1</v>
      </c>
      <c r="K24" s="1" t="b">
        <f>IF(ISBLANK(TrackTable[[#This Row],[Track]]), "", IF(AND(TrackTable[[#This Row],[LangOk]], EXACT(VLOOKUP(LANG_USER_KEY, Configuration[], 2, FALSE), TrackTable[[#This Row],[Lang]])), TRUE, FALSE))</f>
        <v>0</v>
      </c>
      <c r="L24" s="1">
        <f>IFERROR(TrackTable[[#This Row],[LangUsrMatched]]*VLOOKUP(LANG_USER, SubtitleConfiguration[], 3, FALSE), "")</f>
        <v>0</v>
      </c>
      <c r="M24" s="1" t="b">
        <f>IF(ISBLANK(TrackTable[[#This Row],[Track]]), "", IF(AND(TrackTable[[#This Row],[LangOk]], EXACT(VLOOKUP(LANG_SUBTTL_KEY, Configuration[], 2, FALSE), TrackTable[[#This Row],[Lang]])), TRUE, FALSE))</f>
        <v>1</v>
      </c>
      <c r="N24" s="1">
        <f>IFERROR(TrackTable[[#This Row],[LangSubttlMatched0]]*VLOOKUP(LANG_SUBTTL, SubtitleConfiguration[], 3, FALSE), "")</f>
        <v>60000</v>
      </c>
      <c r="O24" s="1" t="b">
        <f>IF(ISBLANK(TrackTable[[#This Row],[Track]]), "", IF(AND(TrackTable[[#This Row],[LangOk]], EXACT(VLOOKUP(LANG_SUBTTL_KEY1, Configuration[], 2, FALSE), TrackTable[[#This Row],[Lang]])), TRUE, FALSE))</f>
        <v>0</v>
      </c>
      <c r="P24" s="1">
        <f>IFERROR(TrackTable[[#This Row],[LangSubttlMatched1]]*VLOOKUP(LANG_SUBTTL1, SubtitleConfiguration[], 3, FALSE), "")</f>
        <v>0</v>
      </c>
      <c r="Q24" s="1" t="b">
        <f>IF(ISBLANK(TrackTable[[#This Row],[Track]]), "", IF(AND(TrackTable[[#This Row],[LangOk]], EXACT(VLOOKUP(LANG_OSD_KEY, Configuration[], 2, FALSE), TrackTable[[#This Row],[Lang]])), TRUE, FALSE))</f>
        <v>0</v>
      </c>
      <c r="R24" s="1">
        <f>IFERROR(TrackTable[[#This Row],[LangOsdMatched]]*VLOOKUP(LANG_OSD, SubtitleConfiguration[], 3, FALSE), "")</f>
        <v>0</v>
      </c>
      <c r="S24" s="1" t="b">
        <f>IF(ISBLANK(TrackTable[[#This Row],[Track]]), "", IF(AND(TrackTable[[#This Row],[LangOk]], EXACT(VLOOKUP(LANG_UND_KEY, Configuration[], 2, FALSE), TrackTable[[#This Row],[Lang]])), TRUE, FALSE))</f>
        <v>0</v>
      </c>
      <c r="T24" s="1">
        <f>IFERROR(TrackTable[[#This Row],[LangUndefined]]*VLOOKUP(LANG_UND, SubtitleConfiguration[], 3, FALSE), "")</f>
        <v>0</v>
      </c>
      <c r="U24" s="1" t="b">
        <f>IF(ISBLANK(TrackTable[[#This Row],[Track]]), "", IF(AND(TrackTable[[#This Row],[LangOk]], EXACT(VLOOKUP(LANG_ORG_KEY, Configuration[], 2, FALSE), TrackTable[[#This Row],[Lang]])), TRUE, FALSE))</f>
        <v>0</v>
      </c>
      <c r="V24" s="1">
        <f>IFERROR(TrackTable[[#This Row],[LangOriginal]]*VLOOKUP(LANG_ORG, SubtitleConfiguration[], 3, FALSE), "")</f>
        <v>0</v>
      </c>
      <c r="W24" s="1" t="b">
        <f>IF(ISBLANK(TrackTable[[#This Row],[Track]]), "", IF(AND(TrackTable[[#This Row],[LangOk]], EXACT(VLOOKUP(LANG_DEF_KEY, Configuration[], 2, FALSE), TrackTable[[#This Row],[Lang]])), TRUE, FALSE))</f>
        <v>1</v>
      </c>
      <c r="X24" s="1">
        <f>IFERROR(TrackTable[[#This Row],[LangDefault]]*VLOOKUP(LANG_DEF, SubtitleConfiguration[], 3, FALSE), "")</f>
        <v>10000</v>
      </c>
      <c r="Y24" s="6">
        <f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f>
        <v>60000</v>
      </c>
      <c r="Z24" s="7" t="b">
        <f>IFERROR(IF(TrackTable[[#This Row],[TypeOk]], AND(VLOOKUP("Type_DVB", Configuration[], 2, FALSE), EXACT(TrackTable[[#This Row],[MainType]], "DVB")), FALSE), "")</f>
        <v>1</v>
      </c>
      <c r="AA24" s="7">
        <f>IFERROR(IF(TrackTable[[#This Row],[DvbMatched]], VLOOKUP(DVB_M, SubtitlePriorityTable[], 4, FALSE), 0), "")</f>
        <v>5000</v>
      </c>
      <c r="AB24" s="7">
        <f>IFERROR(IF(AND(NOT(VLOOKUP("Type_DVB", Configuration[], 2, FALSE)), EXACT(TrackTable[[#This Row],[MainType]], "EBU")), VLOOKUP("Type_EBU", SubtitlePriorityTable[], 4, FALSE), 0), "")</f>
        <v>0</v>
      </c>
      <c r="AC24" s="6">
        <f>IFERROR(IF(TrackTable[[#This Row],[TypeOk]], MAX(TrackTable[[#This Row],[DvbScore]], TrackTable[[#This Row],[EubScore]]), ""),  "")</f>
        <v>5000</v>
      </c>
      <c r="AD24" s="6" t="b">
        <f>IFERROR(AND(TrackTable[[#This Row],[TypeOk]], IFERROR(TrackTable[[#This Row],[HOH]], #VALUE!), VLOOKUP(HOH_M, Configuration[], 2, FALSE)), "")</f>
        <v>0</v>
      </c>
      <c r="AE24" s="6">
        <f>IFERROR(IF(TrackTable[[#This Row],[HohMatched]], VLOOKUP(HOH_M, SubtitlePriorityTable[], 4, FALSE), 0), "")</f>
        <v>0</v>
      </c>
      <c r="AF24" s="6" t="b">
        <f>IFERROR(AND(TrackTable[[#This Row],[TypeOk]], IFERROR(TrackTable[[#This Row],[HOH]], #VALUE!), EXACT(VLOOKUP(HOH_U, Configuration[], 2, FALSE), TRUE)), "")</f>
        <v>0</v>
      </c>
      <c r="AG24" s="6">
        <f>IFERROR(IF(TrackTable[[#This Row],[HohMatchedUser]], VLOOKUP(HOH_U, SubtitlePriorityTable[], 4, FALSE), 0), "")</f>
        <v>0</v>
      </c>
      <c r="AH24" s="6" t="b">
        <f>IFERROR(AND(TrackTable[[#This Row],[TypeOk]], NOT(TrackTable[[#This Row],[HOH]]), OR(EXACT(VLOOKUP(HOH_M, Configuration[], 2, FALSE), TRUE), EXACT(VLOOKUP(HOH_U, Configuration[], 2, FALSE), TRUE))), "")</f>
        <v>1</v>
      </c>
      <c r="AI24" s="6">
        <f>IFERROR(IF(TrackTable[[#This Row],[HohOnEsNo]], VLOOKUP("HOH_OnEsNo", SubtitlePriorityTable[], 4, FALSE), 0), "")</f>
        <v>200000</v>
      </c>
      <c r="AJ24" s="6" t="b">
        <f>IFERROR(AND(TrackTable[[#This Row],[TypeOk]], IFERROR(TrackTable[[#This Row],[HOH]], #VALUE!), AND(EXACT(VLOOKUP(HOH_M, Configuration[], 2, FALSE), FALSE), EXACT(VLOOKUP(HOH_U, Configuration[], 2, FALSE), FALSE))), "")</f>
        <v>0</v>
      </c>
      <c r="AK24" s="6">
        <f>IFERROR(IF(TrackTable[[#This Row],[HohOffEsYes]], VLOOKUP("HOH_OffEsYes", SubtitlePriorityTable[], 4, FALSE), 0), "")</f>
        <v>0</v>
      </c>
      <c r="AL24" s="6" t="b">
        <f>IFERROR(AND(TrackTable[[#This Row],[TypeOk]], NOT(TrackTable[[#This Row],[HOH]]), AND(EXACT(VLOOKUP(HOH_M, Configuration[], 2, FALSE), FALSE), EXACT(VLOOKUP(HOH_U, Configuration[], 2, FALSE), FALSE))), "")</f>
        <v>0</v>
      </c>
      <c r="AM24" s="6">
        <f>IFERROR(IF(TrackTable[[#This Row],[HohOffEsNo]], VLOOKUP("HOH_OffEsNo", SubtitlePriorityTable[], 4, FALSE), 0), "")</f>
        <v>0</v>
      </c>
      <c r="AN24" s="6">
        <f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f>
        <v>200000</v>
      </c>
      <c r="AO24" s="6" t="b">
        <f>IFERROR(IF(TrackTable[[#This Row],[TypeOk]], EXACT(VLOOKUP(AR_M, Configuration[], 2, FALSE), TrackTable[[#This Row],[AR]])), "")</f>
        <v>1</v>
      </c>
      <c r="AP24" s="6">
        <f>IFERROR(IF(TrackTable[[#This Row],[ArMatched]], VLOOKUP(AR_M, SubtitlePriorityTable[], 4, FALSE), 0), "")</f>
        <v>30</v>
      </c>
      <c r="AQ24" s="6" t="b">
        <f>IFERROR(IF(TrackTable[[#This Row],[TypeOk]], IF(EXACT(TrackTable[[#This Row],[AR]], "no"), TRUE, FALSE), FALSE), "")</f>
        <v>0</v>
      </c>
      <c r="AR24" s="6">
        <f>IFERROR(IF(TrackTable[[#This Row],[ArNo]], VLOOKUP("AR_No", SubtitlePriorityTable[], 4, FALSE), 0), "")</f>
        <v>0</v>
      </c>
      <c r="AS24" s="6">
        <f>IFERROR(IF(TrackTable[[#This Row],[TypeOk]], MAX(TrackTable[[#This Row],[ArMatchedScore]], TrackTable[[#This Row],[ArNoScore]]), ""), "")</f>
        <v>30</v>
      </c>
      <c r="AT24" s="6" t="b">
        <f>IFERROR(IF(TrackTable[[#This Row],[TypeOk]], IF(EXACT(TrackTable[[#This Row],[HD]], "yes"), TRUE, FALSE)), "")</f>
        <v>0</v>
      </c>
      <c r="AU24" s="6">
        <f>IFERROR(IF(TrackTable[[#This Row],[IsHD]], VLOOKUP("HD_Base", SubtitlePriorityTable[], 4, FALSE), 0), "")</f>
        <v>0</v>
      </c>
      <c r="AV24" s="7" t="b">
        <f>IFERROR(IF(TrackTable[[#This Row],[TypeOk]], IF(MIN(ROW(TrackTable[Track]))=ROW(TrackTable[[#This Row],[Track]]), TRUE, FALSE), ""), "")</f>
        <v>0</v>
      </c>
      <c r="AW24" s="6">
        <f>IFERROR(IF(TrackTable[[#This Row],[TypeOk]], TrackTable[[#This Row],[IsFirstTrack]]*VLOOKUP("First_Track", SubtitleConfiguration[], 3, FALSE), ""), "")</f>
        <v>0</v>
      </c>
      <c r="AX24" s="6">
        <f>IF(ISBLANK(TrackTable[[#This Row],[Track]]), EMPTY_VALUE, TrackTable[[#This Row],[LangScore]]+TrackTable[[#This Row],[MainTypeScore]]+TrackTable[[#This Row],[HohScore]]+TrackTable[[#This Row],[ArScore]]+TrackTable[[#This Row],[HdScore]]+TrackTable[[#This Row],[Track Score]])</f>
        <v>265030</v>
      </c>
      <c r="AY24" s="4">
        <f>IFERROR(_xlfn.RANK.EQ(TrackTable[[#This Row],[Score]],TrackTable[Score], 0), "")</f>
        <v>2</v>
      </c>
      <c r="AZ24" s="4" t="str">
        <f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f>
        <v>06, // [ Lang : "eng", MainType : "DVB", HOH : FALSE, AR : "16x9", HD : "no" ]</v>
      </c>
      <c r="BA24" s="2" t="b">
        <f>IF(TrackTable[[#This Row],[TypeOk]], IF(EXACT(TrackTable[[#This Row],[AR]], "no"), TRUE, FALSE))</f>
        <v>0</v>
      </c>
    </row>
    <row r="25" spans="2:53" x14ac:dyDescent="0.3">
      <c r="B25" s="1">
        <v>11</v>
      </c>
      <c r="C25" s="5" t="str">
        <f>IF(ISBLANK(TrackTable[[#This Row],[Track]]), EMPTY_VALUE, IFERROR(VLOOKUP(TrackTable[[#This Row],[Track]], SubtitleTrackDb[], 2, FALSE), EMPTY_VALUE))</f>
        <v>eng</v>
      </c>
      <c r="D25" s="5" t="str">
        <f>IF(ISBLANK(TrackTable[[#This Row],[Track]]), EMPTY_VALUE, IFERROR(VLOOKUP(TrackTable[[#This Row],[Track]], SubtitleTrackDb[], 3, FALSE), EMPTY_VALUE))</f>
        <v>0x22</v>
      </c>
      <c r="E25" s="5" t="str">
        <f>IF(ISBLANK(TrackTable[[#This Row],[Track]]), EMPTY_VALUE, IFERROR(VLOOKUP(TrackTable[[#This Row],[Track]], SubtitleTrackDb[], 4, FALSE), "n/a"))</f>
        <v>DVB</v>
      </c>
      <c r="F25" s="5" t="b">
        <f>IF(ISBLANK(TrackTable[[#This Row],[Track]]), EMPTY_VALUE, IFERROR(VLOOKUP(TrackTable[[#This Row],[Track]], SubtitleTrackDb[], 5, FALSE), "n/a"))</f>
        <v>1</v>
      </c>
      <c r="G25" s="5" t="str">
        <f>IF(ISBLANK(TrackTable[[#This Row],[Track]]), EMPTY_VALUE, IFERROR(VLOOKUP(TrackTable[[#This Row],[Track]], SubtitleTrackDb[], 6, FALSE), "n/a"))</f>
        <v>16x9</v>
      </c>
      <c r="H25" s="5" t="str">
        <f>IF(ISBLANK(TrackTable[[#This Row],[Track]]), EMPTY_VALUE, IFERROR(VLOOKUP(TrackTable[[#This Row],[Track]], SubtitleTrackDb[], 7, FALSE), "n/a"))</f>
        <v>no</v>
      </c>
      <c r="I25" s="5" t="b">
        <f>IF(ISBLANK(TrackTable[[#This Row],[Track]]), EMPTY_VALUE, IF(LEN(TrackTable[[#This Row],[Lang]])=3, TRUE,  FALSE))</f>
        <v>1</v>
      </c>
      <c r="J25" s="5" t="b">
        <f>IF(ISBLANK(TrackTable[[#This Row],[Track]]), EMPTY_VALUE, AND(NOT(ISBLANK(TrackTable[[#This Row],[Track]])), LEN(TrackTable[[#This Row],[Type Code]])=4))</f>
        <v>1</v>
      </c>
      <c r="K25" s="1" t="b">
        <f>IF(ISBLANK(TrackTable[[#This Row],[Track]]), "", IF(AND(TrackTable[[#This Row],[LangOk]], EXACT(VLOOKUP(LANG_USER_KEY, Configuration[], 2, FALSE), TrackTable[[#This Row],[Lang]])), TRUE, FALSE))</f>
        <v>0</v>
      </c>
      <c r="L25" s="1">
        <f>IFERROR(TrackTable[[#This Row],[LangUsrMatched]]*VLOOKUP(LANG_USER, SubtitleConfiguration[], 3, FALSE), "")</f>
        <v>0</v>
      </c>
      <c r="M25" s="1" t="b">
        <f>IF(ISBLANK(TrackTable[[#This Row],[Track]]), "", IF(AND(TrackTable[[#This Row],[LangOk]], EXACT(VLOOKUP(LANG_SUBTTL_KEY, Configuration[], 2, FALSE), TrackTable[[#This Row],[Lang]])), TRUE, FALSE))</f>
        <v>1</v>
      </c>
      <c r="N25" s="1">
        <f>IFERROR(TrackTable[[#This Row],[LangSubttlMatched0]]*VLOOKUP(LANG_SUBTTL, SubtitleConfiguration[], 3, FALSE), "")</f>
        <v>60000</v>
      </c>
      <c r="O25" s="1" t="b">
        <f>IF(ISBLANK(TrackTable[[#This Row],[Track]]), "", IF(AND(TrackTable[[#This Row],[LangOk]], EXACT(VLOOKUP(LANG_SUBTTL_KEY1, Configuration[], 2, FALSE), TrackTable[[#This Row],[Lang]])), TRUE, FALSE))</f>
        <v>0</v>
      </c>
      <c r="P25" s="1">
        <f>IFERROR(TrackTable[[#This Row],[LangSubttlMatched1]]*VLOOKUP(LANG_SUBTTL1, SubtitleConfiguration[], 3, FALSE), "")</f>
        <v>0</v>
      </c>
      <c r="Q25" s="1" t="b">
        <f>IF(ISBLANK(TrackTable[[#This Row],[Track]]), "", IF(AND(TrackTable[[#This Row],[LangOk]], EXACT(VLOOKUP(LANG_OSD_KEY, Configuration[], 2, FALSE), TrackTable[[#This Row],[Lang]])), TRUE, FALSE))</f>
        <v>0</v>
      </c>
      <c r="R25" s="1">
        <f>IFERROR(TrackTable[[#This Row],[LangOsdMatched]]*VLOOKUP(LANG_OSD, SubtitleConfiguration[], 3, FALSE), "")</f>
        <v>0</v>
      </c>
      <c r="S25" s="1" t="b">
        <f>IF(ISBLANK(TrackTable[[#This Row],[Track]]), "", IF(AND(TrackTable[[#This Row],[LangOk]], EXACT(VLOOKUP(LANG_UND_KEY, Configuration[], 2, FALSE), TrackTable[[#This Row],[Lang]])), TRUE, FALSE))</f>
        <v>0</v>
      </c>
      <c r="T25" s="1">
        <f>IFERROR(TrackTable[[#This Row],[LangUndefined]]*VLOOKUP(LANG_UND, SubtitleConfiguration[], 3, FALSE), "")</f>
        <v>0</v>
      </c>
      <c r="U25" s="1" t="b">
        <f>IF(ISBLANK(TrackTable[[#This Row],[Track]]), "", IF(AND(TrackTable[[#This Row],[LangOk]], EXACT(VLOOKUP(LANG_ORG_KEY, Configuration[], 2, FALSE), TrackTable[[#This Row],[Lang]])), TRUE, FALSE))</f>
        <v>0</v>
      </c>
      <c r="V25" s="1">
        <f>IFERROR(TrackTable[[#This Row],[LangOriginal]]*VLOOKUP(LANG_ORG, SubtitleConfiguration[], 3, FALSE), "")</f>
        <v>0</v>
      </c>
      <c r="W25" s="1" t="b">
        <f>IF(ISBLANK(TrackTable[[#This Row],[Track]]), "", IF(AND(TrackTable[[#This Row],[LangOk]], EXACT(VLOOKUP(LANG_DEF_KEY, Configuration[], 2, FALSE), TrackTable[[#This Row],[Lang]])), TRUE, FALSE))</f>
        <v>1</v>
      </c>
      <c r="X25" s="1">
        <f>IFERROR(TrackTable[[#This Row],[LangDefault]]*VLOOKUP(LANG_DEF, SubtitleConfiguration[], 3, FALSE), "")</f>
        <v>10000</v>
      </c>
      <c r="Y25" s="6">
        <f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f>
        <v>60000</v>
      </c>
      <c r="Z25" s="7" t="b">
        <f>IFERROR(IF(TrackTable[[#This Row],[TypeOk]], AND(VLOOKUP("Type_DVB", Configuration[], 2, FALSE), EXACT(TrackTable[[#This Row],[MainType]], "DVB")), FALSE), "")</f>
        <v>1</v>
      </c>
      <c r="AA25" s="7">
        <f>IFERROR(IF(TrackTable[[#This Row],[DvbMatched]], VLOOKUP(DVB_M, SubtitlePriorityTable[], 4, FALSE), 0), "")</f>
        <v>5000</v>
      </c>
      <c r="AB25" s="7">
        <f>IFERROR(IF(AND(NOT(VLOOKUP("Type_DVB", Configuration[], 2, FALSE)), EXACT(TrackTable[[#This Row],[MainType]], "EBU")), VLOOKUP("Type_EBU", SubtitlePriorityTable[], 4, FALSE), 0), "")</f>
        <v>0</v>
      </c>
      <c r="AC25" s="6">
        <f>IFERROR(IF(TrackTable[[#This Row],[TypeOk]], MAX(TrackTable[[#This Row],[DvbScore]], TrackTable[[#This Row],[EubScore]]), ""),  "")</f>
        <v>5000</v>
      </c>
      <c r="AD25" s="6" t="b">
        <f>IFERROR(AND(TrackTable[[#This Row],[TypeOk]], IFERROR(TrackTable[[#This Row],[HOH]], #VALUE!), VLOOKUP(HOH_M, Configuration[], 2, FALSE)), "")</f>
        <v>1</v>
      </c>
      <c r="AE25" s="6">
        <f>IFERROR(IF(TrackTable[[#This Row],[HohMatched]], VLOOKUP(HOH_M, SubtitlePriorityTable[], 4, FALSE), 0), "")</f>
        <v>300000</v>
      </c>
      <c r="AF25" s="6" t="b">
        <f>IFERROR(AND(TrackTable[[#This Row],[TypeOk]], IFERROR(TrackTable[[#This Row],[HOH]], #VALUE!), EXACT(VLOOKUP(HOH_U, Configuration[], 2, FALSE), TRUE)), "")</f>
        <v>0</v>
      </c>
      <c r="AG25" s="6">
        <f>IFERROR(IF(TrackTable[[#This Row],[HohMatchedUser]], VLOOKUP(HOH_U, SubtitlePriorityTable[], 4, FALSE), 0), "")</f>
        <v>0</v>
      </c>
      <c r="AH25" s="6" t="b">
        <f>IFERROR(AND(TrackTable[[#This Row],[TypeOk]], NOT(TrackTable[[#This Row],[HOH]]), OR(EXACT(VLOOKUP(HOH_M, Configuration[], 2, FALSE), TRUE), EXACT(VLOOKUP(HOH_U, Configuration[], 2, FALSE), TRUE))), "")</f>
        <v>0</v>
      </c>
      <c r="AI25" s="6">
        <f>IFERROR(IF(TrackTable[[#This Row],[HohOnEsNo]], VLOOKUP("HOH_OnEsNo", SubtitlePriorityTable[], 4, FALSE), 0), "")</f>
        <v>0</v>
      </c>
      <c r="AJ25" s="6" t="b">
        <f>IFERROR(AND(TrackTable[[#This Row],[TypeOk]], IFERROR(TrackTable[[#This Row],[HOH]], #VALUE!), AND(EXACT(VLOOKUP(HOH_M, Configuration[], 2, FALSE), FALSE), EXACT(VLOOKUP(HOH_U, Configuration[], 2, FALSE), FALSE))), "")</f>
        <v>0</v>
      </c>
      <c r="AK25" s="6">
        <f>IFERROR(IF(TrackTable[[#This Row],[HohOffEsYes]], VLOOKUP("HOH_OffEsYes", SubtitlePriorityTable[], 4, FALSE), 0), "")</f>
        <v>0</v>
      </c>
      <c r="AL25" s="6" t="b">
        <f>IFERROR(AND(TrackTable[[#This Row],[TypeOk]], NOT(TrackTable[[#This Row],[HOH]]), AND(EXACT(VLOOKUP(HOH_M, Configuration[], 2, FALSE), FALSE), EXACT(VLOOKUP(HOH_U, Configuration[], 2, FALSE), FALSE))), "")</f>
        <v>0</v>
      </c>
      <c r="AM25" s="6">
        <f>IFERROR(IF(TrackTable[[#This Row],[HohOffEsNo]], VLOOKUP("HOH_OffEsNo", SubtitlePriorityTable[], 4, FALSE), 0), "")</f>
        <v>0</v>
      </c>
      <c r="AN25" s="6">
        <f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f>
        <v>300000</v>
      </c>
      <c r="AO25" s="6" t="b">
        <f>IFERROR(IF(TrackTable[[#This Row],[TypeOk]], EXACT(VLOOKUP(AR_M, Configuration[], 2, FALSE), TrackTable[[#This Row],[AR]])), "")</f>
        <v>1</v>
      </c>
      <c r="AP25" s="6">
        <f>IFERROR(IF(TrackTable[[#This Row],[ArMatched]], VLOOKUP(AR_M, SubtitlePriorityTable[], 4, FALSE), 0), "")</f>
        <v>30</v>
      </c>
      <c r="AQ25" s="6" t="b">
        <f>IFERROR(IF(TrackTable[[#This Row],[TypeOk]], IF(EXACT(TrackTable[[#This Row],[AR]], "no"), TRUE, FALSE), FALSE), "")</f>
        <v>0</v>
      </c>
      <c r="AR25" s="6">
        <f>IFERROR(IF(TrackTable[[#This Row],[ArNo]], VLOOKUP("AR_No", SubtitlePriorityTable[], 4, FALSE), 0), "")</f>
        <v>0</v>
      </c>
      <c r="AS25" s="6">
        <f>IFERROR(IF(TrackTable[[#This Row],[TypeOk]], MAX(TrackTable[[#This Row],[ArMatchedScore]], TrackTable[[#This Row],[ArNoScore]]), ""), "")</f>
        <v>30</v>
      </c>
      <c r="AT25" s="6" t="b">
        <f>IFERROR(IF(TrackTable[[#This Row],[TypeOk]], IF(EXACT(TrackTable[[#This Row],[HD]], "yes"), TRUE, FALSE)), "")</f>
        <v>0</v>
      </c>
      <c r="AU25" s="6">
        <f>IFERROR(IF(TrackTable[[#This Row],[IsHD]], VLOOKUP("HD_Base", SubtitlePriorityTable[], 4, FALSE), 0), "")</f>
        <v>0</v>
      </c>
      <c r="AV25" s="7" t="b">
        <f>IFERROR(IF(TrackTable[[#This Row],[TypeOk]], IF(MIN(ROW(TrackTable[Track]))=ROW(TrackTable[[#This Row],[Track]]), TRUE, FALSE), ""), "")</f>
        <v>0</v>
      </c>
      <c r="AW25" s="6">
        <f>IFERROR(IF(TrackTable[[#This Row],[TypeOk]], TrackTable[[#This Row],[IsFirstTrack]]*VLOOKUP("First_Track", SubtitleConfiguration[], 3, FALSE), ""), "")</f>
        <v>0</v>
      </c>
      <c r="AX25" s="6">
        <f>IF(ISBLANK(TrackTable[[#This Row],[Track]]), EMPTY_VALUE, TrackTable[[#This Row],[LangScore]]+TrackTable[[#This Row],[MainTypeScore]]+TrackTable[[#This Row],[HohScore]]+TrackTable[[#This Row],[ArScore]]+TrackTable[[#This Row],[HdScore]]+TrackTable[[#This Row],[Track Score]])</f>
        <v>365030</v>
      </c>
      <c r="AY25" s="4">
        <f>IFERROR(_xlfn.RANK.EQ(TrackTable[[#This Row],[Score]],TrackTable[Score], 0), "")</f>
        <v>1</v>
      </c>
      <c r="AZ25" s="4" t="str">
        <f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f>
        <v>11, // [ Lang : "eng", MainType : "DVB", HOH : TRUE, AR : "16x9", HD : "no" ]</v>
      </c>
      <c r="BA25" s="2" t="b">
        <f>EXACT(VLOOKUP("Lang_User", SubtitleConfiguration[], 2, FALSE), IF(LEN(TrackTable[Lang])&gt;=3, TrackTable[Lang], "error"))</f>
        <v>0</v>
      </c>
    </row>
    <row r="26" spans="2:53" x14ac:dyDescent="0.3">
      <c r="C26" s="5" t="str">
        <f>IF(ISBLANK(TrackTable[[#This Row],[Track]]), EMPTY_VALUE, IFERROR(VLOOKUP(TrackTable[[#This Row],[Track]], SubtitleTrackDb[], 2, FALSE), EMPTY_VALUE))</f>
        <v/>
      </c>
      <c r="D26" s="5" t="str">
        <f>IF(ISBLANK(TrackTable[[#This Row],[Track]]), EMPTY_VALUE, IFERROR(VLOOKUP(TrackTable[[#This Row],[Track]], SubtitleTrackDb[], 3, FALSE), EMPTY_VALUE))</f>
        <v/>
      </c>
      <c r="E26" s="5" t="str">
        <f>IF(ISBLANK(TrackTable[[#This Row],[Track]]), EMPTY_VALUE, IFERROR(VLOOKUP(TrackTable[[#This Row],[Track]], SubtitleTrackDb[], 4, FALSE), "n/a"))</f>
        <v/>
      </c>
      <c r="F26" s="5" t="str">
        <f>IF(ISBLANK(TrackTable[[#This Row],[Track]]), EMPTY_VALUE, IFERROR(VLOOKUP(TrackTable[[#This Row],[Track]], SubtitleTrackDb[], 5, FALSE), "n/a"))</f>
        <v/>
      </c>
      <c r="G26" s="5" t="str">
        <f>IF(ISBLANK(TrackTable[[#This Row],[Track]]), EMPTY_VALUE, IFERROR(VLOOKUP(TrackTable[[#This Row],[Track]], SubtitleTrackDb[], 6, FALSE), "n/a"))</f>
        <v/>
      </c>
      <c r="H26" s="5" t="str">
        <f>IF(ISBLANK(TrackTable[[#This Row],[Track]]), EMPTY_VALUE, IFERROR(VLOOKUP(TrackTable[[#This Row],[Track]], SubtitleTrackDb[], 7, FALSE), "n/a"))</f>
        <v/>
      </c>
      <c r="I26" s="5" t="str">
        <f>IF(ISBLANK(TrackTable[[#This Row],[Track]]), EMPTY_VALUE, IF(LEN(TrackTable[[#This Row],[Lang]])=3, TRUE,  FALSE))</f>
        <v/>
      </c>
      <c r="J26" s="5" t="str">
        <f>IF(ISBLANK(TrackTable[[#This Row],[Track]]), EMPTY_VALUE, AND(NOT(ISBLANK(TrackTable[[#This Row],[Track]])), LEN(TrackTable[[#This Row],[Type Code]])=4))</f>
        <v/>
      </c>
      <c r="K26" s="1" t="str">
        <f>IF(ISBLANK(TrackTable[[#This Row],[Track]]), "", IF(AND(TrackTable[[#This Row],[LangOk]], EXACT(VLOOKUP(LANG_USER_KEY, Configuration[], 2, FALSE), TrackTable[[#This Row],[Lang]])), TRUE, FALSE))</f>
        <v/>
      </c>
      <c r="L26" s="1" t="str">
        <f>IFERROR(TrackTable[[#This Row],[LangUsrMatched]]*VLOOKUP(LANG_USER, SubtitleConfiguration[], 3, FALSE), "")</f>
        <v/>
      </c>
      <c r="M26" s="1" t="str">
        <f>IF(ISBLANK(TrackTable[[#This Row],[Track]]), "", IF(AND(TrackTable[[#This Row],[LangOk]], EXACT(VLOOKUP(LANG_SUBTTL_KEY, Configuration[], 2, FALSE), TrackTable[[#This Row],[Lang]])), TRUE, FALSE))</f>
        <v/>
      </c>
      <c r="N26" s="1" t="str">
        <f>IFERROR(TrackTable[[#This Row],[LangSubttlMatched0]]*VLOOKUP(LANG_SUBTTL, SubtitleConfiguration[], 3, FALSE), "")</f>
        <v/>
      </c>
      <c r="O26" s="1" t="str">
        <f>IF(ISBLANK(TrackTable[[#This Row],[Track]]), "", IF(AND(TrackTable[[#This Row],[LangOk]], EXACT(VLOOKUP(LANG_SUBTTL_KEY1, Configuration[], 2, FALSE), TrackTable[[#This Row],[Lang]])), TRUE, FALSE))</f>
        <v/>
      </c>
      <c r="P26" s="1" t="str">
        <f>IFERROR(TrackTable[[#This Row],[LangSubttlMatched1]]*VLOOKUP(LANG_SUBTTL1, SubtitleConfiguration[], 3, FALSE), "")</f>
        <v/>
      </c>
      <c r="Q26" s="1" t="str">
        <f>IF(ISBLANK(TrackTable[[#This Row],[Track]]), "", IF(AND(TrackTable[[#This Row],[LangOk]], EXACT(VLOOKUP(LANG_OSD_KEY, Configuration[], 2, FALSE), TrackTable[[#This Row],[Lang]])), TRUE, FALSE))</f>
        <v/>
      </c>
      <c r="R26" s="1" t="str">
        <f>IFERROR(TrackTable[[#This Row],[LangOsdMatched]]*VLOOKUP(LANG_OSD, SubtitleConfiguration[], 3, FALSE), "")</f>
        <v/>
      </c>
      <c r="S26" s="1" t="str">
        <f>IF(ISBLANK(TrackTable[[#This Row],[Track]]), "", IF(AND(TrackTable[[#This Row],[LangOk]], EXACT(VLOOKUP(LANG_UND_KEY, Configuration[], 2, FALSE), TrackTable[[#This Row],[Lang]])), TRUE, FALSE))</f>
        <v/>
      </c>
      <c r="T26" s="1" t="str">
        <f>IFERROR(TrackTable[[#This Row],[LangUndefined]]*VLOOKUP(LANG_UND, SubtitleConfiguration[], 3, FALSE), "")</f>
        <v/>
      </c>
      <c r="U26" s="1" t="str">
        <f>IF(ISBLANK(TrackTable[[#This Row],[Track]]), "", IF(AND(TrackTable[[#This Row],[LangOk]], EXACT(VLOOKUP(LANG_ORG_KEY, Configuration[], 2, FALSE), TrackTable[[#This Row],[Lang]])), TRUE, FALSE))</f>
        <v/>
      </c>
      <c r="V26" s="1" t="str">
        <f>IFERROR(TrackTable[[#This Row],[LangOriginal]]*VLOOKUP(LANG_ORG, SubtitleConfiguration[], 3, FALSE), "")</f>
        <v/>
      </c>
      <c r="W26" s="1" t="str">
        <f>IF(ISBLANK(TrackTable[[#This Row],[Track]]), "", IF(AND(TrackTable[[#This Row],[LangOk]], EXACT(VLOOKUP(LANG_DEF_KEY, Configuration[], 2, FALSE), TrackTable[[#This Row],[Lang]])), TRUE, FALSE))</f>
        <v/>
      </c>
      <c r="X26" s="1" t="str">
        <f>IFERROR(TrackTable[[#This Row],[LangDefault]]*VLOOKUP(LANG_DEF, SubtitleConfiguration[], 3, FALSE), "")</f>
        <v/>
      </c>
      <c r="Y26" s="6" t="str">
        <f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f>
        <v/>
      </c>
      <c r="Z26" s="7" t="str">
        <f>IFERROR(IF(TrackTable[[#This Row],[TypeOk]], AND(VLOOKUP("Type_DVB", Configuration[], 2, FALSE), EXACT(TrackTable[[#This Row],[MainType]], "DVB")), FALSE), "")</f>
        <v/>
      </c>
      <c r="AA26" s="7" t="str">
        <f>IFERROR(IF(TrackTable[[#This Row],[DvbMatched]], VLOOKUP(DVB_M, SubtitlePriorityTable[], 4, FALSE), 0), "")</f>
        <v/>
      </c>
      <c r="AB26" s="7">
        <f>IFERROR(IF(AND(NOT(VLOOKUP("Type_DVB", Configuration[], 2, FALSE)), EXACT(TrackTable[[#This Row],[MainType]], "EBU")), VLOOKUP("Type_EBU", SubtitlePriorityTable[], 4, FALSE), 0), "")</f>
        <v>0</v>
      </c>
      <c r="AC26" s="6" t="str">
        <f>IFERROR(IF(TrackTable[[#This Row],[TypeOk]], MAX(TrackTable[[#This Row],[DvbScore]], TrackTable[[#This Row],[EubScore]]), ""),  "")</f>
        <v/>
      </c>
      <c r="AD26" s="6" t="str">
        <f>IFERROR(AND(TrackTable[[#This Row],[TypeOk]], IFERROR(TrackTable[[#This Row],[HOH]], #VALUE!), VLOOKUP(HOH_M, Configuration[], 2, FALSE)), "")</f>
        <v/>
      </c>
      <c r="AE26" s="6" t="str">
        <f>IFERROR(IF(TrackTable[[#This Row],[HohMatched]], VLOOKUP(HOH_M, SubtitlePriorityTable[], 4, FALSE), 0), "")</f>
        <v/>
      </c>
      <c r="AF26" s="6" t="str">
        <f>IFERROR(AND(TrackTable[[#This Row],[TypeOk]], IFERROR(TrackTable[[#This Row],[HOH]], #VALUE!), EXACT(VLOOKUP(HOH_U, Configuration[], 2, FALSE), TRUE)), "")</f>
        <v/>
      </c>
      <c r="AG26" s="6" t="str">
        <f>IFERROR(IF(TrackTable[[#This Row],[HohMatchedUser]], VLOOKUP(HOH_U, SubtitlePriorityTable[], 4, FALSE), 0), "")</f>
        <v/>
      </c>
      <c r="AH26" s="6" t="str">
        <f>IFERROR(AND(TrackTable[[#This Row],[TypeOk]], NOT(TrackTable[[#This Row],[HOH]]), OR(EXACT(VLOOKUP(HOH_M, Configuration[], 2, FALSE), TRUE), EXACT(VLOOKUP(HOH_U, Configuration[], 2, FALSE), TRUE))), "")</f>
        <v/>
      </c>
      <c r="AI26" s="6" t="str">
        <f>IFERROR(IF(TrackTable[[#This Row],[HohOnEsNo]], VLOOKUP("HOH_OnEsNo", SubtitlePriorityTable[], 4, FALSE), 0), "")</f>
        <v/>
      </c>
      <c r="AJ26" s="6" t="str">
        <f>IFERROR(AND(TrackTable[[#This Row],[TypeOk]], IFERROR(TrackTable[[#This Row],[HOH]], #VALUE!), AND(EXACT(VLOOKUP(HOH_M, Configuration[], 2, FALSE), FALSE), EXACT(VLOOKUP(HOH_U, Configuration[], 2, FALSE), FALSE))), "")</f>
        <v/>
      </c>
      <c r="AK26" s="6" t="str">
        <f>IFERROR(IF(TrackTable[[#This Row],[HohOffEsYes]], VLOOKUP("HOH_OffEsYes", SubtitlePriorityTable[], 4, FALSE), 0), "")</f>
        <v/>
      </c>
      <c r="AL26" s="6" t="str">
        <f>IFERROR(AND(TrackTable[[#This Row],[TypeOk]], NOT(TrackTable[[#This Row],[HOH]]), AND(EXACT(VLOOKUP(HOH_M, Configuration[], 2, FALSE), FALSE), EXACT(VLOOKUP(HOH_U, Configuration[], 2, FALSE), FALSE))), "")</f>
        <v/>
      </c>
      <c r="AM26" s="6" t="str">
        <f>IFERROR(IF(TrackTable[[#This Row],[HohOffEsNo]], VLOOKUP("HOH_OffEsNo", SubtitlePriorityTable[], 4, FALSE), 0), "")</f>
        <v/>
      </c>
      <c r="AN26" s="6" t="str">
        <f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f>
        <v/>
      </c>
      <c r="AO26" s="6" t="str">
        <f>IFERROR(IF(TrackTable[[#This Row],[TypeOk]], EXACT(VLOOKUP(AR_M, Configuration[], 2, FALSE), TrackTable[[#This Row],[AR]])), "")</f>
        <v/>
      </c>
      <c r="AP26" s="6" t="str">
        <f>IFERROR(IF(TrackTable[[#This Row],[ArMatched]], VLOOKUP(AR_M, SubtitlePriorityTable[], 4, FALSE), 0), "")</f>
        <v/>
      </c>
      <c r="AQ26" s="6" t="str">
        <f>IFERROR(IF(TrackTable[[#This Row],[TypeOk]], IF(EXACT(TrackTable[[#This Row],[AR]], "no"), TRUE, FALSE), FALSE), "")</f>
        <v/>
      </c>
      <c r="AR26" s="6" t="str">
        <f>IFERROR(IF(TrackTable[[#This Row],[ArNo]], VLOOKUP("AR_No", SubtitlePriorityTable[], 4, FALSE), 0), "")</f>
        <v/>
      </c>
      <c r="AS26" s="6" t="str">
        <f>IFERROR(IF(TrackTable[[#This Row],[TypeOk]], MAX(TrackTable[[#This Row],[ArMatchedScore]], TrackTable[[#This Row],[ArNoScore]]), ""), "")</f>
        <v/>
      </c>
      <c r="AT26" s="6" t="str">
        <f>IFERROR(IF(TrackTable[[#This Row],[TypeOk]], IF(EXACT(TrackTable[[#This Row],[HD]], "yes"), TRUE, FALSE)), "")</f>
        <v/>
      </c>
      <c r="AU26" s="6" t="str">
        <f>IFERROR(IF(TrackTable[[#This Row],[IsHD]], VLOOKUP("HD_Base", SubtitlePriorityTable[], 4, FALSE), 0), "")</f>
        <v/>
      </c>
      <c r="AV26" s="7" t="str">
        <f>IFERROR(IF(TrackTable[[#This Row],[TypeOk]], IF(MIN(ROW(TrackTable[Track]))=ROW(TrackTable[[#This Row],[Track]]), TRUE, FALSE), ""), "")</f>
        <v/>
      </c>
      <c r="AW26" s="6" t="str">
        <f>IFERROR(IF(TrackTable[[#This Row],[TypeOk]], TrackTable[[#This Row],[IsFirstTrack]]*VLOOKUP("First_Track", SubtitleConfiguration[], 3, FALSE), ""), "")</f>
        <v/>
      </c>
      <c r="AX26" s="6" t="str">
        <f>IF(ISBLANK(TrackTable[[#This Row],[Track]]), EMPTY_VALUE, TrackTable[[#This Row],[LangScore]]+TrackTable[[#This Row],[MainTypeScore]]+TrackTable[[#This Row],[HohScore]]+TrackTable[[#This Row],[ArScore]]+TrackTable[[#This Row],[HdScore]]+TrackTable[[#This Row],[Track Score]])</f>
        <v/>
      </c>
      <c r="AY26" s="4" t="str">
        <f>IFERROR(_xlfn.RANK.EQ(TrackTable[[#This Row],[Score]],TrackTable[Score], 0), "")</f>
        <v/>
      </c>
      <c r="AZ26" s="4" t="str">
        <f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f>
        <v/>
      </c>
      <c r="BA26" s="2" t="str">
        <f>IFERROR(TrackTable[[#This Row],[TypeOk]], FALSE)</f>
        <v/>
      </c>
    </row>
    <row r="27" spans="2:53" x14ac:dyDescent="0.3">
      <c r="C27" s="5" t="str">
        <f>IF(ISBLANK(TrackTable[[#This Row],[Track]]), EMPTY_VALUE, IFERROR(VLOOKUP(TrackTable[[#This Row],[Track]], SubtitleTrackDb[], 2, FALSE), EMPTY_VALUE))</f>
        <v/>
      </c>
      <c r="D27" s="5" t="str">
        <f>IF(ISBLANK(TrackTable[[#This Row],[Track]]), EMPTY_VALUE, IFERROR(VLOOKUP(TrackTable[[#This Row],[Track]], SubtitleTrackDb[], 3, FALSE), EMPTY_VALUE))</f>
        <v/>
      </c>
      <c r="E27" s="5" t="str">
        <f>IF(ISBLANK(TrackTable[[#This Row],[Track]]), EMPTY_VALUE, IFERROR(VLOOKUP(TrackTable[[#This Row],[Track]], SubtitleTrackDb[], 4, FALSE), "n/a"))</f>
        <v/>
      </c>
      <c r="F27" s="5" t="str">
        <f>IF(ISBLANK(TrackTable[[#This Row],[Track]]), EMPTY_VALUE, IFERROR(VLOOKUP(TrackTable[[#This Row],[Track]], SubtitleTrackDb[], 5, FALSE), "n/a"))</f>
        <v/>
      </c>
      <c r="G27" s="5" t="str">
        <f>IF(ISBLANK(TrackTable[[#This Row],[Track]]), EMPTY_VALUE, IFERROR(VLOOKUP(TrackTable[[#This Row],[Track]], SubtitleTrackDb[], 6, FALSE), "n/a"))</f>
        <v/>
      </c>
      <c r="H27" s="5" t="str">
        <f>IF(ISBLANK(TrackTable[[#This Row],[Track]]), EMPTY_VALUE, IFERROR(VLOOKUP(TrackTable[[#This Row],[Track]], SubtitleTrackDb[], 7, FALSE), "n/a"))</f>
        <v/>
      </c>
      <c r="I27" s="5" t="str">
        <f>IF(ISBLANK(TrackTable[[#This Row],[Track]]), EMPTY_VALUE, IF(LEN(TrackTable[[#This Row],[Lang]])=3, TRUE,  FALSE))</f>
        <v/>
      </c>
      <c r="J27" s="5" t="str">
        <f>IF(ISBLANK(TrackTable[[#This Row],[Track]]), EMPTY_VALUE, AND(NOT(ISBLANK(TrackTable[[#This Row],[Track]])), LEN(TrackTable[[#This Row],[Type Code]])=4))</f>
        <v/>
      </c>
      <c r="K27" s="1" t="str">
        <f>IF(ISBLANK(TrackTable[[#This Row],[Track]]), "", IF(AND(TrackTable[[#This Row],[LangOk]], EXACT(VLOOKUP(LANG_USER_KEY, Configuration[], 2, FALSE), TrackTable[[#This Row],[Lang]])), TRUE, FALSE))</f>
        <v/>
      </c>
      <c r="L27" s="1" t="str">
        <f>IFERROR(TrackTable[[#This Row],[LangUsrMatched]]*VLOOKUP(LANG_USER, SubtitleConfiguration[], 3, FALSE), "")</f>
        <v/>
      </c>
      <c r="M27" s="1" t="str">
        <f>IF(ISBLANK(TrackTable[[#This Row],[Track]]), "", IF(AND(TrackTable[[#This Row],[LangOk]], EXACT(VLOOKUP(LANG_SUBTTL_KEY, Configuration[], 2, FALSE), TrackTable[[#This Row],[Lang]])), TRUE, FALSE))</f>
        <v/>
      </c>
      <c r="N27" s="1" t="str">
        <f>IFERROR(TrackTable[[#This Row],[LangSubttlMatched0]]*VLOOKUP(LANG_SUBTTL, SubtitleConfiguration[], 3, FALSE), "")</f>
        <v/>
      </c>
      <c r="O27" s="1" t="str">
        <f>IF(ISBLANK(TrackTable[[#This Row],[Track]]), "", IF(AND(TrackTable[[#This Row],[LangOk]], EXACT(VLOOKUP(LANG_SUBTTL_KEY1, Configuration[], 2, FALSE), TrackTable[[#This Row],[Lang]])), TRUE, FALSE))</f>
        <v/>
      </c>
      <c r="P27" s="1" t="str">
        <f>IFERROR(TrackTable[[#This Row],[LangSubttlMatched1]]*VLOOKUP(LANG_SUBTTL1, SubtitleConfiguration[], 3, FALSE), "")</f>
        <v/>
      </c>
      <c r="Q27" s="1" t="str">
        <f>IF(ISBLANK(TrackTable[[#This Row],[Track]]), "", IF(AND(TrackTable[[#This Row],[LangOk]], EXACT(VLOOKUP(LANG_OSD_KEY, Configuration[], 2, FALSE), TrackTable[[#This Row],[Lang]])), TRUE, FALSE))</f>
        <v/>
      </c>
      <c r="R27" s="1" t="str">
        <f>IFERROR(TrackTable[[#This Row],[LangOsdMatched]]*VLOOKUP(LANG_OSD, SubtitleConfiguration[], 3, FALSE), "")</f>
        <v/>
      </c>
      <c r="S27" s="1" t="str">
        <f>IF(ISBLANK(TrackTable[[#This Row],[Track]]), "", IF(AND(TrackTable[[#This Row],[LangOk]], EXACT(VLOOKUP(LANG_UND_KEY, Configuration[], 2, FALSE), TrackTable[[#This Row],[Lang]])), TRUE, FALSE))</f>
        <v/>
      </c>
      <c r="T27" s="1" t="str">
        <f>IFERROR(TrackTable[[#This Row],[LangUndefined]]*VLOOKUP(LANG_UND, SubtitleConfiguration[], 3, FALSE), "")</f>
        <v/>
      </c>
      <c r="U27" s="1" t="str">
        <f>IF(ISBLANK(TrackTable[[#This Row],[Track]]), "", IF(AND(TrackTable[[#This Row],[LangOk]], EXACT(VLOOKUP(LANG_ORG_KEY, Configuration[], 2, FALSE), TrackTable[[#This Row],[Lang]])), TRUE, FALSE))</f>
        <v/>
      </c>
      <c r="V27" s="1" t="str">
        <f>IFERROR(TrackTable[[#This Row],[LangOriginal]]*VLOOKUP(LANG_ORG, SubtitleConfiguration[], 3, FALSE), "")</f>
        <v/>
      </c>
      <c r="W27" s="1" t="str">
        <f>IF(ISBLANK(TrackTable[[#This Row],[Track]]), "", IF(AND(TrackTable[[#This Row],[LangOk]], EXACT(VLOOKUP(LANG_DEF_KEY, Configuration[], 2, FALSE), TrackTable[[#This Row],[Lang]])), TRUE, FALSE))</f>
        <v/>
      </c>
      <c r="X27" s="1" t="str">
        <f>IFERROR(TrackTable[[#This Row],[LangDefault]]*VLOOKUP(LANG_DEF, SubtitleConfiguration[], 3, FALSE), "")</f>
        <v/>
      </c>
      <c r="Y27" s="6" t="str">
        <f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f>
        <v/>
      </c>
      <c r="Z27" s="7" t="str">
        <f>IFERROR(IF(TrackTable[[#This Row],[TypeOk]], AND(VLOOKUP("Type_DVB", Configuration[], 2, FALSE), EXACT(TrackTable[[#This Row],[MainType]], "DVB")), FALSE), "")</f>
        <v/>
      </c>
      <c r="AA27" s="7" t="str">
        <f>IFERROR(IF(TrackTable[[#This Row],[DvbMatched]], VLOOKUP(DVB_M, SubtitlePriorityTable[], 4, FALSE), 0), "")</f>
        <v/>
      </c>
      <c r="AB27" s="7">
        <f>IFERROR(IF(AND(NOT(VLOOKUP("Type_DVB", Configuration[], 2, FALSE)), EXACT(TrackTable[[#This Row],[MainType]], "EBU")), VLOOKUP("Type_EBU", SubtitlePriorityTable[], 4, FALSE), 0), "")</f>
        <v>0</v>
      </c>
      <c r="AC27" s="6" t="str">
        <f>IFERROR(IF(TrackTable[[#This Row],[TypeOk]], MAX(TrackTable[[#This Row],[DvbScore]], TrackTable[[#This Row],[EubScore]]), ""),  "")</f>
        <v/>
      </c>
      <c r="AD27" s="6" t="str">
        <f>IFERROR(AND(TrackTable[[#This Row],[TypeOk]], IFERROR(TrackTable[[#This Row],[HOH]], #VALUE!), VLOOKUP(HOH_M, Configuration[], 2, FALSE)), "")</f>
        <v/>
      </c>
      <c r="AE27" s="6" t="str">
        <f>IFERROR(IF(TrackTable[[#This Row],[HohMatched]], VLOOKUP(HOH_M, SubtitlePriorityTable[], 4, FALSE), 0), "")</f>
        <v/>
      </c>
      <c r="AF27" s="6" t="str">
        <f>IFERROR(AND(TrackTable[[#This Row],[TypeOk]], IFERROR(TrackTable[[#This Row],[HOH]], #VALUE!), EXACT(VLOOKUP(HOH_U, Configuration[], 2, FALSE), TRUE)), "")</f>
        <v/>
      </c>
      <c r="AG27" s="6" t="str">
        <f>IFERROR(IF(TrackTable[[#This Row],[HohMatchedUser]], VLOOKUP(HOH_U, SubtitlePriorityTable[], 4, FALSE), 0), "")</f>
        <v/>
      </c>
      <c r="AH27" s="6" t="str">
        <f>IFERROR(AND(TrackTable[[#This Row],[TypeOk]], NOT(TrackTable[[#This Row],[HOH]]), OR(EXACT(VLOOKUP(HOH_M, Configuration[], 2, FALSE), TRUE), EXACT(VLOOKUP(HOH_U, Configuration[], 2, FALSE), TRUE))), "")</f>
        <v/>
      </c>
      <c r="AI27" s="6" t="str">
        <f>IFERROR(IF(TrackTable[[#This Row],[HohOnEsNo]], VLOOKUP("HOH_OnEsNo", SubtitlePriorityTable[], 4, FALSE), 0), "")</f>
        <v/>
      </c>
      <c r="AJ27" s="6" t="str">
        <f>IFERROR(AND(TrackTable[[#This Row],[TypeOk]], IFERROR(TrackTable[[#This Row],[HOH]], #VALUE!), AND(EXACT(VLOOKUP(HOH_M, Configuration[], 2, FALSE), FALSE), EXACT(VLOOKUP(HOH_U, Configuration[], 2, FALSE), FALSE))), "")</f>
        <v/>
      </c>
      <c r="AK27" s="6" t="str">
        <f>IFERROR(IF(TrackTable[[#This Row],[HohOffEsYes]], VLOOKUP("HOH_OffEsYes", SubtitlePriorityTable[], 4, FALSE), 0), "")</f>
        <v/>
      </c>
      <c r="AL27" s="6" t="str">
        <f>IFERROR(AND(TrackTable[[#This Row],[TypeOk]], NOT(TrackTable[[#This Row],[HOH]]), AND(EXACT(VLOOKUP(HOH_M, Configuration[], 2, FALSE), FALSE), EXACT(VLOOKUP(HOH_U, Configuration[], 2, FALSE), FALSE))), "")</f>
        <v/>
      </c>
      <c r="AM27" s="6" t="str">
        <f>IFERROR(IF(TrackTable[[#This Row],[HohOffEsNo]], VLOOKUP("HOH_OffEsNo", SubtitlePriorityTable[], 4, FALSE), 0), "")</f>
        <v/>
      </c>
      <c r="AN27" s="6" t="str">
        <f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f>
        <v/>
      </c>
      <c r="AO27" s="6" t="str">
        <f>IFERROR(IF(TrackTable[[#This Row],[TypeOk]], EXACT(VLOOKUP(AR_M, Configuration[], 2, FALSE), TrackTable[[#This Row],[AR]])), "")</f>
        <v/>
      </c>
      <c r="AP27" s="6" t="str">
        <f>IFERROR(IF(TrackTable[[#This Row],[ArMatched]], VLOOKUP(AR_M, SubtitlePriorityTable[], 4, FALSE), 0), "")</f>
        <v/>
      </c>
      <c r="AQ27" s="6" t="str">
        <f>IFERROR(IF(TrackTable[[#This Row],[TypeOk]], IF(EXACT(TrackTable[[#This Row],[AR]], "no"), TRUE, FALSE), FALSE), "")</f>
        <v/>
      </c>
      <c r="AR27" s="6" t="str">
        <f>IFERROR(IF(TrackTable[[#This Row],[ArNo]], VLOOKUP("AR_No", SubtitlePriorityTable[], 4, FALSE), 0), "")</f>
        <v/>
      </c>
      <c r="AS27" s="6" t="str">
        <f>IFERROR(IF(TrackTable[[#This Row],[TypeOk]], MAX(TrackTable[[#This Row],[ArMatchedScore]], TrackTable[[#This Row],[ArNoScore]]), ""), "")</f>
        <v/>
      </c>
      <c r="AT27" s="6" t="str">
        <f>IFERROR(IF(TrackTable[[#This Row],[TypeOk]], IF(EXACT(TrackTable[[#This Row],[HD]], "yes"), TRUE, FALSE)), "")</f>
        <v/>
      </c>
      <c r="AU27" s="6" t="str">
        <f>IFERROR(IF(TrackTable[[#This Row],[IsHD]], VLOOKUP("HD_Base", SubtitlePriorityTable[], 4, FALSE), 0), "")</f>
        <v/>
      </c>
      <c r="AV27" s="7" t="str">
        <f>IFERROR(IF(TrackTable[[#This Row],[TypeOk]], IF(MIN(ROW(TrackTable[Track]))=ROW(TrackTable[[#This Row],[Track]]), TRUE, FALSE), ""), "")</f>
        <v/>
      </c>
      <c r="AW27" s="6" t="str">
        <f>IFERROR(IF(TrackTable[[#This Row],[TypeOk]], TrackTable[[#This Row],[IsFirstTrack]]*VLOOKUP("First_Track", SubtitleConfiguration[], 3, FALSE), ""), "")</f>
        <v/>
      </c>
      <c r="AX27" s="6" t="str">
        <f>IF(ISBLANK(TrackTable[[#This Row],[Track]]), EMPTY_VALUE, TrackTable[[#This Row],[LangScore]]+TrackTable[[#This Row],[MainTypeScore]]+TrackTable[[#This Row],[HohScore]]+TrackTable[[#This Row],[ArScore]]+TrackTable[[#This Row],[HdScore]]+TrackTable[[#This Row],[Track Score]])</f>
        <v/>
      </c>
      <c r="AY27" s="4" t="str">
        <f>IFERROR(_xlfn.RANK.EQ(TrackTable[[#This Row],[Score]],TrackTable[Score], 0), "")</f>
        <v/>
      </c>
      <c r="AZ27" s="4" t="str">
        <f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f>
        <v/>
      </c>
      <c r="BA27" s="2" t="str">
        <f>IFERROR(TrackTable[[#This Row],[TypeOk]], FALSE)</f>
        <v/>
      </c>
    </row>
    <row r="28" spans="2:53" x14ac:dyDescent="0.3">
      <c r="C28" s="5" t="str">
        <f>IF(ISBLANK(TrackTable[[#This Row],[Track]]), EMPTY_VALUE, IFERROR(VLOOKUP(TrackTable[[#This Row],[Track]], SubtitleTrackDb[], 2, FALSE), EMPTY_VALUE))</f>
        <v/>
      </c>
      <c r="D28" s="5" t="str">
        <f>IF(ISBLANK(TrackTable[[#This Row],[Track]]), EMPTY_VALUE, IFERROR(VLOOKUP(TrackTable[[#This Row],[Track]], SubtitleTrackDb[], 3, FALSE), EMPTY_VALUE))</f>
        <v/>
      </c>
      <c r="E28" s="5" t="str">
        <f>IF(ISBLANK(TrackTable[[#This Row],[Track]]), EMPTY_VALUE, IFERROR(VLOOKUP(TrackTable[[#This Row],[Track]], SubtitleTrackDb[], 4, FALSE), "n/a"))</f>
        <v/>
      </c>
      <c r="F28" s="5" t="str">
        <f>IF(ISBLANK(TrackTable[[#This Row],[Track]]), EMPTY_VALUE, IFERROR(VLOOKUP(TrackTable[[#This Row],[Track]], SubtitleTrackDb[], 5, FALSE), "n/a"))</f>
        <v/>
      </c>
      <c r="G28" s="5" t="str">
        <f>IF(ISBLANK(TrackTable[[#This Row],[Track]]), EMPTY_VALUE, IFERROR(VLOOKUP(TrackTable[[#This Row],[Track]], SubtitleTrackDb[], 6, FALSE), "n/a"))</f>
        <v/>
      </c>
      <c r="H28" s="5" t="str">
        <f>IF(ISBLANK(TrackTable[[#This Row],[Track]]), EMPTY_VALUE, IFERROR(VLOOKUP(TrackTable[[#This Row],[Track]], SubtitleTrackDb[], 7, FALSE), "n/a"))</f>
        <v/>
      </c>
      <c r="I28" s="5" t="str">
        <f>IF(ISBLANK(TrackTable[[#This Row],[Track]]), EMPTY_VALUE, IF(LEN(TrackTable[[#This Row],[Lang]])=3, TRUE,  FALSE))</f>
        <v/>
      </c>
      <c r="J28" s="5" t="str">
        <f>IF(ISBLANK(TrackTable[[#This Row],[Track]]), EMPTY_VALUE, AND(NOT(ISBLANK(TrackTable[[#This Row],[Track]])), LEN(TrackTable[[#This Row],[Type Code]])=4))</f>
        <v/>
      </c>
      <c r="K28" s="1" t="str">
        <f>IF(ISBLANK(TrackTable[[#This Row],[Track]]), "", IF(AND(TrackTable[[#This Row],[LangOk]], EXACT(VLOOKUP(LANG_USER_KEY, Configuration[], 2, FALSE), TrackTable[[#This Row],[Lang]])), TRUE, FALSE))</f>
        <v/>
      </c>
      <c r="L28" s="1" t="str">
        <f>IFERROR(TrackTable[[#This Row],[LangUsrMatched]]*VLOOKUP(LANG_USER, SubtitleConfiguration[], 3, FALSE), "")</f>
        <v/>
      </c>
      <c r="M28" s="1" t="str">
        <f>IF(ISBLANK(TrackTable[[#This Row],[Track]]), "", IF(AND(TrackTable[[#This Row],[LangOk]], EXACT(VLOOKUP(LANG_SUBTTL_KEY, Configuration[], 2, FALSE), TrackTable[[#This Row],[Lang]])), TRUE, FALSE))</f>
        <v/>
      </c>
      <c r="N28" s="1" t="str">
        <f>IFERROR(TrackTable[[#This Row],[LangSubttlMatched0]]*VLOOKUP(LANG_SUBTTL, SubtitleConfiguration[], 3, FALSE), "")</f>
        <v/>
      </c>
      <c r="O28" s="1" t="str">
        <f>IF(ISBLANK(TrackTable[[#This Row],[Track]]), "", IF(AND(TrackTable[[#This Row],[LangOk]], EXACT(VLOOKUP(LANG_SUBTTL_KEY1, Configuration[], 2, FALSE), TrackTable[[#This Row],[Lang]])), TRUE, FALSE))</f>
        <v/>
      </c>
      <c r="P28" s="1" t="str">
        <f>IFERROR(TrackTable[[#This Row],[LangSubttlMatched1]]*VLOOKUP(LANG_SUBTTL1, SubtitleConfiguration[], 3, FALSE), "")</f>
        <v/>
      </c>
      <c r="Q28" s="1" t="str">
        <f>IF(ISBLANK(TrackTable[[#This Row],[Track]]), "", IF(AND(TrackTable[[#This Row],[LangOk]], EXACT(VLOOKUP(LANG_OSD_KEY, Configuration[], 2, FALSE), TrackTable[[#This Row],[Lang]])), TRUE, FALSE))</f>
        <v/>
      </c>
      <c r="R28" s="1" t="str">
        <f>IFERROR(TrackTable[[#This Row],[LangOsdMatched]]*VLOOKUP(LANG_OSD, SubtitleConfiguration[], 3, FALSE), "")</f>
        <v/>
      </c>
      <c r="S28" s="1" t="str">
        <f>IF(ISBLANK(TrackTable[[#This Row],[Track]]), "", IF(AND(TrackTable[[#This Row],[LangOk]], EXACT(VLOOKUP(LANG_UND_KEY, Configuration[], 2, FALSE), TrackTable[[#This Row],[Lang]])), TRUE, FALSE))</f>
        <v/>
      </c>
      <c r="T28" s="1" t="str">
        <f>IFERROR(TrackTable[[#This Row],[LangUndefined]]*VLOOKUP(LANG_UND, SubtitleConfiguration[], 3, FALSE), "")</f>
        <v/>
      </c>
      <c r="U28" s="1" t="str">
        <f>IF(ISBLANK(TrackTable[[#This Row],[Track]]), "", IF(AND(TrackTable[[#This Row],[LangOk]], EXACT(VLOOKUP(LANG_ORG_KEY, Configuration[], 2, FALSE), TrackTable[[#This Row],[Lang]])), TRUE, FALSE))</f>
        <v/>
      </c>
      <c r="V28" s="1" t="str">
        <f>IFERROR(TrackTable[[#This Row],[LangOriginal]]*VLOOKUP(LANG_ORG, SubtitleConfiguration[], 3, FALSE), "")</f>
        <v/>
      </c>
      <c r="W28" s="1" t="str">
        <f>IF(ISBLANK(TrackTable[[#This Row],[Track]]), "", IF(AND(TrackTable[[#This Row],[LangOk]], EXACT(VLOOKUP(LANG_DEF_KEY, Configuration[], 2, FALSE), TrackTable[[#This Row],[Lang]])), TRUE, FALSE))</f>
        <v/>
      </c>
      <c r="X28" s="1" t="str">
        <f>IFERROR(TrackTable[[#This Row],[LangDefault]]*VLOOKUP(LANG_DEF, SubtitleConfiguration[], 3, FALSE), "")</f>
        <v/>
      </c>
      <c r="Y28" s="6" t="str">
        <f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f>
        <v/>
      </c>
      <c r="Z28" s="7" t="str">
        <f>IFERROR(IF(TrackTable[[#This Row],[TypeOk]], AND(VLOOKUP("Type_DVB", Configuration[], 2, FALSE), EXACT(TrackTable[[#This Row],[MainType]], "DVB")), FALSE), "")</f>
        <v/>
      </c>
      <c r="AA28" s="7" t="str">
        <f>IFERROR(IF(TrackTable[[#This Row],[DvbMatched]], VLOOKUP(DVB_M, SubtitlePriorityTable[], 4, FALSE), 0), "")</f>
        <v/>
      </c>
      <c r="AB28" s="7">
        <f>IFERROR(IF(AND(NOT(VLOOKUP("Type_DVB", Configuration[], 2, FALSE)), EXACT(TrackTable[[#This Row],[MainType]], "EBU")), VLOOKUP("Type_EBU", SubtitlePriorityTable[], 4, FALSE), 0), "")</f>
        <v>0</v>
      </c>
      <c r="AC28" s="6" t="str">
        <f>IFERROR(IF(TrackTable[[#This Row],[TypeOk]], MAX(TrackTable[[#This Row],[DvbScore]], TrackTable[[#This Row],[EubScore]]), ""),  "")</f>
        <v/>
      </c>
      <c r="AD28" s="6" t="str">
        <f>IFERROR(AND(TrackTable[[#This Row],[TypeOk]], IFERROR(TrackTable[[#This Row],[HOH]], #VALUE!), VLOOKUP(HOH_M, Configuration[], 2, FALSE)), "")</f>
        <v/>
      </c>
      <c r="AE28" s="6" t="str">
        <f>IFERROR(IF(TrackTable[[#This Row],[HohMatched]], VLOOKUP(HOH_M, SubtitlePriorityTable[], 4, FALSE), 0), "")</f>
        <v/>
      </c>
      <c r="AF28" s="6" t="str">
        <f>IFERROR(AND(TrackTable[[#This Row],[TypeOk]], IFERROR(TrackTable[[#This Row],[HOH]], #VALUE!), EXACT(VLOOKUP(HOH_U, Configuration[], 2, FALSE), TRUE)), "")</f>
        <v/>
      </c>
      <c r="AG28" s="6" t="str">
        <f>IFERROR(IF(TrackTable[[#This Row],[HohMatchedUser]], VLOOKUP(HOH_U, SubtitlePriorityTable[], 4, FALSE), 0), "")</f>
        <v/>
      </c>
      <c r="AH28" s="6" t="str">
        <f>IFERROR(AND(TrackTable[[#This Row],[TypeOk]], NOT(TrackTable[[#This Row],[HOH]]), OR(EXACT(VLOOKUP(HOH_M, Configuration[], 2, FALSE), TRUE), EXACT(VLOOKUP(HOH_U, Configuration[], 2, FALSE), TRUE))), "")</f>
        <v/>
      </c>
      <c r="AI28" s="6" t="str">
        <f>IFERROR(IF(TrackTable[[#This Row],[HohOnEsNo]], VLOOKUP("HOH_OnEsNo", SubtitlePriorityTable[], 4, FALSE), 0), "")</f>
        <v/>
      </c>
      <c r="AJ28" s="6" t="str">
        <f>IFERROR(AND(TrackTable[[#This Row],[TypeOk]], IFERROR(TrackTable[[#This Row],[HOH]], #VALUE!), AND(EXACT(VLOOKUP(HOH_M, Configuration[], 2, FALSE), FALSE), EXACT(VLOOKUP(HOH_U, Configuration[], 2, FALSE), FALSE))), "")</f>
        <v/>
      </c>
      <c r="AK28" s="6" t="str">
        <f>IFERROR(IF(TrackTable[[#This Row],[HohOffEsYes]], VLOOKUP("HOH_OffEsYes", SubtitlePriorityTable[], 4, FALSE), 0), "")</f>
        <v/>
      </c>
      <c r="AL28" s="6" t="str">
        <f>IFERROR(AND(TrackTable[[#This Row],[TypeOk]], NOT(TrackTable[[#This Row],[HOH]]), AND(EXACT(VLOOKUP(HOH_M, Configuration[], 2, FALSE), FALSE), EXACT(VLOOKUP(HOH_U, Configuration[], 2, FALSE), FALSE))), "")</f>
        <v/>
      </c>
      <c r="AM28" s="6" t="str">
        <f>IFERROR(IF(TrackTable[[#This Row],[HohOffEsNo]], VLOOKUP("HOH_OffEsNo", SubtitlePriorityTable[], 4, FALSE), 0), "")</f>
        <v/>
      </c>
      <c r="AN28" s="6" t="str">
        <f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f>
        <v/>
      </c>
      <c r="AO28" s="6" t="str">
        <f>IFERROR(IF(TrackTable[[#This Row],[TypeOk]], EXACT(VLOOKUP(AR_M, Configuration[], 2, FALSE), TrackTable[[#This Row],[AR]])), "")</f>
        <v/>
      </c>
      <c r="AP28" s="6" t="str">
        <f>IFERROR(IF(TrackTable[[#This Row],[ArMatched]], VLOOKUP(AR_M, SubtitlePriorityTable[], 4, FALSE), 0), "")</f>
        <v/>
      </c>
      <c r="AQ28" s="6" t="str">
        <f>IFERROR(IF(TrackTable[[#This Row],[TypeOk]], IF(EXACT(TrackTable[[#This Row],[AR]], "no"), TRUE, FALSE), FALSE), "")</f>
        <v/>
      </c>
      <c r="AR28" s="6" t="str">
        <f>IFERROR(IF(TrackTable[[#This Row],[ArNo]], VLOOKUP("AR_No", SubtitlePriorityTable[], 4, FALSE), 0), "")</f>
        <v/>
      </c>
      <c r="AS28" s="6" t="str">
        <f>IFERROR(IF(TrackTable[[#This Row],[TypeOk]], MAX(TrackTable[[#This Row],[ArMatchedScore]], TrackTable[[#This Row],[ArNoScore]]), ""), "")</f>
        <v/>
      </c>
      <c r="AT28" s="6" t="str">
        <f>IFERROR(IF(TrackTable[[#This Row],[TypeOk]], IF(EXACT(TrackTable[[#This Row],[HD]], "yes"), TRUE, FALSE)), "")</f>
        <v/>
      </c>
      <c r="AU28" s="6" t="str">
        <f>IFERROR(IF(TrackTable[[#This Row],[IsHD]], VLOOKUP("HD_Base", SubtitlePriorityTable[], 4, FALSE), 0), "")</f>
        <v/>
      </c>
      <c r="AV28" s="7" t="str">
        <f>IFERROR(IF(TrackTable[[#This Row],[TypeOk]], IF(MIN(ROW(TrackTable[Track]))=ROW(TrackTable[[#This Row],[Track]]), TRUE, FALSE), ""), "")</f>
        <v/>
      </c>
      <c r="AW28" s="6" t="str">
        <f>IFERROR(IF(TrackTable[[#This Row],[TypeOk]], TrackTable[[#This Row],[IsFirstTrack]]*VLOOKUP("First_Track", SubtitleConfiguration[], 3, FALSE), ""), "")</f>
        <v/>
      </c>
      <c r="AX28" s="6" t="str">
        <f>IF(ISBLANK(TrackTable[[#This Row],[Track]]), EMPTY_VALUE, TrackTable[[#This Row],[LangScore]]+TrackTable[[#This Row],[MainTypeScore]]+TrackTable[[#This Row],[HohScore]]+TrackTable[[#This Row],[ArScore]]+TrackTable[[#This Row],[HdScore]]+TrackTable[[#This Row],[Track Score]])</f>
        <v/>
      </c>
      <c r="AY28" s="4" t="str">
        <f>IFERROR(_xlfn.RANK.EQ(TrackTable[[#This Row],[Score]],TrackTable[Score], 0), "")</f>
        <v/>
      </c>
      <c r="AZ28" s="4" t="str">
        <f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f>
        <v/>
      </c>
      <c r="BA28" s="2"/>
    </row>
    <row r="29" spans="2:53" x14ac:dyDescent="0.3">
      <c r="C29" s="5" t="str">
        <f>IF(ISBLANK(TrackTable[[#This Row],[Track]]), EMPTY_VALUE, IFERROR(VLOOKUP(TrackTable[[#This Row],[Track]], SubtitleTrackDb[], 2, FALSE), EMPTY_VALUE))</f>
        <v/>
      </c>
      <c r="D29" s="5" t="str">
        <f>IF(ISBLANK(TrackTable[[#This Row],[Track]]), EMPTY_VALUE, IFERROR(VLOOKUP(TrackTable[[#This Row],[Track]], SubtitleTrackDb[], 3, FALSE), EMPTY_VALUE))</f>
        <v/>
      </c>
      <c r="E29" s="5" t="str">
        <f>IF(ISBLANK(TrackTable[[#This Row],[Track]]), EMPTY_VALUE, IFERROR(VLOOKUP(TrackTable[[#This Row],[Track]], SubtitleTrackDb[], 4, FALSE), "n/a"))</f>
        <v/>
      </c>
      <c r="F29" s="5" t="str">
        <f>IF(ISBLANK(TrackTable[[#This Row],[Track]]), EMPTY_VALUE, IFERROR(VLOOKUP(TrackTable[[#This Row],[Track]], SubtitleTrackDb[], 5, FALSE), "n/a"))</f>
        <v/>
      </c>
      <c r="G29" s="5" t="str">
        <f>IF(ISBLANK(TrackTable[[#This Row],[Track]]), EMPTY_VALUE, IFERROR(VLOOKUP(TrackTable[[#This Row],[Track]], SubtitleTrackDb[], 6, FALSE), "n/a"))</f>
        <v/>
      </c>
      <c r="H29" s="5" t="str">
        <f>IF(ISBLANK(TrackTable[[#This Row],[Track]]), EMPTY_VALUE, IFERROR(VLOOKUP(TrackTable[[#This Row],[Track]], SubtitleTrackDb[], 7, FALSE), "n/a"))</f>
        <v/>
      </c>
      <c r="I29" s="5" t="str">
        <f>IF(ISBLANK(TrackTable[[#This Row],[Track]]), EMPTY_VALUE, IF(LEN(TrackTable[[#This Row],[Lang]])=3, TRUE,  FALSE))</f>
        <v/>
      </c>
      <c r="J29" s="5" t="str">
        <f>IF(ISBLANK(TrackTable[[#This Row],[Track]]), EMPTY_VALUE, AND(NOT(ISBLANK(TrackTable[[#This Row],[Track]])), LEN(TrackTable[[#This Row],[Type Code]])=4))</f>
        <v/>
      </c>
      <c r="K29" s="1" t="str">
        <f>IF(ISBLANK(TrackTable[[#This Row],[Track]]), "", IF(AND(TrackTable[[#This Row],[LangOk]], EXACT(VLOOKUP(LANG_USER_KEY, Configuration[], 2, FALSE), TrackTable[[#This Row],[Lang]])), TRUE, FALSE))</f>
        <v/>
      </c>
      <c r="L29" s="1" t="str">
        <f>IFERROR(TrackTable[[#This Row],[LangUsrMatched]]*VLOOKUP(LANG_USER, SubtitleConfiguration[], 3, FALSE), "")</f>
        <v/>
      </c>
      <c r="M29" s="1" t="str">
        <f>IF(ISBLANK(TrackTable[[#This Row],[Track]]), "", IF(AND(TrackTable[[#This Row],[LangOk]], EXACT(VLOOKUP(LANG_SUBTTL_KEY, Configuration[], 2, FALSE), TrackTable[[#This Row],[Lang]])), TRUE, FALSE))</f>
        <v/>
      </c>
      <c r="N29" s="1" t="str">
        <f>IFERROR(TrackTable[[#This Row],[LangSubttlMatched0]]*VLOOKUP(LANG_SUBTTL, SubtitleConfiguration[], 3, FALSE), "")</f>
        <v/>
      </c>
      <c r="O29" s="1" t="str">
        <f>IF(ISBLANK(TrackTable[[#This Row],[Track]]), "", IF(AND(TrackTable[[#This Row],[LangOk]], EXACT(VLOOKUP(LANG_SUBTTL_KEY1, Configuration[], 2, FALSE), TrackTable[[#This Row],[Lang]])), TRUE, FALSE))</f>
        <v/>
      </c>
      <c r="P29" s="1" t="str">
        <f>IFERROR(TrackTable[[#This Row],[LangSubttlMatched1]]*VLOOKUP(LANG_SUBTTL1, SubtitleConfiguration[], 3, FALSE), "")</f>
        <v/>
      </c>
      <c r="Q29" s="1" t="str">
        <f>IF(ISBLANK(TrackTable[[#This Row],[Track]]), "", IF(AND(TrackTable[[#This Row],[LangOk]], EXACT(VLOOKUP(LANG_OSD_KEY, Configuration[], 2, FALSE), TrackTable[[#This Row],[Lang]])), TRUE, FALSE))</f>
        <v/>
      </c>
      <c r="R29" s="1" t="str">
        <f>IFERROR(TrackTable[[#This Row],[LangOsdMatched]]*VLOOKUP(LANG_OSD, SubtitleConfiguration[], 3, FALSE), "")</f>
        <v/>
      </c>
      <c r="S29" s="1" t="str">
        <f>IF(ISBLANK(TrackTable[[#This Row],[Track]]), "", IF(AND(TrackTable[[#This Row],[LangOk]], EXACT(VLOOKUP(LANG_UND_KEY, Configuration[], 2, FALSE), TrackTable[[#This Row],[Lang]])), TRUE, FALSE))</f>
        <v/>
      </c>
      <c r="T29" s="1" t="str">
        <f>IFERROR(TrackTable[[#This Row],[LangUndefined]]*VLOOKUP(LANG_UND, SubtitleConfiguration[], 3, FALSE), "")</f>
        <v/>
      </c>
      <c r="U29" s="1" t="str">
        <f>IF(ISBLANK(TrackTable[[#This Row],[Track]]), "", IF(AND(TrackTable[[#This Row],[LangOk]], EXACT(VLOOKUP(LANG_ORG_KEY, Configuration[], 2, FALSE), TrackTable[[#This Row],[Lang]])), TRUE, FALSE))</f>
        <v/>
      </c>
      <c r="V29" s="1" t="str">
        <f>IFERROR(TrackTable[[#This Row],[LangOriginal]]*VLOOKUP(LANG_ORG, SubtitleConfiguration[], 3, FALSE), "")</f>
        <v/>
      </c>
      <c r="W29" s="1" t="str">
        <f>IF(ISBLANK(TrackTable[[#This Row],[Track]]), "", IF(AND(TrackTable[[#This Row],[LangOk]], EXACT(VLOOKUP(LANG_DEF_KEY, Configuration[], 2, FALSE), TrackTable[[#This Row],[Lang]])), TRUE, FALSE))</f>
        <v/>
      </c>
      <c r="X29" s="1" t="str">
        <f>IFERROR(TrackTable[[#This Row],[LangDefault]]*VLOOKUP(LANG_DEF, SubtitleConfiguration[], 3, FALSE), "")</f>
        <v/>
      </c>
      <c r="Y29" s="6" t="str">
        <f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f>
        <v/>
      </c>
      <c r="Z29" s="7" t="str">
        <f>IFERROR(IF(TrackTable[[#This Row],[TypeOk]], AND(VLOOKUP("Type_DVB", Configuration[], 2, FALSE), EXACT(TrackTable[[#This Row],[MainType]], "DVB")), FALSE), "")</f>
        <v/>
      </c>
      <c r="AA29" s="7" t="str">
        <f>IFERROR(IF(TrackTable[[#This Row],[DvbMatched]], VLOOKUP(DVB_M, SubtitlePriorityTable[], 4, FALSE), 0), "")</f>
        <v/>
      </c>
      <c r="AB29" s="7">
        <f>IFERROR(IF(AND(NOT(VLOOKUP("Type_DVB", Configuration[], 2, FALSE)), EXACT(TrackTable[[#This Row],[MainType]], "EBU")), VLOOKUP("Type_EBU", SubtitlePriorityTable[], 4, FALSE), 0), "")</f>
        <v>0</v>
      </c>
      <c r="AC29" s="6" t="str">
        <f>IFERROR(IF(TrackTable[[#This Row],[TypeOk]], MAX(TrackTable[[#This Row],[DvbScore]], TrackTable[[#This Row],[EubScore]]), ""),  "")</f>
        <v/>
      </c>
      <c r="AD29" s="6" t="str">
        <f>IFERROR(AND(TrackTable[[#This Row],[TypeOk]], IFERROR(TrackTable[[#This Row],[HOH]], #VALUE!), VLOOKUP(HOH_M, Configuration[], 2, FALSE)), "")</f>
        <v/>
      </c>
      <c r="AE29" s="6" t="str">
        <f>IFERROR(IF(TrackTable[[#This Row],[HohMatched]], VLOOKUP(HOH_M, SubtitlePriorityTable[], 4, FALSE), 0), "")</f>
        <v/>
      </c>
      <c r="AF29" s="6" t="str">
        <f>IFERROR(AND(TrackTable[[#This Row],[TypeOk]], IFERROR(TrackTable[[#This Row],[HOH]], #VALUE!), EXACT(VLOOKUP(HOH_U, Configuration[], 2, FALSE), TRUE)), "")</f>
        <v/>
      </c>
      <c r="AG29" s="6" t="str">
        <f>IFERROR(IF(TrackTable[[#This Row],[HohMatchedUser]], VLOOKUP(HOH_U, SubtitlePriorityTable[], 4, FALSE), 0), "")</f>
        <v/>
      </c>
      <c r="AH29" s="6" t="str">
        <f>IFERROR(AND(TrackTable[[#This Row],[TypeOk]], NOT(TrackTable[[#This Row],[HOH]]), OR(EXACT(VLOOKUP(HOH_M, Configuration[], 2, FALSE), TRUE), EXACT(VLOOKUP(HOH_U, Configuration[], 2, FALSE), TRUE))), "")</f>
        <v/>
      </c>
      <c r="AI29" s="6" t="str">
        <f>IFERROR(IF(TrackTable[[#This Row],[HohOnEsNo]], VLOOKUP("HOH_OnEsNo", SubtitlePriorityTable[], 4, FALSE), 0), "")</f>
        <v/>
      </c>
      <c r="AJ29" s="6" t="str">
        <f>IFERROR(AND(TrackTable[[#This Row],[TypeOk]], IFERROR(TrackTable[[#This Row],[HOH]], #VALUE!), AND(EXACT(VLOOKUP(HOH_M, Configuration[], 2, FALSE), FALSE), EXACT(VLOOKUP(HOH_U, Configuration[], 2, FALSE), FALSE))), "")</f>
        <v/>
      </c>
      <c r="AK29" s="6" t="str">
        <f>IFERROR(IF(TrackTable[[#This Row],[HohOffEsYes]], VLOOKUP("HOH_OffEsYes", SubtitlePriorityTable[], 4, FALSE), 0), "")</f>
        <v/>
      </c>
      <c r="AL29" s="6" t="str">
        <f>IFERROR(AND(TrackTable[[#This Row],[TypeOk]], NOT(TrackTable[[#This Row],[HOH]]), AND(EXACT(VLOOKUP(HOH_M, Configuration[], 2, FALSE), FALSE), EXACT(VLOOKUP(HOH_U, Configuration[], 2, FALSE), FALSE))), "")</f>
        <v/>
      </c>
      <c r="AM29" s="6" t="str">
        <f>IFERROR(IF(TrackTable[[#This Row],[HohOffEsNo]], VLOOKUP("HOH_OffEsNo", SubtitlePriorityTable[], 4, FALSE), 0), "")</f>
        <v/>
      </c>
      <c r="AN29" s="6" t="str">
        <f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f>
        <v/>
      </c>
      <c r="AO29" s="6" t="str">
        <f>IFERROR(IF(TrackTable[[#This Row],[TypeOk]], EXACT(VLOOKUP(AR_M, Configuration[], 2, FALSE), TrackTable[[#This Row],[AR]])), "")</f>
        <v/>
      </c>
      <c r="AP29" s="6" t="str">
        <f>IFERROR(IF(TrackTable[[#This Row],[ArMatched]], VLOOKUP(AR_M, SubtitlePriorityTable[], 4, FALSE), 0), "")</f>
        <v/>
      </c>
      <c r="AQ29" s="6" t="str">
        <f>IFERROR(IF(TrackTable[[#This Row],[TypeOk]], IF(EXACT(TrackTable[[#This Row],[AR]], "no"), TRUE, FALSE), FALSE), "")</f>
        <v/>
      </c>
      <c r="AR29" s="6" t="str">
        <f>IFERROR(IF(TrackTable[[#This Row],[ArNo]], VLOOKUP("AR_No", SubtitlePriorityTable[], 4, FALSE), 0), "")</f>
        <v/>
      </c>
      <c r="AS29" s="6" t="str">
        <f>IFERROR(IF(TrackTable[[#This Row],[TypeOk]], MAX(TrackTable[[#This Row],[ArMatchedScore]], TrackTable[[#This Row],[ArNoScore]]), ""), "")</f>
        <v/>
      </c>
      <c r="AT29" s="6" t="str">
        <f>IFERROR(IF(TrackTable[[#This Row],[TypeOk]], IF(EXACT(TrackTable[[#This Row],[HD]], "yes"), TRUE, FALSE)), "")</f>
        <v/>
      </c>
      <c r="AU29" s="6" t="str">
        <f>IFERROR(IF(TrackTable[[#This Row],[IsHD]], VLOOKUP("HD_Base", SubtitlePriorityTable[], 4, FALSE), 0), "")</f>
        <v/>
      </c>
      <c r="AV29" s="7" t="str">
        <f>IFERROR(IF(TrackTable[[#This Row],[TypeOk]], IF(MIN(ROW(TrackTable[Track]))=ROW(TrackTable[[#This Row],[Track]]), TRUE, FALSE), ""), "")</f>
        <v/>
      </c>
      <c r="AW29" s="6" t="str">
        <f>IFERROR(IF(TrackTable[[#This Row],[TypeOk]], TrackTable[[#This Row],[IsFirstTrack]]*VLOOKUP("First_Track", SubtitleConfiguration[], 3, FALSE), ""), "")</f>
        <v/>
      </c>
      <c r="AX29" s="6" t="str">
        <f>IF(ISBLANK(TrackTable[[#This Row],[Track]]), EMPTY_VALUE, TrackTable[[#This Row],[LangScore]]+TrackTable[[#This Row],[MainTypeScore]]+TrackTable[[#This Row],[HohScore]]+TrackTable[[#This Row],[ArScore]]+TrackTable[[#This Row],[HdScore]]+TrackTable[[#This Row],[Track Score]])</f>
        <v/>
      </c>
      <c r="AY29" s="4" t="str">
        <f>IFERROR(_xlfn.RANK.EQ(TrackTable[[#This Row],[Score]],TrackTable[Score], 0), "")</f>
        <v/>
      </c>
      <c r="AZ29" s="4" t="str">
        <f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f>
        <v/>
      </c>
      <c r="BA29" s="2"/>
    </row>
    <row r="30" spans="2:53" x14ac:dyDescent="0.3">
      <c r="C30" s="5" t="str">
        <f>IF(ISBLANK(TrackTable[[#This Row],[Track]]), EMPTY_VALUE, IFERROR(VLOOKUP(TrackTable[[#This Row],[Track]], SubtitleTrackDb[], 2, FALSE), EMPTY_VALUE))</f>
        <v/>
      </c>
      <c r="D30" s="5" t="str">
        <f>IF(ISBLANK(TrackTable[[#This Row],[Track]]), EMPTY_VALUE, IFERROR(VLOOKUP(TrackTable[[#This Row],[Track]], SubtitleTrackDb[], 3, FALSE), EMPTY_VALUE))</f>
        <v/>
      </c>
      <c r="E30" s="5" t="str">
        <f>IF(ISBLANK(TrackTable[[#This Row],[Track]]), EMPTY_VALUE, IFERROR(VLOOKUP(TrackTable[[#This Row],[Track]], SubtitleTrackDb[], 4, FALSE), "n/a"))</f>
        <v/>
      </c>
      <c r="F30" s="5" t="str">
        <f>IF(ISBLANK(TrackTable[[#This Row],[Track]]), EMPTY_VALUE, IFERROR(VLOOKUP(TrackTable[[#This Row],[Track]], SubtitleTrackDb[], 5, FALSE), "n/a"))</f>
        <v/>
      </c>
      <c r="G30" s="5" t="str">
        <f>IF(ISBLANK(TrackTable[[#This Row],[Track]]), EMPTY_VALUE, IFERROR(VLOOKUP(TrackTable[[#This Row],[Track]], SubtitleTrackDb[], 6, FALSE), "n/a"))</f>
        <v/>
      </c>
      <c r="H30" s="5" t="str">
        <f>IF(ISBLANK(TrackTable[[#This Row],[Track]]), EMPTY_VALUE, IFERROR(VLOOKUP(TrackTable[[#This Row],[Track]], SubtitleTrackDb[], 7, FALSE), "n/a"))</f>
        <v/>
      </c>
      <c r="I30" s="5" t="str">
        <f>IF(ISBLANK(TrackTable[[#This Row],[Track]]), EMPTY_VALUE, IF(LEN(TrackTable[[#This Row],[Lang]])=3, TRUE,  FALSE))</f>
        <v/>
      </c>
      <c r="J30" s="5" t="str">
        <f>IF(ISBLANK(TrackTable[[#This Row],[Track]]), EMPTY_VALUE, AND(NOT(ISBLANK(TrackTable[[#This Row],[Track]])), LEN(TrackTable[[#This Row],[Type Code]])=4))</f>
        <v/>
      </c>
      <c r="K30" s="1" t="str">
        <f>IF(ISBLANK(TrackTable[[#This Row],[Track]]), "", IF(AND(TrackTable[[#This Row],[LangOk]], EXACT(VLOOKUP(LANG_USER_KEY, Configuration[], 2, FALSE), TrackTable[[#This Row],[Lang]])), TRUE, FALSE))</f>
        <v/>
      </c>
      <c r="L30" s="1" t="str">
        <f>IFERROR(TrackTable[[#This Row],[LangUsrMatched]]*VLOOKUP(LANG_USER, SubtitleConfiguration[], 3, FALSE), "")</f>
        <v/>
      </c>
      <c r="M30" s="1" t="str">
        <f>IF(ISBLANK(TrackTable[[#This Row],[Track]]), "", IF(AND(TrackTable[[#This Row],[LangOk]], EXACT(VLOOKUP(LANG_SUBTTL_KEY, Configuration[], 2, FALSE), TrackTable[[#This Row],[Lang]])), TRUE, FALSE))</f>
        <v/>
      </c>
      <c r="N30" s="1" t="str">
        <f>IFERROR(TrackTable[[#This Row],[LangSubttlMatched0]]*VLOOKUP(LANG_SUBTTL, SubtitleConfiguration[], 3, FALSE), "")</f>
        <v/>
      </c>
      <c r="O30" s="1" t="str">
        <f>IF(ISBLANK(TrackTable[[#This Row],[Track]]), "", IF(AND(TrackTable[[#This Row],[LangOk]], EXACT(VLOOKUP(LANG_SUBTTL_KEY1, Configuration[], 2, FALSE), TrackTable[[#This Row],[Lang]])), TRUE, FALSE))</f>
        <v/>
      </c>
      <c r="P30" s="1" t="str">
        <f>IFERROR(TrackTable[[#This Row],[LangSubttlMatched1]]*VLOOKUP(LANG_SUBTTL1, SubtitleConfiguration[], 3, FALSE), "")</f>
        <v/>
      </c>
      <c r="Q30" s="1" t="str">
        <f>IF(ISBLANK(TrackTable[[#This Row],[Track]]), "", IF(AND(TrackTable[[#This Row],[LangOk]], EXACT(VLOOKUP(LANG_OSD_KEY, Configuration[], 2, FALSE), TrackTable[[#This Row],[Lang]])), TRUE, FALSE))</f>
        <v/>
      </c>
      <c r="R30" s="1" t="str">
        <f>IFERROR(TrackTable[[#This Row],[LangOsdMatched]]*VLOOKUP(LANG_OSD, SubtitleConfiguration[], 3, FALSE), "")</f>
        <v/>
      </c>
      <c r="S30" s="1" t="str">
        <f>IF(ISBLANK(TrackTable[[#This Row],[Track]]), "", IF(AND(TrackTable[[#This Row],[LangOk]], EXACT(VLOOKUP(LANG_UND_KEY, Configuration[], 2, FALSE), TrackTable[[#This Row],[Lang]])), TRUE, FALSE))</f>
        <v/>
      </c>
      <c r="T30" s="1" t="str">
        <f>IFERROR(TrackTable[[#This Row],[LangUndefined]]*VLOOKUP(LANG_UND, SubtitleConfiguration[], 3, FALSE), "")</f>
        <v/>
      </c>
      <c r="U30" s="1" t="str">
        <f>IF(ISBLANK(TrackTable[[#This Row],[Track]]), "", IF(AND(TrackTable[[#This Row],[LangOk]], EXACT(VLOOKUP(LANG_ORG_KEY, Configuration[], 2, FALSE), TrackTable[[#This Row],[Lang]])), TRUE, FALSE))</f>
        <v/>
      </c>
      <c r="V30" s="1" t="str">
        <f>IFERROR(TrackTable[[#This Row],[LangOriginal]]*VLOOKUP(LANG_ORG, SubtitleConfiguration[], 3, FALSE), "")</f>
        <v/>
      </c>
      <c r="W30" s="1" t="str">
        <f>IF(ISBLANK(TrackTable[[#This Row],[Track]]), "", IF(AND(TrackTable[[#This Row],[LangOk]], EXACT(VLOOKUP(LANG_DEF_KEY, Configuration[], 2, FALSE), TrackTable[[#This Row],[Lang]])), TRUE, FALSE))</f>
        <v/>
      </c>
      <c r="X30" s="1" t="str">
        <f>IFERROR(TrackTable[[#This Row],[LangDefault]]*VLOOKUP(LANG_DEF, SubtitleConfiguration[], 3, FALSE), "")</f>
        <v/>
      </c>
      <c r="Y30" s="6" t="str">
        <f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f>
        <v/>
      </c>
      <c r="Z30" s="7" t="str">
        <f>IFERROR(IF(TrackTable[[#This Row],[TypeOk]], AND(VLOOKUP("Type_DVB", Configuration[], 2, FALSE), EXACT(TrackTable[[#This Row],[MainType]], "DVB")), FALSE), "")</f>
        <v/>
      </c>
      <c r="AA30" s="7" t="str">
        <f>IFERROR(IF(TrackTable[[#This Row],[DvbMatched]], VLOOKUP(DVB_M, SubtitlePriorityTable[], 4, FALSE), 0), "")</f>
        <v/>
      </c>
      <c r="AB30" s="7">
        <f>IFERROR(IF(AND(NOT(VLOOKUP("Type_DVB", Configuration[], 2, FALSE)), EXACT(TrackTable[[#This Row],[MainType]], "EBU")), VLOOKUP("Type_EBU", SubtitlePriorityTable[], 4, FALSE), 0), "")</f>
        <v>0</v>
      </c>
      <c r="AC30" s="6" t="str">
        <f>IFERROR(IF(TrackTable[[#This Row],[TypeOk]], MAX(TrackTable[[#This Row],[DvbScore]], TrackTable[[#This Row],[EubScore]]), ""),  "")</f>
        <v/>
      </c>
      <c r="AD30" s="6" t="str">
        <f>IFERROR(AND(TrackTable[[#This Row],[TypeOk]], IFERROR(TrackTable[[#This Row],[HOH]], #VALUE!), VLOOKUP(HOH_M, Configuration[], 2, FALSE)), "")</f>
        <v/>
      </c>
      <c r="AE30" s="6" t="str">
        <f>IFERROR(IF(TrackTable[[#This Row],[HohMatched]], VLOOKUP(HOH_M, SubtitlePriorityTable[], 4, FALSE), 0), "")</f>
        <v/>
      </c>
      <c r="AF30" s="6" t="str">
        <f>IFERROR(AND(TrackTable[[#This Row],[TypeOk]], IFERROR(TrackTable[[#This Row],[HOH]], #VALUE!), EXACT(VLOOKUP(HOH_U, Configuration[], 2, FALSE), TRUE)), "")</f>
        <v/>
      </c>
      <c r="AG30" s="6" t="str">
        <f>IFERROR(IF(TrackTable[[#This Row],[HohMatchedUser]], VLOOKUP(HOH_U, SubtitlePriorityTable[], 4, FALSE), 0), "")</f>
        <v/>
      </c>
      <c r="AH30" s="6" t="str">
        <f>IFERROR(AND(TrackTable[[#This Row],[TypeOk]], NOT(TrackTable[[#This Row],[HOH]]), OR(EXACT(VLOOKUP(HOH_M, Configuration[], 2, FALSE), TRUE), EXACT(VLOOKUP(HOH_U, Configuration[], 2, FALSE), TRUE))), "")</f>
        <v/>
      </c>
      <c r="AI30" s="6" t="str">
        <f>IFERROR(IF(TrackTable[[#This Row],[HohOnEsNo]], VLOOKUP("HOH_OnEsNo", SubtitlePriorityTable[], 4, FALSE), 0), "")</f>
        <v/>
      </c>
      <c r="AJ30" s="6" t="str">
        <f>IFERROR(AND(TrackTable[[#This Row],[TypeOk]], IFERROR(TrackTable[[#This Row],[HOH]], #VALUE!), AND(EXACT(VLOOKUP(HOH_M, Configuration[], 2, FALSE), FALSE), EXACT(VLOOKUP(HOH_U, Configuration[], 2, FALSE), FALSE))), "")</f>
        <v/>
      </c>
      <c r="AK30" s="6" t="str">
        <f>IFERROR(IF(TrackTable[[#This Row],[HohOffEsYes]], VLOOKUP("HOH_OffEsYes", SubtitlePriorityTable[], 4, FALSE), 0), "")</f>
        <v/>
      </c>
      <c r="AL30" s="6" t="str">
        <f>IFERROR(AND(TrackTable[[#This Row],[TypeOk]], NOT(TrackTable[[#This Row],[HOH]]), AND(EXACT(VLOOKUP(HOH_M, Configuration[], 2, FALSE), FALSE), EXACT(VLOOKUP(HOH_U, Configuration[], 2, FALSE), FALSE))), "")</f>
        <v/>
      </c>
      <c r="AM30" s="6" t="str">
        <f>IFERROR(IF(TrackTable[[#This Row],[HohOffEsNo]], VLOOKUP("HOH_OffEsNo", SubtitlePriorityTable[], 4, FALSE), 0), "")</f>
        <v/>
      </c>
      <c r="AN30" s="6" t="str">
        <f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f>
        <v/>
      </c>
      <c r="AO30" s="6" t="str">
        <f>IFERROR(IF(TrackTable[[#This Row],[TypeOk]], EXACT(VLOOKUP(AR_M, Configuration[], 2, FALSE), TrackTable[[#This Row],[AR]])), "")</f>
        <v/>
      </c>
      <c r="AP30" s="6" t="str">
        <f>IFERROR(IF(TrackTable[[#This Row],[ArMatched]], VLOOKUP(AR_M, SubtitlePriorityTable[], 4, FALSE), 0), "")</f>
        <v/>
      </c>
      <c r="AQ30" s="6" t="str">
        <f>IFERROR(IF(TrackTable[[#This Row],[TypeOk]], IF(EXACT(TrackTable[[#This Row],[AR]], "no"), TRUE, FALSE), FALSE), "")</f>
        <v/>
      </c>
      <c r="AR30" s="6" t="str">
        <f>IFERROR(IF(TrackTable[[#This Row],[ArNo]], VLOOKUP("AR_No", SubtitlePriorityTable[], 4, FALSE), 0), "")</f>
        <v/>
      </c>
      <c r="AS30" s="6" t="str">
        <f>IFERROR(IF(TrackTable[[#This Row],[TypeOk]], MAX(TrackTable[[#This Row],[ArMatchedScore]], TrackTable[[#This Row],[ArNoScore]]), ""), "")</f>
        <v/>
      </c>
      <c r="AT30" s="6" t="str">
        <f>IFERROR(IF(TrackTable[[#This Row],[TypeOk]], IF(EXACT(TrackTable[[#This Row],[HD]], "yes"), TRUE, FALSE)), "")</f>
        <v/>
      </c>
      <c r="AU30" s="6" t="str">
        <f>IFERROR(IF(TrackTable[[#This Row],[IsHD]], VLOOKUP("HD_Base", SubtitlePriorityTable[], 4, FALSE), 0), "")</f>
        <v/>
      </c>
      <c r="AV30" s="7" t="str">
        <f>IFERROR(IF(TrackTable[[#This Row],[TypeOk]], IF(MIN(ROW(TrackTable[Track]))=ROW(TrackTable[[#This Row],[Track]]), TRUE, FALSE), ""), "")</f>
        <v/>
      </c>
      <c r="AW30" s="6" t="str">
        <f>IFERROR(IF(TrackTable[[#This Row],[TypeOk]], TrackTable[[#This Row],[IsFirstTrack]]*VLOOKUP("First_Track", SubtitleConfiguration[], 3, FALSE), ""), "")</f>
        <v/>
      </c>
      <c r="AX30" s="6" t="str">
        <f>IF(ISBLANK(TrackTable[[#This Row],[Track]]), EMPTY_VALUE, TrackTable[[#This Row],[LangScore]]+TrackTable[[#This Row],[MainTypeScore]]+TrackTable[[#This Row],[HohScore]]+TrackTable[[#This Row],[ArScore]]+TrackTable[[#This Row],[HdScore]]+TrackTable[[#This Row],[Track Score]])</f>
        <v/>
      </c>
      <c r="AY30" s="4" t="str">
        <f>IFERROR(_xlfn.RANK.EQ(TrackTable[[#This Row],[Score]],TrackTable[Score], 0), "")</f>
        <v/>
      </c>
      <c r="AZ30" s="4" t="str">
        <f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f>
        <v/>
      </c>
      <c r="BA30" s="2"/>
    </row>
    <row r="31" spans="2:53" x14ac:dyDescent="0.3">
      <c r="C31" s="5" t="str">
        <f>IF(ISBLANK(TrackTable[[#This Row],[Track]]), EMPTY_VALUE, IFERROR(VLOOKUP(TrackTable[[#This Row],[Track]], SubtitleTrackDb[], 2, FALSE), EMPTY_VALUE))</f>
        <v/>
      </c>
      <c r="D31" s="5" t="str">
        <f>IF(ISBLANK(TrackTable[[#This Row],[Track]]), EMPTY_VALUE, IFERROR(VLOOKUP(TrackTable[[#This Row],[Track]], SubtitleTrackDb[], 3, FALSE), EMPTY_VALUE))</f>
        <v/>
      </c>
      <c r="E31" s="5" t="str">
        <f>IF(ISBLANK(TrackTable[[#This Row],[Track]]), EMPTY_VALUE, IFERROR(VLOOKUP(TrackTable[[#This Row],[Track]], SubtitleTrackDb[], 4, FALSE), "n/a"))</f>
        <v/>
      </c>
      <c r="F31" s="5" t="str">
        <f>IF(ISBLANK(TrackTable[[#This Row],[Track]]), EMPTY_VALUE, IFERROR(VLOOKUP(TrackTable[[#This Row],[Track]], SubtitleTrackDb[], 5, FALSE), "n/a"))</f>
        <v/>
      </c>
      <c r="G31" s="5" t="str">
        <f>IF(ISBLANK(TrackTable[[#This Row],[Track]]), EMPTY_VALUE, IFERROR(VLOOKUP(TrackTable[[#This Row],[Track]], SubtitleTrackDb[], 6, FALSE), "n/a"))</f>
        <v/>
      </c>
      <c r="H31" s="5" t="str">
        <f>IF(ISBLANK(TrackTable[[#This Row],[Track]]), EMPTY_VALUE, IFERROR(VLOOKUP(TrackTable[[#This Row],[Track]], SubtitleTrackDb[], 7, FALSE), "n/a"))</f>
        <v/>
      </c>
      <c r="I31" s="5" t="str">
        <f>IF(ISBLANK(TrackTable[[#This Row],[Track]]), EMPTY_VALUE, IF(LEN(TrackTable[[#This Row],[Lang]])=3, TRUE,  FALSE))</f>
        <v/>
      </c>
      <c r="J31" s="5" t="str">
        <f>IF(ISBLANK(TrackTable[[#This Row],[Track]]), EMPTY_VALUE, AND(NOT(ISBLANK(TrackTable[[#This Row],[Track]])), LEN(TrackTable[[#This Row],[Type Code]])=4))</f>
        <v/>
      </c>
      <c r="K31" s="1" t="str">
        <f>IF(ISBLANK(TrackTable[[#This Row],[Track]]), "", IF(AND(TrackTable[[#This Row],[LangOk]], EXACT(VLOOKUP(LANG_USER_KEY, Configuration[], 2, FALSE), TrackTable[[#This Row],[Lang]])), TRUE, FALSE))</f>
        <v/>
      </c>
      <c r="L31" s="1" t="str">
        <f>IFERROR(TrackTable[[#This Row],[LangUsrMatched]]*VLOOKUP(LANG_USER, SubtitleConfiguration[], 3, FALSE), "")</f>
        <v/>
      </c>
      <c r="M31" s="1" t="str">
        <f>IF(ISBLANK(TrackTable[[#This Row],[Track]]), "", IF(AND(TrackTable[[#This Row],[LangOk]], EXACT(VLOOKUP(LANG_SUBTTL_KEY, Configuration[], 2, FALSE), TrackTable[[#This Row],[Lang]])), TRUE, FALSE))</f>
        <v/>
      </c>
      <c r="N31" s="1" t="str">
        <f>IFERROR(TrackTable[[#This Row],[LangSubttlMatched0]]*VLOOKUP(LANG_SUBTTL, SubtitleConfiguration[], 3, FALSE), "")</f>
        <v/>
      </c>
      <c r="O31" s="1" t="str">
        <f>IF(ISBLANK(TrackTable[[#This Row],[Track]]), "", IF(AND(TrackTable[[#This Row],[LangOk]], EXACT(VLOOKUP(LANG_SUBTTL_KEY1, Configuration[], 2, FALSE), TrackTable[[#This Row],[Lang]])), TRUE, FALSE))</f>
        <v/>
      </c>
      <c r="P31" s="1" t="str">
        <f>IFERROR(TrackTable[[#This Row],[LangSubttlMatched1]]*VLOOKUP(LANG_SUBTTL1, SubtitleConfiguration[], 3, FALSE), "")</f>
        <v/>
      </c>
      <c r="Q31" s="1" t="str">
        <f>IF(ISBLANK(TrackTable[[#This Row],[Track]]), "", IF(AND(TrackTable[[#This Row],[LangOk]], EXACT(VLOOKUP(LANG_OSD_KEY, Configuration[], 2, FALSE), TrackTable[[#This Row],[Lang]])), TRUE, FALSE))</f>
        <v/>
      </c>
      <c r="R31" s="1" t="str">
        <f>IFERROR(TrackTable[[#This Row],[LangOsdMatched]]*VLOOKUP(LANG_OSD, SubtitleConfiguration[], 3, FALSE), "")</f>
        <v/>
      </c>
      <c r="S31" s="1" t="str">
        <f>IF(ISBLANK(TrackTable[[#This Row],[Track]]), "", IF(AND(TrackTable[[#This Row],[LangOk]], EXACT(VLOOKUP(LANG_UND_KEY, Configuration[], 2, FALSE), TrackTable[[#This Row],[Lang]])), TRUE, FALSE))</f>
        <v/>
      </c>
      <c r="T31" s="1" t="str">
        <f>IFERROR(TrackTable[[#This Row],[LangUndefined]]*VLOOKUP(LANG_UND, SubtitleConfiguration[], 3, FALSE), "")</f>
        <v/>
      </c>
      <c r="U31" s="1" t="str">
        <f>IF(ISBLANK(TrackTable[[#This Row],[Track]]), "", IF(AND(TrackTable[[#This Row],[LangOk]], EXACT(VLOOKUP(LANG_ORG_KEY, Configuration[], 2, FALSE), TrackTable[[#This Row],[Lang]])), TRUE, FALSE))</f>
        <v/>
      </c>
      <c r="V31" s="1" t="str">
        <f>IFERROR(TrackTable[[#This Row],[LangOriginal]]*VLOOKUP(LANG_ORG, SubtitleConfiguration[], 3, FALSE), "")</f>
        <v/>
      </c>
      <c r="W31" s="1" t="str">
        <f>IF(ISBLANK(TrackTable[[#This Row],[Track]]), "", IF(AND(TrackTable[[#This Row],[LangOk]], EXACT(VLOOKUP(LANG_DEF_KEY, Configuration[], 2, FALSE), TrackTable[[#This Row],[Lang]])), TRUE, FALSE))</f>
        <v/>
      </c>
      <c r="X31" s="1" t="str">
        <f>IFERROR(TrackTable[[#This Row],[LangDefault]]*VLOOKUP(LANG_DEF, SubtitleConfiguration[], 3, FALSE), "")</f>
        <v/>
      </c>
      <c r="Y31" s="6" t="str">
        <f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f>
        <v/>
      </c>
      <c r="Z31" s="7" t="str">
        <f>IFERROR(IF(TrackTable[[#This Row],[TypeOk]], AND(VLOOKUP("Type_DVB", Configuration[], 2, FALSE), EXACT(TrackTable[[#This Row],[MainType]], "DVB")), FALSE), "")</f>
        <v/>
      </c>
      <c r="AA31" s="7" t="str">
        <f>IFERROR(IF(TrackTable[[#This Row],[DvbMatched]], VLOOKUP(DVB_M, SubtitlePriorityTable[], 4, FALSE), 0), "")</f>
        <v/>
      </c>
      <c r="AB31" s="7">
        <f>IFERROR(IF(AND(NOT(VLOOKUP("Type_DVB", Configuration[], 2, FALSE)), EXACT(TrackTable[[#This Row],[MainType]], "EBU")), VLOOKUP("Type_EBU", SubtitlePriorityTable[], 4, FALSE), 0), "")</f>
        <v>0</v>
      </c>
      <c r="AC31" s="6" t="str">
        <f>IFERROR(IF(TrackTable[[#This Row],[TypeOk]], MAX(TrackTable[[#This Row],[DvbScore]], TrackTable[[#This Row],[EubScore]]), ""),  "")</f>
        <v/>
      </c>
      <c r="AD31" s="6" t="str">
        <f>IFERROR(AND(TrackTable[[#This Row],[TypeOk]], IFERROR(TrackTable[[#This Row],[HOH]], #VALUE!), VLOOKUP(HOH_M, Configuration[], 2, FALSE)), "")</f>
        <v/>
      </c>
      <c r="AE31" s="6" t="str">
        <f>IFERROR(IF(TrackTable[[#This Row],[HohMatched]], VLOOKUP(HOH_M, SubtitlePriorityTable[], 4, FALSE), 0), "")</f>
        <v/>
      </c>
      <c r="AF31" s="6" t="str">
        <f>IFERROR(AND(TrackTable[[#This Row],[TypeOk]], IFERROR(TrackTable[[#This Row],[HOH]], #VALUE!), EXACT(VLOOKUP(HOH_U, Configuration[], 2, FALSE), TRUE)), "")</f>
        <v/>
      </c>
      <c r="AG31" s="6" t="str">
        <f>IFERROR(IF(TrackTable[[#This Row],[HohMatchedUser]], VLOOKUP(HOH_U, SubtitlePriorityTable[], 4, FALSE), 0), "")</f>
        <v/>
      </c>
      <c r="AH31" s="6" t="str">
        <f>IFERROR(AND(TrackTable[[#This Row],[TypeOk]], NOT(TrackTable[[#This Row],[HOH]]), OR(EXACT(VLOOKUP(HOH_M, Configuration[], 2, FALSE), TRUE), EXACT(VLOOKUP(HOH_U, Configuration[], 2, FALSE), TRUE))), "")</f>
        <v/>
      </c>
      <c r="AI31" s="6" t="str">
        <f>IFERROR(IF(TrackTable[[#This Row],[HohOnEsNo]], VLOOKUP("HOH_OnEsNo", SubtitlePriorityTable[], 4, FALSE), 0), "")</f>
        <v/>
      </c>
      <c r="AJ31" s="6" t="str">
        <f>IFERROR(AND(TrackTable[[#This Row],[TypeOk]], IFERROR(TrackTable[[#This Row],[HOH]], #VALUE!), AND(EXACT(VLOOKUP(HOH_M, Configuration[], 2, FALSE), FALSE), EXACT(VLOOKUP(HOH_U, Configuration[], 2, FALSE), FALSE))), "")</f>
        <v/>
      </c>
      <c r="AK31" s="6" t="str">
        <f>IFERROR(IF(TrackTable[[#This Row],[HohOffEsYes]], VLOOKUP("HOH_OffEsYes", SubtitlePriorityTable[], 4, FALSE), 0), "")</f>
        <v/>
      </c>
      <c r="AL31" s="6" t="str">
        <f>IFERROR(AND(TrackTable[[#This Row],[TypeOk]], NOT(TrackTable[[#This Row],[HOH]]), AND(EXACT(VLOOKUP(HOH_M, Configuration[], 2, FALSE), FALSE), EXACT(VLOOKUP(HOH_U, Configuration[], 2, FALSE), FALSE))), "")</f>
        <v/>
      </c>
      <c r="AM31" s="6" t="str">
        <f>IFERROR(IF(TrackTable[[#This Row],[HohOffEsNo]], VLOOKUP("HOH_OffEsNo", SubtitlePriorityTable[], 4, FALSE), 0), "")</f>
        <v/>
      </c>
      <c r="AN31" s="6" t="str">
        <f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f>
        <v/>
      </c>
      <c r="AO31" s="6" t="str">
        <f>IFERROR(IF(TrackTable[[#This Row],[TypeOk]], EXACT(VLOOKUP(AR_M, Configuration[], 2, FALSE), TrackTable[[#This Row],[AR]])), "")</f>
        <v/>
      </c>
      <c r="AP31" s="6" t="str">
        <f>IFERROR(IF(TrackTable[[#This Row],[ArMatched]], VLOOKUP(AR_M, SubtitlePriorityTable[], 4, FALSE), 0), "")</f>
        <v/>
      </c>
      <c r="AQ31" s="6" t="str">
        <f>IFERROR(IF(TrackTable[[#This Row],[TypeOk]], IF(EXACT(TrackTable[[#This Row],[AR]], "no"), TRUE, FALSE), FALSE), "")</f>
        <v/>
      </c>
      <c r="AR31" s="6" t="str">
        <f>IFERROR(IF(TrackTable[[#This Row],[ArNo]], VLOOKUP("AR_No", SubtitlePriorityTable[], 4, FALSE), 0), "")</f>
        <v/>
      </c>
      <c r="AS31" s="6" t="str">
        <f>IFERROR(IF(TrackTable[[#This Row],[TypeOk]], MAX(TrackTable[[#This Row],[ArMatchedScore]], TrackTable[[#This Row],[ArNoScore]]), ""), "")</f>
        <v/>
      </c>
      <c r="AT31" s="6" t="str">
        <f>IFERROR(IF(TrackTable[[#This Row],[TypeOk]], IF(EXACT(TrackTable[[#This Row],[HD]], "yes"), TRUE, FALSE)), "")</f>
        <v/>
      </c>
      <c r="AU31" s="6" t="str">
        <f>IFERROR(IF(TrackTable[[#This Row],[IsHD]], VLOOKUP("HD_Base", SubtitlePriorityTable[], 4, FALSE), 0), "")</f>
        <v/>
      </c>
      <c r="AV31" s="7" t="str">
        <f>IFERROR(IF(TrackTable[[#This Row],[TypeOk]], IF(MIN(ROW(TrackTable[Track]))=ROW(TrackTable[[#This Row],[Track]]), TRUE, FALSE), ""), "")</f>
        <v/>
      </c>
      <c r="AW31" s="6" t="str">
        <f>IFERROR(IF(TrackTable[[#This Row],[TypeOk]], TrackTable[[#This Row],[IsFirstTrack]]*VLOOKUP("First_Track", SubtitleConfiguration[], 3, FALSE), ""), "")</f>
        <v/>
      </c>
      <c r="AX31" s="6" t="str">
        <f>IF(ISBLANK(TrackTable[[#This Row],[Track]]), EMPTY_VALUE, TrackTable[[#This Row],[LangScore]]+TrackTable[[#This Row],[MainTypeScore]]+TrackTable[[#This Row],[HohScore]]+TrackTable[[#This Row],[ArScore]]+TrackTable[[#This Row],[HdScore]]+TrackTable[[#This Row],[Track Score]])</f>
        <v/>
      </c>
      <c r="AY31" s="4" t="str">
        <f>IFERROR(_xlfn.RANK.EQ(TrackTable[[#This Row],[Score]],TrackTable[Score], 0), "")</f>
        <v/>
      </c>
      <c r="AZ31" s="4" t="str">
        <f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f>
        <v/>
      </c>
      <c r="BA31" s="2"/>
    </row>
    <row r="32" spans="2:53" x14ac:dyDescent="0.3">
      <c r="C32" s="5" t="str">
        <f>IF(ISBLANK(TrackTable[[#This Row],[Track]]), EMPTY_VALUE, IFERROR(VLOOKUP(TrackTable[[#This Row],[Track]], SubtitleTrackDb[], 2, FALSE), EMPTY_VALUE))</f>
        <v/>
      </c>
      <c r="D32" s="5" t="str">
        <f>IF(ISBLANK(TrackTable[[#This Row],[Track]]), EMPTY_VALUE, IFERROR(VLOOKUP(TrackTable[[#This Row],[Track]], SubtitleTrackDb[], 3, FALSE), EMPTY_VALUE))</f>
        <v/>
      </c>
      <c r="E32" s="5" t="str">
        <f>IF(ISBLANK(TrackTable[[#This Row],[Track]]), EMPTY_VALUE, IFERROR(VLOOKUP(TrackTable[[#This Row],[Track]], SubtitleTrackDb[], 4, FALSE), "n/a"))</f>
        <v/>
      </c>
      <c r="F32" s="5" t="str">
        <f>IF(ISBLANK(TrackTable[[#This Row],[Track]]), EMPTY_VALUE, IFERROR(VLOOKUP(TrackTable[[#This Row],[Track]], SubtitleTrackDb[], 5, FALSE), "n/a"))</f>
        <v/>
      </c>
      <c r="G32" s="5" t="str">
        <f>IF(ISBLANK(TrackTable[[#This Row],[Track]]), EMPTY_VALUE, IFERROR(VLOOKUP(TrackTable[[#This Row],[Track]], SubtitleTrackDb[], 6, FALSE), "n/a"))</f>
        <v/>
      </c>
      <c r="H32" s="5" t="str">
        <f>IF(ISBLANK(TrackTable[[#This Row],[Track]]), EMPTY_VALUE, IFERROR(VLOOKUP(TrackTable[[#This Row],[Track]], SubtitleTrackDb[], 7, FALSE), "n/a"))</f>
        <v/>
      </c>
      <c r="I32" s="5" t="str">
        <f>IF(ISBLANK(TrackTable[[#This Row],[Track]]), EMPTY_VALUE, IF(LEN(TrackTable[[#This Row],[Lang]])=3, TRUE,  FALSE))</f>
        <v/>
      </c>
      <c r="J32" s="5" t="str">
        <f>IF(ISBLANK(TrackTable[[#This Row],[Track]]), EMPTY_VALUE, AND(NOT(ISBLANK(TrackTable[[#This Row],[Track]])), LEN(TrackTable[[#This Row],[Type Code]])=4))</f>
        <v/>
      </c>
      <c r="K32" s="1" t="str">
        <f>IF(ISBLANK(TrackTable[[#This Row],[Track]]), "", IF(AND(TrackTable[[#This Row],[LangOk]], EXACT(VLOOKUP(LANG_USER_KEY, Configuration[], 2, FALSE), TrackTable[[#This Row],[Lang]])), TRUE, FALSE))</f>
        <v/>
      </c>
      <c r="L32" s="1" t="str">
        <f>IFERROR(TrackTable[[#This Row],[LangUsrMatched]]*VLOOKUP(LANG_USER, SubtitleConfiguration[], 3, FALSE), "")</f>
        <v/>
      </c>
      <c r="M32" s="1" t="str">
        <f>IF(ISBLANK(TrackTable[[#This Row],[Track]]), "", IF(AND(TrackTable[[#This Row],[LangOk]], EXACT(VLOOKUP(LANG_SUBTTL_KEY, Configuration[], 2, FALSE), TrackTable[[#This Row],[Lang]])), TRUE, FALSE))</f>
        <v/>
      </c>
      <c r="N32" s="1" t="str">
        <f>IFERROR(TrackTable[[#This Row],[LangSubttlMatched0]]*VLOOKUP(LANG_SUBTTL, SubtitleConfiguration[], 3, FALSE), "")</f>
        <v/>
      </c>
      <c r="O32" s="1" t="str">
        <f>IF(ISBLANK(TrackTable[[#This Row],[Track]]), "", IF(AND(TrackTable[[#This Row],[LangOk]], EXACT(VLOOKUP(LANG_SUBTTL_KEY1, Configuration[], 2, FALSE), TrackTable[[#This Row],[Lang]])), TRUE, FALSE))</f>
        <v/>
      </c>
      <c r="P32" s="1" t="str">
        <f>IFERROR(TrackTable[[#This Row],[LangSubttlMatched1]]*VLOOKUP(LANG_SUBTTL1, SubtitleConfiguration[], 3, FALSE), "")</f>
        <v/>
      </c>
      <c r="Q32" s="1" t="str">
        <f>IF(ISBLANK(TrackTable[[#This Row],[Track]]), "", IF(AND(TrackTable[[#This Row],[LangOk]], EXACT(VLOOKUP(LANG_OSD_KEY, Configuration[], 2, FALSE), TrackTable[[#This Row],[Lang]])), TRUE, FALSE))</f>
        <v/>
      </c>
      <c r="R32" s="1" t="str">
        <f>IFERROR(TrackTable[[#This Row],[LangOsdMatched]]*VLOOKUP(LANG_OSD, SubtitleConfiguration[], 3, FALSE), "")</f>
        <v/>
      </c>
      <c r="S32" s="1" t="str">
        <f>IF(ISBLANK(TrackTable[[#This Row],[Track]]), "", IF(AND(TrackTable[[#This Row],[LangOk]], EXACT(VLOOKUP(LANG_UND_KEY, Configuration[], 2, FALSE), TrackTable[[#This Row],[Lang]])), TRUE, FALSE))</f>
        <v/>
      </c>
      <c r="T32" s="1" t="str">
        <f>IFERROR(TrackTable[[#This Row],[LangUndefined]]*VLOOKUP(LANG_UND, SubtitleConfiguration[], 3, FALSE), "")</f>
        <v/>
      </c>
      <c r="U32" s="1" t="str">
        <f>IF(ISBLANK(TrackTable[[#This Row],[Track]]), "", IF(AND(TrackTable[[#This Row],[LangOk]], EXACT(VLOOKUP(LANG_ORG_KEY, Configuration[], 2, FALSE), TrackTable[[#This Row],[Lang]])), TRUE, FALSE))</f>
        <v/>
      </c>
      <c r="V32" s="1" t="str">
        <f>IFERROR(TrackTable[[#This Row],[LangOriginal]]*VLOOKUP(LANG_ORG, SubtitleConfiguration[], 3, FALSE), "")</f>
        <v/>
      </c>
      <c r="W32" s="1" t="str">
        <f>IF(ISBLANK(TrackTable[[#This Row],[Track]]), "", IF(AND(TrackTable[[#This Row],[LangOk]], EXACT(VLOOKUP(LANG_DEF_KEY, Configuration[], 2, FALSE), TrackTable[[#This Row],[Lang]])), TRUE, FALSE))</f>
        <v/>
      </c>
      <c r="X32" s="1" t="str">
        <f>IFERROR(TrackTable[[#This Row],[LangDefault]]*VLOOKUP(LANG_DEF, SubtitleConfiguration[], 3, FALSE), "")</f>
        <v/>
      </c>
      <c r="Y32" s="6" t="str">
        <f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f>
        <v/>
      </c>
      <c r="Z32" s="7" t="str">
        <f>IFERROR(IF(TrackTable[[#This Row],[TypeOk]], AND(VLOOKUP("Type_DVB", Configuration[], 2, FALSE), EXACT(TrackTable[[#This Row],[MainType]], "DVB")), FALSE), "")</f>
        <v/>
      </c>
      <c r="AA32" s="7" t="str">
        <f>IFERROR(IF(TrackTable[[#This Row],[DvbMatched]], VLOOKUP(DVB_M, SubtitlePriorityTable[], 4, FALSE), 0), "")</f>
        <v/>
      </c>
      <c r="AB32" s="7">
        <f>IFERROR(IF(AND(NOT(VLOOKUP("Type_DVB", Configuration[], 2, FALSE)), EXACT(TrackTable[[#This Row],[MainType]], "EBU")), VLOOKUP("Type_EBU", SubtitlePriorityTable[], 4, FALSE), 0), "")</f>
        <v>0</v>
      </c>
      <c r="AC32" s="6" t="str">
        <f>IFERROR(IF(TrackTable[[#This Row],[TypeOk]], MAX(TrackTable[[#This Row],[DvbScore]], TrackTable[[#This Row],[EubScore]]), ""),  "")</f>
        <v/>
      </c>
      <c r="AD32" s="6" t="str">
        <f>IFERROR(AND(TrackTable[[#This Row],[TypeOk]], IFERROR(TrackTable[[#This Row],[HOH]], #VALUE!), VLOOKUP(HOH_M, Configuration[], 2, FALSE)), "")</f>
        <v/>
      </c>
      <c r="AE32" s="6" t="str">
        <f>IFERROR(IF(TrackTable[[#This Row],[HohMatched]], VLOOKUP(HOH_M, SubtitlePriorityTable[], 4, FALSE), 0), "")</f>
        <v/>
      </c>
      <c r="AF32" s="6" t="str">
        <f>IFERROR(AND(TrackTable[[#This Row],[TypeOk]], IFERROR(TrackTable[[#This Row],[HOH]], #VALUE!), EXACT(VLOOKUP(HOH_U, Configuration[], 2, FALSE), TRUE)), "")</f>
        <v/>
      </c>
      <c r="AG32" s="6" t="str">
        <f>IFERROR(IF(TrackTable[[#This Row],[HohMatchedUser]], VLOOKUP(HOH_U, SubtitlePriorityTable[], 4, FALSE), 0), "")</f>
        <v/>
      </c>
      <c r="AH32" s="6" t="str">
        <f>IFERROR(AND(TrackTable[[#This Row],[TypeOk]], NOT(TrackTable[[#This Row],[HOH]]), OR(EXACT(VLOOKUP(HOH_M, Configuration[], 2, FALSE), TRUE), EXACT(VLOOKUP(HOH_U, Configuration[], 2, FALSE), TRUE))), "")</f>
        <v/>
      </c>
      <c r="AI32" s="6" t="str">
        <f>IFERROR(IF(TrackTable[[#This Row],[HohOnEsNo]], VLOOKUP("HOH_OnEsNo", SubtitlePriorityTable[], 4, FALSE), 0), "")</f>
        <v/>
      </c>
      <c r="AJ32" s="6" t="str">
        <f>IFERROR(AND(TrackTable[[#This Row],[TypeOk]], IFERROR(TrackTable[[#This Row],[HOH]], #VALUE!), AND(EXACT(VLOOKUP(HOH_M, Configuration[], 2, FALSE), FALSE), EXACT(VLOOKUP(HOH_U, Configuration[], 2, FALSE), FALSE))), "")</f>
        <v/>
      </c>
      <c r="AK32" s="6" t="str">
        <f>IFERROR(IF(TrackTable[[#This Row],[HohOffEsYes]], VLOOKUP("HOH_OffEsYes", SubtitlePriorityTable[], 4, FALSE), 0), "")</f>
        <v/>
      </c>
      <c r="AL32" s="6" t="str">
        <f>IFERROR(AND(TrackTable[[#This Row],[TypeOk]], NOT(TrackTable[[#This Row],[HOH]]), AND(EXACT(VLOOKUP(HOH_M, Configuration[], 2, FALSE), FALSE), EXACT(VLOOKUP(HOH_U, Configuration[], 2, FALSE), FALSE))), "")</f>
        <v/>
      </c>
      <c r="AM32" s="6" t="str">
        <f>IFERROR(IF(TrackTable[[#This Row],[HohOffEsNo]], VLOOKUP("HOH_OffEsNo", SubtitlePriorityTable[], 4, FALSE), 0), "")</f>
        <v/>
      </c>
      <c r="AN32" s="6" t="str">
        <f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f>
        <v/>
      </c>
      <c r="AO32" s="6" t="str">
        <f>IFERROR(IF(TrackTable[[#This Row],[TypeOk]], EXACT(VLOOKUP(AR_M, Configuration[], 2, FALSE), TrackTable[[#This Row],[AR]])), "")</f>
        <v/>
      </c>
      <c r="AP32" s="6" t="str">
        <f>IFERROR(IF(TrackTable[[#This Row],[ArMatched]], VLOOKUP(AR_M, SubtitlePriorityTable[], 4, FALSE), 0), "")</f>
        <v/>
      </c>
      <c r="AQ32" s="6" t="str">
        <f>IFERROR(IF(TrackTable[[#This Row],[TypeOk]], IF(EXACT(TrackTable[[#This Row],[AR]], "no"), TRUE, FALSE), FALSE), "")</f>
        <v/>
      </c>
      <c r="AR32" s="6" t="str">
        <f>IFERROR(IF(TrackTable[[#This Row],[ArNo]], VLOOKUP("AR_No", SubtitlePriorityTable[], 4, FALSE), 0), "")</f>
        <v/>
      </c>
      <c r="AS32" s="6" t="str">
        <f>IFERROR(IF(TrackTable[[#This Row],[TypeOk]], MAX(TrackTable[[#This Row],[ArMatchedScore]], TrackTable[[#This Row],[ArNoScore]]), ""), "")</f>
        <v/>
      </c>
      <c r="AT32" s="6" t="str">
        <f>IFERROR(IF(TrackTable[[#This Row],[TypeOk]], IF(EXACT(TrackTable[[#This Row],[HD]], "yes"), TRUE, FALSE)), "")</f>
        <v/>
      </c>
      <c r="AU32" s="6" t="str">
        <f>IFERROR(IF(TrackTable[[#This Row],[IsHD]], VLOOKUP("HD_Base", SubtitlePriorityTable[], 4, FALSE), 0), "")</f>
        <v/>
      </c>
      <c r="AV32" s="7" t="str">
        <f>IFERROR(IF(TrackTable[[#This Row],[TypeOk]], IF(MIN(ROW(TrackTable[Track]))=ROW(TrackTable[[#This Row],[Track]]), TRUE, FALSE), ""), "")</f>
        <v/>
      </c>
      <c r="AW32" s="6" t="str">
        <f>IFERROR(IF(TrackTable[[#This Row],[TypeOk]], TrackTable[[#This Row],[IsFirstTrack]]*VLOOKUP("First_Track", SubtitleConfiguration[], 3, FALSE), ""), "")</f>
        <v/>
      </c>
      <c r="AX32" s="6" t="str">
        <f>IF(ISBLANK(TrackTable[[#This Row],[Track]]), EMPTY_VALUE, TrackTable[[#This Row],[LangScore]]+TrackTable[[#This Row],[MainTypeScore]]+TrackTable[[#This Row],[HohScore]]+TrackTable[[#This Row],[ArScore]]+TrackTable[[#This Row],[HdScore]]+TrackTable[[#This Row],[Track Score]])</f>
        <v/>
      </c>
      <c r="AY32" s="4" t="str">
        <f>IFERROR(_xlfn.RANK.EQ(TrackTable[[#This Row],[Score]],TrackTable[Score], 0), "")</f>
        <v/>
      </c>
      <c r="AZ32" s="4" t="str">
        <f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f>
        <v/>
      </c>
      <c r="BA32" s="2"/>
    </row>
    <row r="33" spans="2:53" x14ac:dyDescent="0.3">
      <c r="C33" s="5" t="str">
        <f>IF(ISBLANK(TrackTable[[#This Row],[Track]]), EMPTY_VALUE, IFERROR(VLOOKUP(TrackTable[[#This Row],[Track]], SubtitleTrackDb[], 2, FALSE), EMPTY_VALUE))</f>
        <v/>
      </c>
      <c r="D33" s="5" t="str">
        <f>IF(ISBLANK(TrackTable[[#This Row],[Track]]), EMPTY_VALUE, IFERROR(VLOOKUP(TrackTable[[#This Row],[Track]], SubtitleTrackDb[], 3, FALSE), EMPTY_VALUE))</f>
        <v/>
      </c>
      <c r="E33" s="5" t="str">
        <f>IF(ISBLANK(TrackTable[[#This Row],[Track]]), EMPTY_VALUE, IFERROR(VLOOKUP(TrackTable[[#This Row],[Track]], SubtitleTrackDb[], 4, FALSE), "n/a"))</f>
        <v/>
      </c>
      <c r="F33" s="5" t="str">
        <f>IF(ISBLANK(TrackTable[[#This Row],[Track]]), EMPTY_VALUE, IFERROR(VLOOKUP(TrackTable[[#This Row],[Track]], SubtitleTrackDb[], 5, FALSE), "n/a"))</f>
        <v/>
      </c>
      <c r="G33" s="5" t="str">
        <f>IF(ISBLANK(TrackTable[[#This Row],[Track]]), EMPTY_VALUE, IFERROR(VLOOKUP(TrackTable[[#This Row],[Track]], SubtitleTrackDb[], 6, FALSE), "n/a"))</f>
        <v/>
      </c>
      <c r="H33" s="5" t="str">
        <f>IF(ISBLANK(TrackTable[[#This Row],[Track]]), EMPTY_VALUE, IFERROR(VLOOKUP(TrackTable[[#This Row],[Track]], SubtitleTrackDb[], 7, FALSE), "n/a"))</f>
        <v/>
      </c>
      <c r="I33" s="5" t="str">
        <f>IF(ISBLANK(TrackTable[[#This Row],[Track]]), EMPTY_VALUE, IF(LEN(TrackTable[[#This Row],[Lang]])=3, TRUE,  FALSE))</f>
        <v/>
      </c>
      <c r="J33" s="5" t="str">
        <f>IF(ISBLANK(TrackTable[[#This Row],[Track]]), EMPTY_VALUE, AND(NOT(ISBLANK(TrackTable[[#This Row],[Track]])), LEN(TrackTable[[#This Row],[Type Code]])=4))</f>
        <v/>
      </c>
      <c r="K33" s="1" t="str">
        <f>IF(ISBLANK(TrackTable[[#This Row],[Track]]), "", IF(AND(TrackTable[[#This Row],[LangOk]], EXACT(VLOOKUP(LANG_USER_KEY, Configuration[], 2, FALSE), TrackTable[[#This Row],[Lang]])), TRUE, FALSE))</f>
        <v/>
      </c>
      <c r="L33" s="1" t="str">
        <f>IFERROR(TrackTable[[#This Row],[LangUsrMatched]]*VLOOKUP(LANG_USER, SubtitleConfiguration[], 3, FALSE), "")</f>
        <v/>
      </c>
      <c r="M33" s="1" t="str">
        <f>IF(ISBLANK(TrackTable[[#This Row],[Track]]), "", IF(AND(TrackTable[[#This Row],[LangOk]], EXACT(VLOOKUP(LANG_SUBTTL_KEY, Configuration[], 2, FALSE), TrackTable[[#This Row],[Lang]])), TRUE, FALSE))</f>
        <v/>
      </c>
      <c r="N33" s="1" t="str">
        <f>IFERROR(TrackTable[[#This Row],[LangSubttlMatched0]]*VLOOKUP(LANG_SUBTTL, SubtitleConfiguration[], 3, FALSE), "")</f>
        <v/>
      </c>
      <c r="O33" s="1" t="str">
        <f>IF(ISBLANK(TrackTable[[#This Row],[Track]]), "", IF(AND(TrackTable[[#This Row],[LangOk]], EXACT(VLOOKUP(LANG_SUBTTL_KEY1, Configuration[], 2, FALSE), TrackTable[[#This Row],[Lang]])), TRUE, FALSE))</f>
        <v/>
      </c>
      <c r="P33" s="1" t="str">
        <f>IFERROR(TrackTable[[#This Row],[LangSubttlMatched1]]*VLOOKUP(LANG_SUBTTL1, SubtitleConfiguration[], 3, FALSE), "")</f>
        <v/>
      </c>
      <c r="Q33" s="1" t="str">
        <f>IF(ISBLANK(TrackTable[[#This Row],[Track]]), "", IF(AND(TrackTable[[#This Row],[LangOk]], EXACT(VLOOKUP(LANG_OSD_KEY, Configuration[], 2, FALSE), TrackTable[[#This Row],[Lang]])), TRUE, FALSE))</f>
        <v/>
      </c>
      <c r="R33" s="1" t="str">
        <f>IFERROR(TrackTable[[#This Row],[LangOsdMatched]]*VLOOKUP(LANG_OSD, SubtitleConfiguration[], 3, FALSE), "")</f>
        <v/>
      </c>
      <c r="S33" s="1" t="str">
        <f>IF(ISBLANK(TrackTable[[#This Row],[Track]]), "", IF(AND(TrackTable[[#This Row],[LangOk]], EXACT(VLOOKUP(LANG_UND_KEY, Configuration[], 2, FALSE), TrackTable[[#This Row],[Lang]])), TRUE, FALSE))</f>
        <v/>
      </c>
      <c r="T33" s="1" t="str">
        <f>IFERROR(TrackTable[[#This Row],[LangUndefined]]*VLOOKUP(LANG_UND, SubtitleConfiguration[], 3, FALSE), "")</f>
        <v/>
      </c>
      <c r="U33" s="1" t="str">
        <f>IF(ISBLANK(TrackTable[[#This Row],[Track]]), "", IF(AND(TrackTable[[#This Row],[LangOk]], EXACT(VLOOKUP(LANG_ORG_KEY, Configuration[], 2, FALSE), TrackTable[[#This Row],[Lang]])), TRUE, FALSE))</f>
        <v/>
      </c>
      <c r="V33" s="1" t="str">
        <f>IFERROR(TrackTable[[#This Row],[LangOriginal]]*VLOOKUP(LANG_ORG, SubtitleConfiguration[], 3, FALSE), "")</f>
        <v/>
      </c>
      <c r="W33" s="1" t="str">
        <f>IF(ISBLANK(TrackTable[[#This Row],[Track]]), "", IF(AND(TrackTable[[#This Row],[LangOk]], EXACT(VLOOKUP(LANG_DEF_KEY, Configuration[], 2, FALSE), TrackTable[[#This Row],[Lang]])), TRUE, FALSE))</f>
        <v/>
      </c>
      <c r="X33" s="1" t="str">
        <f>IFERROR(TrackTable[[#This Row],[LangDefault]]*VLOOKUP(LANG_DEF, SubtitleConfiguration[], 3, FALSE), "")</f>
        <v/>
      </c>
      <c r="Y33" s="6" t="str">
        <f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f>
        <v/>
      </c>
      <c r="Z33" s="7" t="str">
        <f>IFERROR(IF(TrackTable[[#This Row],[TypeOk]], AND(VLOOKUP("Type_DVB", Configuration[], 2, FALSE), EXACT(TrackTable[[#This Row],[MainType]], "DVB")), FALSE), "")</f>
        <v/>
      </c>
      <c r="AA33" s="7" t="str">
        <f>IFERROR(IF(TrackTable[[#This Row],[DvbMatched]], VLOOKUP(DVB_M, SubtitlePriorityTable[], 4, FALSE), 0), "")</f>
        <v/>
      </c>
      <c r="AB33" s="7">
        <f>IFERROR(IF(AND(NOT(VLOOKUP("Type_DVB", Configuration[], 2, FALSE)), EXACT(TrackTable[[#This Row],[MainType]], "EBU")), VLOOKUP("Type_EBU", SubtitlePriorityTable[], 4, FALSE), 0), "")</f>
        <v>0</v>
      </c>
      <c r="AC33" s="6" t="str">
        <f>IFERROR(IF(TrackTable[[#This Row],[TypeOk]], MAX(TrackTable[[#This Row],[DvbScore]], TrackTable[[#This Row],[EubScore]]), ""),  "")</f>
        <v/>
      </c>
      <c r="AD33" s="6" t="str">
        <f>IFERROR(AND(TrackTable[[#This Row],[TypeOk]], IFERROR(TrackTable[[#This Row],[HOH]], #VALUE!), VLOOKUP(HOH_M, Configuration[], 2, FALSE)), "")</f>
        <v/>
      </c>
      <c r="AE33" s="6" t="str">
        <f>IFERROR(IF(TrackTable[[#This Row],[HohMatched]], VLOOKUP(HOH_M, SubtitlePriorityTable[], 4, FALSE), 0), "")</f>
        <v/>
      </c>
      <c r="AF33" s="6" t="str">
        <f>IFERROR(AND(TrackTable[[#This Row],[TypeOk]], IFERROR(TrackTable[[#This Row],[HOH]], #VALUE!), EXACT(VLOOKUP(HOH_U, Configuration[], 2, FALSE), TRUE)), "")</f>
        <v/>
      </c>
      <c r="AG33" s="6" t="str">
        <f>IFERROR(IF(TrackTable[[#This Row],[HohMatchedUser]], VLOOKUP(HOH_U, SubtitlePriorityTable[], 4, FALSE), 0), "")</f>
        <v/>
      </c>
      <c r="AH33" s="6" t="str">
        <f>IFERROR(AND(TrackTable[[#This Row],[TypeOk]], NOT(TrackTable[[#This Row],[HOH]]), OR(EXACT(VLOOKUP(HOH_M, Configuration[], 2, FALSE), TRUE), EXACT(VLOOKUP(HOH_U, Configuration[], 2, FALSE), TRUE))), "")</f>
        <v/>
      </c>
      <c r="AI33" s="6" t="str">
        <f>IFERROR(IF(TrackTable[[#This Row],[HohOnEsNo]], VLOOKUP("HOH_OnEsNo", SubtitlePriorityTable[], 4, FALSE), 0), "")</f>
        <v/>
      </c>
      <c r="AJ33" s="6" t="str">
        <f>IFERROR(AND(TrackTable[[#This Row],[TypeOk]], IFERROR(TrackTable[[#This Row],[HOH]], #VALUE!), AND(EXACT(VLOOKUP(HOH_M, Configuration[], 2, FALSE), FALSE), EXACT(VLOOKUP(HOH_U, Configuration[], 2, FALSE), FALSE))), "")</f>
        <v/>
      </c>
      <c r="AK33" s="6" t="str">
        <f>IFERROR(IF(TrackTable[[#This Row],[HohOffEsYes]], VLOOKUP("HOH_OffEsYes", SubtitlePriorityTable[], 4, FALSE), 0), "")</f>
        <v/>
      </c>
      <c r="AL33" s="6" t="str">
        <f>IFERROR(AND(TrackTable[[#This Row],[TypeOk]], NOT(TrackTable[[#This Row],[HOH]]), AND(EXACT(VLOOKUP(HOH_M, Configuration[], 2, FALSE), FALSE), EXACT(VLOOKUP(HOH_U, Configuration[], 2, FALSE), FALSE))), "")</f>
        <v/>
      </c>
      <c r="AM33" s="6" t="str">
        <f>IFERROR(IF(TrackTable[[#This Row],[HohOffEsNo]], VLOOKUP("HOH_OffEsNo", SubtitlePriorityTable[], 4, FALSE), 0), "")</f>
        <v/>
      </c>
      <c r="AN33" s="6" t="str">
        <f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f>
        <v/>
      </c>
      <c r="AO33" s="6" t="str">
        <f>IFERROR(IF(TrackTable[[#This Row],[TypeOk]], EXACT(VLOOKUP(AR_M, Configuration[], 2, FALSE), TrackTable[[#This Row],[AR]])), "")</f>
        <v/>
      </c>
      <c r="AP33" s="6" t="str">
        <f>IFERROR(IF(TrackTable[[#This Row],[ArMatched]], VLOOKUP(AR_M, SubtitlePriorityTable[], 4, FALSE), 0), "")</f>
        <v/>
      </c>
      <c r="AQ33" s="6" t="str">
        <f>IFERROR(IF(TrackTable[[#This Row],[TypeOk]], IF(EXACT(TrackTable[[#This Row],[AR]], "no"), TRUE, FALSE), FALSE), "")</f>
        <v/>
      </c>
      <c r="AR33" s="6" t="str">
        <f>IFERROR(IF(TrackTable[[#This Row],[ArNo]], VLOOKUP("AR_No", SubtitlePriorityTable[], 4, FALSE), 0), "")</f>
        <v/>
      </c>
      <c r="AS33" s="6" t="str">
        <f>IFERROR(IF(TrackTable[[#This Row],[TypeOk]], MAX(TrackTable[[#This Row],[ArMatchedScore]], TrackTable[[#This Row],[ArNoScore]]), ""), "")</f>
        <v/>
      </c>
      <c r="AT33" s="6" t="str">
        <f>IFERROR(IF(TrackTable[[#This Row],[TypeOk]], IF(EXACT(TrackTable[[#This Row],[HD]], "yes"), TRUE, FALSE)), "")</f>
        <v/>
      </c>
      <c r="AU33" s="6" t="str">
        <f>IFERROR(IF(TrackTable[[#This Row],[IsHD]], VLOOKUP("HD_Base", SubtitlePriorityTable[], 4, FALSE), 0), "")</f>
        <v/>
      </c>
      <c r="AV33" s="7" t="str">
        <f>IFERROR(IF(TrackTable[[#This Row],[TypeOk]], IF(MIN(ROW(TrackTable[Track]))=ROW(TrackTable[[#This Row],[Track]]), TRUE, FALSE), ""), "")</f>
        <v/>
      </c>
      <c r="AW33" s="6" t="str">
        <f>IFERROR(IF(TrackTable[[#This Row],[TypeOk]], TrackTable[[#This Row],[IsFirstTrack]]*VLOOKUP("First_Track", SubtitleConfiguration[], 3, FALSE), ""), "")</f>
        <v/>
      </c>
      <c r="AX33" s="6" t="str">
        <f>IF(ISBLANK(TrackTable[[#This Row],[Track]]), EMPTY_VALUE, TrackTable[[#This Row],[LangScore]]+TrackTable[[#This Row],[MainTypeScore]]+TrackTable[[#This Row],[HohScore]]+TrackTable[[#This Row],[ArScore]]+TrackTable[[#This Row],[HdScore]]+TrackTable[[#This Row],[Track Score]])</f>
        <v/>
      </c>
      <c r="AY33" s="4" t="str">
        <f>IFERROR(_xlfn.RANK.EQ(TrackTable[[#This Row],[Score]],TrackTable[Score], 0), "")</f>
        <v/>
      </c>
      <c r="AZ33" s="4" t="str">
        <f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f>
        <v/>
      </c>
      <c r="BA33" s="2"/>
    </row>
    <row r="34" spans="2:53" x14ac:dyDescent="0.3">
      <c r="C34" s="5" t="str">
        <f>IF(ISBLANK(TrackTable[[#This Row],[Track]]), EMPTY_VALUE, IFERROR(VLOOKUP(TrackTable[[#This Row],[Track]], SubtitleTrackDb[], 2, FALSE), EMPTY_VALUE))</f>
        <v/>
      </c>
      <c r="D34" s="5" t="str">
        <f>IF(ISBLANK(TrackTable[[#This Row],[Track]]), EMPTY_VALUE, IFERROR(VLOOKUP(TrackTable[[#This Row],[Track]], SubtitleTrackDb[], 3, FALSE), EMPTY_VALUE))</f>
        <v/>
      </c>
      <c r="E34" s="5" t="str">
        <f>IF(ISBLANK(TrackTable[[#This Row],[Track]]), EMPTY_VALUE, IFERROR(VLOOKUP(TrackTable[[#This Row],[Track]], SubtitleTrackDb[], 4, FALSE), "n/a"))</f>
        <v/>
      </c>
      <c r="F34" s="5" t="str">
        <f>IF(ISBLANK(TrackTable[[#This Row],[Track]]), EMPTY_VALUE, IFERROR(VLOOKUP(TrackTable[[#This Row],[Track]], SubtitleTrackDb[], 5, FALSE), "n/a"))</f>
        <v/>
      </c>
      <c r="G34" s="5" t="str">
        <f>IF(ISBLANK(TrackTable[[#This Row],[Track]]), EMPTY_VALUE, IFERROR(VLOOKUP(TrackTable[[#This Row],[Track]], SubtitleTrackDb[], 6, FALSE), "n/a"))</f>
        <v/>
      </c>
      <c r="H34" s="5" t="str">
        <f>IF(ISBLANK(TrackTable[[#This Row],[Track]]), EMPTY_VALUE, IFERROR(VLOOKUP(TrackTable[[#This Row],[Track]], SubtitleTrackDb[], 7, FALSE), "n/a"))</f>
        <v/>
      </c>
      <c r="I34" s="5" t="str">
        <f>IF(ISBLANK(TrackTable[[#This Row],[Track]]), EMPTY_VALUE, IF(LEN(TrackTable[[#This Row],[Lang]])=3, TRUE,  FALSE))</f>
        <v/>
      </c>
      <c r="J34" s="5" t="str">
        <f>IF(ISBLANK(TrackTable[[#This Row],[Track]]), EMPTY_VALUE, AND(NOT(ISBLANK(TrackTable[[#This Row],[Track]])), LEN(TrackTable[[#This Row],[Type Code]])=4))</f>
        <v/>
      </c>
      <c r="K34" s="1" t="str">
        <f>IF(ISBLANK(TrackTable[[#This Row],[Track]]), "", IF(AND(TrackTable[[#This Row],[LangOk]], EXACT(VLOOKUP(LANG_USER_KEY, Configuration[], 2, FALSE), TrackTable[[#This Row],[Lang]])), TRUE, FALSE))</f>
        <v/>
      </c>
      <c r="L34" s="1" t="str">
        <f>IFERROR(TrackTable[[#This Row],[LangUsrMatched]]*VLOOKUP(LANG_USER, SubtitleConfiguration[], 3, FALSE), "")</f>
        <v/>
      </c>
      <c r="M34" s="1" t="str">
        <f>IF(ISBLANK(TrackTable[[#This Row],[Track]]), "", IF(AND(TrackTable[[#This Row],[LangOk]], EXACT(VLOOKUP(LANG_SUBTTL_KEY, Configuration[], 2, FALSE), TrackTable[[#This Row],[Lang]])), TRUE, FALSE))</f>
        <v/>
      </c>
      <c r="N34" s="1" t="str">
        <f>IFERROR(TrackTable[[#This Row],[LangSubttlMatched0]]*VLOOKUP(LANG_SUBTTL, SubtitleConfiguration[], 3, FALSE), "")</f>
        <v/>
      </c>
      <c r="O34" s="1" t="str">
        <f>IF(ISBLANK(TrackTable[[#This Row],[Track]]), "", IF(AND(TrackTable[[#This Row],[LangOk]], EXACT(VLOOKUP(LANG_SUBTTL_KEY1, Configuration[], 2, FALSE), TrackTable[[#This Row],[Lang]])), TRUE, FALSE))</f>
        <v/>
      </c>
      <c r="P34" s="1" t="str">
        <f>IFERROR(TrackTable[[#This Row],[LangSubttlMatched1]]*VLOOKUP(LANG_SUBTTL1, SubtitleConfiguration[], 3, FALSE), "")</f>
        <v/>
      </c>
      <c r="Q34" s="1" t="str">
        <f>IF(ISBLANK(TrackTable[[#This Row],[Track]]), "", IF(AND(TrackTable[[#This Row],[LangOk]], EXACT(VLOOKUP(LANG_OSD_KEY, Configuration[], 2, FALSE), TrackTable[[#This Row],[Lang]])), TRUE, FALSE))</f>
        <v/>
      </c>
      <c r="R34" s="1" t="str">
        <f>IFERROR(TrackTable[[#This Row],[LangOsdMatched]]*VLOOKUP(LANG_OSD, SubtitleConfiguration[], 3, FALSE), "")</f>
        <v/>
      </c>
      <c r="S34" s="1" t="str">
        <f>IF(ISBLANK(TrackTable[[#This Row],[Track]]), "", IF(AND(TrackTable[[#This Row],[LangOk]], EXACT(VLOOKUP(LANG_UND_KEY, Configuration[], 2, FALSE), TrackTable[[#This Row],[Lang]])), TRUE, FALSE))</f>
        <v/>
      </c>
      <c r="T34" s="1" t="str">
        <f>IFERROR(TrackTable[[#This Row],[LangUndefined]]*VLOOKUP(LANG_UND, SubtitleConfiguration[], 3, FALSE), "")</f>
        <v/>
      </c>
      <c r="U34" s="1" t="str">
        <f>IF(ISBLANK(TrackTable[[#This Row],[Track]]), "", IF(AND(TrackTable[[#This Row],[LangOk]], EXACT(VLOOKUP(LANG_ORG_KEY, Configuration[], 2, FALSE), TrackTable[[#This Row],[Lang]])), TRUE, FALSE))</f>
        <v/>
      </c>
      <c r="V34" s="1" t="str">
        <f>IFERROR(TrackTable[[#This Row],[LangOriginal]]*VLOOKUP(LANG_ORG, SubtitleConfiguration[], 3, FALSE), "")</f>
        <v/>
      </c>
      <c r="W34" s="1" t="str">
        <f>IF(ISBLANK(TrackTable[[#This Row],[Track]]), "", IF(AND(TrackTable[[#This Row],[LangOk]], EXACT(VLOOKUP(LANG_DEF_KEY, Configuration[], 2, FALSE), TrackTable[[#This Row],[Lang]])), TRUE, FALSE))</f>
        <v/>
      </c>
      <c r="X34" s="1" t="str">
        <f>IFERROR(TrackTable[[#This Row],[LangDefault]]*VLOOKUP(LANG_DEF, SubtitleConfiguration[], 3, FALSE), "")</f>
        <v/>
      </c>
      <c r="Y34" s="6" t="str">
        <f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f>
        <v/>
      </c>
      <c r="Z34" s="7" t="str">
        <f>IFERROR(IF(TrackTable[[#This Row],[TypeOk]], AND(VLOOKUP("Type_DVB", Configuration[], 2, FALSE), EXACT(TrackTable[[#This Row],[MainType]], "DVB")), FALSE), "")</f>
        <v/>
      </c>
      <c r="AA34" s="7" t="str">
        <f>IFERROR(IF(TrackTable[[#This Row],[DvbMatched]], VLOOKUP(DVB_M, SubtitlePriorityTable[], 4, FALSE), 0), "")</f>
        <v/>
      </c>
      <c r="AB34" s="7">
        <f>IFERROR(IF(AND(NOT(VLOOKUP("Type_DVB", Configuration[], 2, FALSE)), EXACT(TrackTable[[#This Row],[MainType]], "EBU")), VLOOKUP("Type_EBU", SubtitlePriorityTable[], 4, FALSE), 0), "")</f>
        <v>0</v>
      </c>
      <c r="AC34" s="6" t="str">
        <f>IFERROR(IF(TrackTable[[#This Row],[TypeOk]], MAX(TrackTable[[#This Row],[DvbScore]], TrackTable[[#This Row],[EubScore]]), ""),  "")</f>
        <v/>
      </c>
      <c r="AD34" s="6" t="str">
        <f>IFERROR(AND(TrackTable[[#This Row],[TypeOk]], IFERROR(TrackTable[[#This Row],[HOH]], #VALUE!), VLOOKUP(HOH_M, Configuration[], 2, FALSE)), "")</f>
        <v/>
      </c>
      <c r="AE34" s="6" t="str">
        <f>IFERROR(IF(TrackTable[[#This Row],[HohMatched]], VLOOKUP(HOH_M, SubtitlePriorityTable[], 4, FALSE), 0), "")</f>
        <v/>
      </c>
      <c r="AF34" s="6" t="str">
        <f>IFERROR(AND(TrackTable[[#This Row],[TypeOk]], IFERROR(TrackTable[[#This Row],[HOH]], #VALUE!), EXACT(VLOOKUP(HOH_U, Configuration[], 2, FALSE), TRUE)), "")</f>
        <v/>
      </c>
      <c r="AG34" s="6" t="str">
        <f>IFERROR(IF(TrackTable[[#This Row],[HohMatchedUser]], VLOOKUP(HOH_U, SubtitlePriorityTable[], 4, FALSE), 0), "")</f>
        <v/>
      </c>
      <c r="AH34" s="6" t="str">
        <f>IFERROR(AND(TrackTable[[#This Row],[TypeOk]], NOT(TrackTable[[#This Row],[HOH]]), OR(EXACT(VLOOKUP(HOH_M, Configuration[], 2, FALSE), TRUE), EXACT(VLOOKUP(HOH_U, Configuration[], 2, FALSE), TRUE))), "")</f>
        <v/>
      </c>
      <c r="AI34" s="6" t="str">
        <f>IFERROR(IF(TrackTable[[#This Row],[HohOnEsNo]], VLOOKUP("HOH_OnEsNo", SubtitlePriorityTable[], 4, FALSE), 0), "")</f>
        <v/>
      </c>
      <c r="AJ34" s="6" t="str">
        <f>IFERROR(AND(TrackTable[[#This Row],[TypeOk]], IFERROR(TrackTable[[#This Row],[HOH]], #VALUE!), AND(EXACT(VLOOKUP(HOH_M, Configuration[], 2, FALSE), FALSE), EXACT(VLOOKUP(HOH_U, Configuration[], 2, FALSE), FALSE))), "")</f>
        <v/>
      </c>
      <c r="AK34" s="6" t="str">
        <f>IFERROR(IF(TrackTable[[#This Row],[HohOffEsYes]], VLOOKUP("HOH_OffEsYes", SubtitlePriorityTable[], 4, FALSE), 0), "")</f>
        <v/>
      </c>
      <c r="AL34" s="6" t="str">
        <f>IFERROR(AND(TrackTable[[#This Row],[TypeOk]], NOT(TrackTable[[#This Row],[HOH]]), AND(EXACT(VLOOKUP(HOH_M, Configuration[], 2, FALSE), FALSE), EXACT(VLOOKUP(HOH_U, Configuration[], 2, FALSE), FALSE))), "")</f>
        <v/>
      </c>
      <c r="AM34" s="6" t="str">
        <f>IFERROR(IF(TrackTable[[#This Row],[HohOffEsNo]], VLOOKUP("HOH_OffEsNo", SubtitlePriorityTable[], 4, FALSE), 0), "")</f>
        <v/>
      </c>
      <c r="AN34" s="6" t="str">
        <f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f>
        <v/>
      </c>
      <c r="AO34" s="6" t="str">
        <f>IFERROR(IF(TrackTable[[#This Row],[TypeOk]], EXACT(VLOOKUP(AR_M, Configuration[], 2, FALSE), TrackTable[[#This Row],[AR]])), "")</f>
        <v/>
      </c>
      <c r="AP34" s="6" t="str">
        <f>IFERROR(IF(TrackTable[[#This Row],[ArMatched]], VLOOKUP(AR_M, SubtitlePriorityTable[], 4, FALSE), 0), "")</f>
        <v/>
      </c>
      <c r="AQ34" s="6" t="str">
        <f>IFERROR(IF(TrackTable[[#This Row],[TypeOk]], IF(EXACT(TrackTable[[#This Row],[AR]], "no"), TRUE, FALSE), FALSE), "")</f>
        <v/>
      </c>
      <c r="AR34" s="6" t="str">
        <f>IFERROR(IF(TrackTable[[#This Row],[ArNo]], VLOOKUP("AR_No", SubtitlePriorityTable[], 4, FALSE), 0), "")</f>
        <v/>
      </c>
      <c r="AS34" s="6" t="str">
        <f>IFERROR(IF(TrackTable[[#This Row],[TypeOk]], MAX(TrackTable[[#This Row],[ArMatchedScore]], TrackTable[[#This Row],[ArNoScore]]), ""), "")</f>
        <v/>
      </c>
      <c r="AT34" s="6" t="str">
        <f>IFERROR(IF(TrackTable[[#This Row],[TypeOk]], IF(EXACT(TrackTable[[#This Row],[HD]], "yes"), TRUE, FALSE)), "")</f>
        <v/>
      </c>
      <c r="AU34" s="6" t="str">
        <f>IFERROR(IF(TrackTable[[#This Row],[IsHD]], VLOOKUP("HD_Base", SubtitlePriorityTable[], 4, FALSE), 0), "")</f>
        <v/>
      </c>
      <c r="AV34" s="7" t="str">
        <f>IFERROR(IF(TrackTable[[#This Row],[TypeOk]], IF(MIN(ROW(TrackTable[Track]))=ROW(TrackTable[[#This Row],[Track]]), TRUE, FALSE), ""), "")</f>
        <v/>
      </c>
      <c r="AW34" s="6" t="str">
        <f>IFERROR(IF(TrackTable[[#This Row],[TypeOk]], TrackTable[[#This Row],[IsFirstTrack]]*VLOOKUP("First_Track", SubtitleConfiguration[], 3, FALSE), ""), "")</f>
        <v/>
      </c>
      <c r="AX34" s="6" t="str">
        <f>IF(ISBLANK(TrackTable[[#This Row],[Track]]), EMPTY_VALUE, TrackTable[[#This Row],[LangScore]]+TrackTable[[#This Row],[MainTypeScore]]+TrackTable[[#This Row],[HohScore]]+TrackTable[[#This Row],[ArScore]]+TrackTable[[#This Row],[HdScore]]+TrackTable[[#This Row],[Track Score]])</f>
        <v/>
      </c>
      <c r="AY34" s="4" t="str">
        <f>IFERROR(_xlfn.RANK.EQ(TrackTable[[#This Row],[Score]],TrackTable[Score], 0), "")</f>
        <v/>
      </c>
      <c r="AZ34" s="4" t="str">
        <f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f>
        <v/>
      </c>
      <c r="BA34" s="2"/>
    </row>
    <row r="35" spans="2:53" x14ac:dyDescent="0.3">
      <c r="C35" s="5" t="str">
        <f>IF(ISBLANK(TrackTable[[#This Row],[Track]]), EMPTY_VALUE, IFERROR(VLOOKUP(TrackTable[[#This Row],[Track]], SubtitleTrackDb[], 2, FALSE), EMPTY_VALUE))</f>
        <v/>
      </c>
      <c r="D35" s="5" t="str">
        <f>IF(ISBLANK(TrackTable[[#This Row],[Track]]), EMPTY_VALUE, IFERROR(VLOOKUP(TrackTable[[#This Row],[Track]], SubtitleTrackDb[], 3, FALSE), EMPTY_VALUE))</f>
        <v/>
      </c>
      <c r="E35" s="5" t="str">
        <f>IF(ISBLANK(TrackTable[[#This Row],[Track]]), EMPTY_VALUE, IFERROR(VLOOKUP(TrackTable[[#This Row],[Track]], SubtitleTrackDb[], 4, FALSE), "n/a"))</f>
        <v/>
      </c>
      <c r="F35" s="5" t="str">
        <f>IF(ISBLANK(TrackTable[[#This Row],[Track]]), EMPTY_VALUE, IFERROR(VLOOKUP(TrackTable[[#This Row],[Track]], SubtitleTrackDb[], 5, FALSE), "n/a"))</f>
        <v/>
      </c>
      <c r="G35" s="5" t="str">
        <f>IF(ISBLANK(TrackTable[[#This Row],[Track]]), EMPTY_VALUE, IFERROR(VLOOKUP(TrackTable[[#This Row],[Track]], SubtitleTrackDb[], 6, FALSE), "n/a"))</f>
        <v/>
      </c>
      <c r="H35" s="5" t="str">
        <f>IF(ISBLANK(TrackTable[[#This Row],[Track]]), EMPTY_VALUE, IFERROR(VLOOKUP(TrackTable[[#This Row],[Track]], SubtitleTrackDb[], 7, FALSE), "n/a"))</f>
        <v/>
      </c>
      <c r="I35" s="5" t="str">
        <f>IF(ISBLANK(TrackTable[[#This Row],[Track]]), EMPTY_VALUE, IF(LEN(TrackTable[[#This Row],[Lang]])=3, TRUE,  FALSE))</f>
        <v/>
      </c>
      <c r="J35" s="5" t="str">
        <f>IF(ISBLANK(TrackTable[[#This Row],[Track]]), EMPTY_VALUE, AND(NOT(ISBLANK(TrackTable[[#This Row],[Track]])), LEN(TrackTable[[#This Row],[Type Code]])=4))</f>
        <v/>
      </c>
      <c r="K35" s="1" t="str">
        <f>IF(ISBLANK(TrackTable[[#This Row],[Track]]), "", IF(AND(TrackTable[[#This Row],[LangOk]], EXACT(VLOOKUP(LANG_USER_KEY, Configuration[], 2, FALSE), TrackTable[[#This Row],[Lang]])), TRUE, FALSE))</f>
        <v/>
      </c>
      <c r="L35" s="1" t="str">
        <f>IFERROR(TrackTable[[#This Row],[LangUsrMatched]]*VLOOKUP(LANG_USER, SubtitleConfiguration[], 3, FALSE), "")</f>
        <v/>
      </c>
      <c r="M35" s="1" t="str">
        <f>IF(ISBLANK(TrackTable[[#This Row],[Track]]), "", IF(AND(TrackTable[[#This Row],[LangOk]], EXACT(VLOOKUP(LANG_SUBTTL_KEY, Configuration[], 2, FALSE), TrackTable[[#This Row],[Lang]])), TRUE, FALSE))</f>
        <v/>
      </c>
      <c r="N35" s="1" t="str">
        <f>IFERROR(TrackTable[[#This Row],[LangSubttlMatched0]]*VLOOKUP(LANG_SUBTTL, SubtitleConfiguration[], 3, FALSE), "")</f>
        <v/>
      </c>
      <c r="O35" s="1" t="str">
        <f>IF(ISBLANK(TrackTable[[#This Row],[Track]]), "", IF(AND(TrackTable[[#This Row],[LangOk]], EXACT(VLOOKUP(LANG_SUBTTL_KEY1, Configuration[], 2, FALSE), TrackTable[[#This Row],[Lang]])), TRUE, FALSE))</f>
        <v/>
      </c>
      <c r="P35" s="1" t="str">
        <f>IFERROR(TrackTable[[#This Row],[LangSubttlMatched1]]*VLOOKUP(LANG_SUBTTL1, SubtitleConfiguration[], 3, FALSE), "")</f>
        <v/>
      </c>
      <c r="Q35" s="1" t="str">
        <f>IF(ISBLANK(TrackTable[[#This Row],[Track]]), "", IF(AND(TrackTable[[#This Row],[LangOk]], EXACT(VLOOKUP(LANG_OSD_KEY, Configuration[], 2, FALSE), TrackTable[[#This Row],[Lang]])), TRUE, FALSE))</f>
        <v/>
      </c>
      <c r="R35" s="1" t="str">
        <f>IFERROR(TrackTable[[#This Row],[LangOsdMatched]]*VLOOKUP(LANG_OSD, SubtitleConfiguration[], 3, FALSE), "")</f>
        <v/>
      </c>
      <c r="S35" s="1" t="str">
        <f>IF(ISBLANK(TrackTable[[#This Row],[Track]]), "", IF(AND(TrackTable[[#This Row],[LangOk]], EXACT(VLOOKUP(LANG_UND_KEY, Configuration[], 2, FALSE), TrackTable[[#This Row],[Lang]])), TRUE, FALSE))</f>
        <v/>
      </c>
      <c r="T35" s="1" t="str">
        <f>IFERROR(TrackTable[[#This Row],[LangUndefined]]*VLOOKUP(LANG_UND, SubtitleConfiguration[], 3, FALSE), "")</f>
        <v/>
      </c>
      <c r="U35" s="1" t="str">
        <f>IF(ISBLANK(TrackTable[[#This Row],[Track]]), "", IF(AND(TrackTable[[#This Row],[LangOk]], EXACT(VLOOKUP(LANG_ORG_KEY, Configuration[], 2, FALSE), TrackTable[[#This Row],[Lang]])), TRUE, FALSE))</f>
        <v/>
      </c>
      <c r="V35" s="1" t="str">
        <f>IFERROR(TrackTable[[#This Row],[LangOriginal]]*VLOOKUP(LANG_ORG, SubtitleConfiguration[], 3, FALSE), "")</f>
        <v/>
      </c>
      <c r="W35" s="1" t="str">
        <f>IF(ISBLANK(TrackTable[[#This Row],[Track]]), "", IF(AND(TrackTable[[#This Row],[LangOk]], EXACT(VLOOKUP(LANG_DEF_KEY, Configuration[], 2, FALSE), TrackTable[[#This Row],[Lang]])), TRUE, FALSE))</f>
        <v/>
      </c>
      <c r="X35" s="1" t="str">
        <f>IFERROR(TrackTable[[#This Row],[LangDefault]]*VLOOKUP(LANG_DEF, SubtitleConfiguration[], 3, FALSE), "")</f>
        <v/>
      </c>
      <c r="Y35" s="6" t="str">
        <f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f>
        <v/>
      </c>
      <c r="Z35" s="7" t="str">
        <f>IFERROR(IF(TrackTable[[#This Row],[TypeOk]], AND(VLOOKUP("Type_DVB", Configuration[], 2, FALSE), EXACT(TrackTable[[#This Row],[MainType]], "DVB")), FALSE), "")</f>
        <v/>
      </c>
      <c r="AA35" s="7" t="str">
        <f>IFERROR(IF(TrackTable[[#This Row],[DvbMatched]], VLOOKUP(DVB_M, SubtitlePriorityTable[], 4, FALSE), 0), "")</f>
        <v/>
      </c>
      <c r="AB35" s="7">
        <f>IFERROR(IF(AND(NOT(VLOOKUP("Type_DVB", Configuration[], 2, FALSE)), EXACT(TrackTable[[#This Row],[MainType]], "EBU")), VLOOKUP("Type_EBU", SubtitlePriorityTable[], 4, FALSE), 0), "")</f>
        <v>0</v>
      </c>
      <c r="AC35" s="6" t="str">
        <f>IFERROR(IF(TrackTable[[#This Row],[TypeOk]], MAX(TrackTable[[#This Row],[DvbScore]], TrackTable[[#This Row],[EubScore]]), ""),  "")</f>
        <v/>
      </c>
      <c r="AD35" s="6" t="str">
        <f>IFERROR(AND(TrackTable[[#This Row],[TypeOk]], IFERROR(TrackTable[[#This Row],[HOH]], #VALUE!), VLOOKUP(HOH_M, Configuration[], 2, FALSE)), "")</f>
        <v/>
      </c>
      <c r="AE35" s="6" t="str">
        <f>IFERROR(IF(TrackTable[[#This Row],[HohMatched]], VLOOKUP(HOH_M, SubtitlePriorityTable[], 4, FALSE), 0), "")</f>
        <v/>
      </c>
      <c r="AF35" s="6" t="str">
        <f>IFERROR(AND(TrackTable[[#This Row],[TypeOk]], IFERROR(TrackTable[[#This Row],[HOH]], #VALUE!), EXACT(VLOOKUP(HOH_U, Configuration[], 2, FALSE), TRUE)), "")</f>
        <v/>
      </c>
      <c r="AG35" s="6" t="str">
        <f>IFERROR(IF(TrackTable[[#This Row],[HohMatchedUser]], VLOOKUP(HOH_U, SubtitlePriorityTable[], 4, FALSE), 0), "")</f>
        <v/>
      </c>
      <c r="AH35" s="6" t="str">
        <f>IFERROR(AND(TrackTable[[#This Row],[TypeOk]], NOT(TrackTable[[#This Row],[HOH]]), OR(EXACT(VLOOKUP(HOH_M, Configuration[], 2, FALSE), TRUE), EXACT(VLOOKUP(HOH_U, Configuration[], 2, FALSE), TRUE))), "")</f>
        <v/>
      </c>
      <c r="AI35" s="6" t="str">
        <f>IFERROR(IF(TrackTable[[#This Row],[HohOnEsNo]], VLOOKUP("HOH_OnEsNo", SubtitlePriorityTable[], 4, FALSE), 0), "")</f>
        <v/>
      </c>
      <c r="AJ35" s="6" t="str">
        <f>IFERROR(AND(TrackTable[[#This Row],[TypeOk]], IFERROR(TrackTable[[#This Row],[HOH]], #VALUE!), AND(EXACT(VLOOKUP(HOH_M, Configuration[], 2, FALSE), FALSE), EXACT(VLOOKUP(HOH_U, Configuration[], 2, FALSE), FALSE))), "")</f>
        <v/>
      </c>
      <c r="AK35" s="6" t="str">
        <f>IFERROR(IF(TrackTable[[#This Row],[HohOffEsYes]], VLOOKUP("HOH_OffEsYes", SubtitlePriorityTable[], 4, FALSE), 0), "")</f>
        <v/>
      </c>
      <c r="AL35" s="6" t="str">
        <f>IFERROR(AND(TrackTable[[#This Row],[TypeOk]], NOT(TrackTable[[#This Row],[HOH]]), AND(EXACT(VLOOKUP(HOH_M, Configuration[], 2, FALSE), FALSE), EXACT(VLOOKUP(HOH_U, Configuration[], 2, FALSE), FALSE))), "")</f>
        <v/>
      </c>
      <c r="AM35" s="6" t="str">
        <f>IFERROR(IF(TrackTable[[#This Row],[HohOffEsNo]], VLOOKUP("HOH_OffEsNo", SubtitlePriorityTable[], 4, FALSE), 0), "")</f>
        <v/>
      </c>
      <c r="AN35" s="6" t="str">
        <f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f>
        <v/>
      </c>
      <c r="AO35" s="6" t="str">
        <f>IFERROR(IF(TrackTable[[#This Row],[TypeOk]], EXACT(VLOOKUP(AR_M, Configuration[], 2, FALSE), TrackTable[[#This Row],[AR]])), "")</f>
        <v/>
      </c>
      <c r="AP35" s="6" t="str">
        <f>IFERROR(IF(TrackTable[[#This Row],[ArMatched]], VLOOKUP(AR_M, SubtitlePriorityTable[], 4, FALSE), 0), "")</f>
        <v/>
      </c>
      <c r="AQ35" s="6" t="str">
        <f>IFERROR(IF(TrackTable[[#This Row],[TypeOk]], IF(EXACT(TrackTable[[#This Row],[AR]], "no"), TRUE, FALSE), FALSE), "")</f>
        <v/>
      </c>
      <c r="AR35" s="6" t="str">
        <f>IFERROR(IF(TrackTable[[#This Row],[ArNo]], VLOOKUP("AR_No", SubtitlePriorityTable[], 4, FALSE), 0), "")</f>
        <v/>
      </c>
      <c r="AS35" s="6" t="str">
        <f>IFERROR(IF(TrackTable[[#This Row],[TypeOk]], MAX(TrackTable[[#This Row],[ArMatchedScore]], TrackTable[[#This Row],[ArNoScore]]), ""), "")</f>
        <v/>
      </c>
      <c r="AT35" s="6" t="str">
        <f>IFERROR(IF(TrackTable[[#This Row],[TypeOk]], IF(EXACT(TrackTable[[#This Row],[HD]], "yes"), TRUE, FALSE)), "")</f>
        <v/>
      </c>
      <c r="AU35" s="6" t="str">
        <f>IFERROR(IF(TrackTable[[#This Row],[IsHD]], VLOOKUP("HD_Base", SubtitlePriorityTable[], 4, FALSE), 0), "")</f>
        <v/>
      </c>
      <c r="AV35" s="7" t="str">
        <f>IFERROR(IF(TrackTable[[#This Row],[TypeOk]], IF(MIN(ROW(TrackTable[Track]))=ROW(TrackTable[[#This Row],[Track]]), TRUE, FALSE), ""), "")</f>
        <v/>
      </c>
      <c r="AW35" s="6" t="str">
        <f>IFERROR(IF(TrackTable[[#This Row],[TypeOk]], TrackTable[[#This Row],[IsFirstTrack]]*VLOOKUP("First_Track", SubtitleConfiguration[], 3, FALSE), ""), "")</f>
        <v/>
      </c>
      <c r="AX35" s="6" t="str">
        <f>IF(ISBLANK(TrackTable[[#This Row],[Track]]), EMPTY_VALUE, TrackTable[[#This Row],[LangScore]]+TrackTable[[#This Row],[MainTypeScore]]+TrackTable[[#This Row],[HohScore]]+TrackTable[[#This Row],[ArScore]]+TrackTable[[#This Row],[HdScore]]+TrackTable[[#This Row],[Track Score]])</f>
        <v/>
      </c>
      <c r="AY35" s="4" t="str">
        <f>IFERROR(_xlfn.RANK.EQ(TrackTable[[#This Row],[Score]],TrackTable[Score], 0), "")</f>
        <v/>
      </c>
      <c r="AZ35" s="4" t="str">
        <f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f>
        <v/>
      </c>
      <c r="BA35" s="2"/>
    </row>
    <row r="36" spans="2:53" x14ac:dyDescent="0.3">
      <c r="C36" s="5" t="str">
        <f>IF(ISBLANK(TrackTable[[#This Row],[Track]]), EMPTY_VALUE, IFERROR(VLOOKUP(TrackTable[[#This Row],[Track]], SubtitleTrackDb[], 2, FALSE), EMPTY_VALUE))</f>
        <v/>
      </c>
      <c r="D36" s="5" t="str">
        <f>IF(ISBLANK(TrackTable[[#This Row],[Track]]), EMPTY_VALUE, IFERROR(VLOOKUP(TrackTable[[#This Row],[Track]], SubtitleTrackDb[], 3, FALSE), EMPTY_VALUE))</f>
        <v/>
      </c>
      <c r="E36" s="5" t="str">
        <f>IF(ISBLANK(TrackTable[[#This Row],[Track]]), EMPTY_VALUE, IFERROR(VLOOKUP(TrackTable[[#This Row],[Track]], SubtitleTrackDb[], 4, FALSE), "n/a"))</f>
        <v/>
      </c>
      <c r="F36" s="5" t="str">
        <f>IF(ISBLANK(TrackTable[[#This Row],[Track]]), EMPTY_VALUE, IFERROR(VLOOKUP(TrackTable[[#This Row],[Track]], SubtitleTrackDb[], 5, FALSE), "n/a"))</f>
        <v/>
      </c>
      <c r="G36" s="5" t="str">
        <f>IF(ISBLANK(TrackTable[[#This Row],[Track]]), EMPTY_VALUE, IFERROR(VLOOKUP(TrackTable[[#This Row],[Track]], SubtitleTrackDb[], 6, FALSE), "n/a"))</f>
        <v/>
      </c>
      <c r="H36" s="5" t="str">
        <f>IF(ISBLANK(TrackTable[[#This Row],[Track]]), EMPTY_VALUE, IFERROR(VLOOKUP(TrackTable[[#This Row],[Track]], SubtitleTrackDb[], 7, FALSE), "n/a"))</f>
        <v/>
      </c>
      <c r="I36" s="5" t="str">
        <f>IF(ISBLANK(TrackTable[[#This Row],[Track]]), EMPTY_VALUE, IF(LEN(TrackTable[[#This Row],[Lang]])=3, TRUE,  FALSE))</f>
        <v/>
      </c>
      <c r="J36" s="5" t="str">
        <f>IF(ISBLANK(TrackTable[[#This Row],[Track]]), EMPTY_VALUE, AND(NOT(ISBLANK(TrackTable[[#This Row],[Track]])), LEN(TrackTable[[#This Row],[Type Code]])=4))</f>
        <v/>
      </c>
      <c r="K36" s="1" t="str">
        <f>IF(ISBLANK(TrackTable[[#This Row],[Track]]), "", IF(AND(TrackTable[[#This Row],[LangOk]], EXACT(VLOOKUP(LANG_USER_KEY, Configuration[], 2, FALSE), TrackTable[[#This Row],[Lang]])), TRUE, FALSE))</f>
        <v/>
      </c>
      <c r="L36" s="1" t="str">
        <f>IFERROR(TrackTable[[#This Row],[LangUsrMatched]]*VLOOKUP(LANG_USER, SubtitleConfiguration[], 3, FALSE), "")</f>
        <v/>
      </c>
      <c r="M36" s="1" t="str">
        <f>IF(ISBLANK(TrackTable[[#This Row],[Track]]), "", IF(AND(TrackTable[[#This Row],[LangOk]], EXACT(VLOOKUP(LANG_SUBTTL_KEY, Configuration[], 2, FALSE), TrackTable[[#This Row],[Lang]])), TRUE, FALSE))</f>
        <v/>
      </c>
      <c r="N36" s="1" t="str">
        <f>IFERROR(TrackTable[[#This Row],[LangSubttlMatched0]]*VLOOKUP(LANG_SUBTTL, SubtitleConfiguration[], 3, FALSE), "")</f>
        <v/>
      </c>
      <c r="O36" s="1" t="str">
        <f>IF(ISBLANK(TrackTable[[#This Row],[Track]]), "", IF(AND(TrackTable[[#This Row],[LangOk]], EXACT(VLOOKUP(LANG_SUBTTL_KEY1, Configuration[], 2, FALSE), TrackTable[[#This Row],[Lang]])), TRUE, FALSE))</f>
        <v/>
      </c>
      <c r="P36" s="1" t="str">
        <f>IFERROR(TrackTable[[#This Row],[LangSubttlMatched1]]*VLOOKUP(LANG_SUBTTL1, SubtitleConfiguration[], 3, FALSE), "")</f>
        <v/>
      </c>
      <c r="Q36" s="1" t="str">
        <f>IF(ISBLANK(TrackTable[[#This Row],[Track]]), "", IF(AND(TrackTable[[#This Row],[LangOk]], EXACT(VLOOKUP(LANG_OSD_KEY, Configuration[], 2, FALSE), TrackTable[[#This Row],[Lang]])), TRUE, FALSE))</f>
        <v/>
      </c>
      <c r="R36" s="1" t="str">
        <f>IFERROR(TrackTable[[#This Row],[LangOsdMatched]]*VLOOKUP(LANG_OSD, SubtitleConfiguration[], 3, FALSE), "")</f>
        <v/>
      </c>
      <c r="S36" s="1" t="str">
        <f>IF(ISBLANK(TrackTable[[#This Row],[Track]]), "", IF(AND(TrackTable[[#This Row],[LangOk]], EXACT(VLOOKUP(LANG_UND_KEY, Configuration[], 2, FALSE), TrackTable[[#This Row],[Lang]])), TRUE, FALSE))</f>
        <v/>
      </c>
      <c r="T36" s="1" t="str">
        <f>IFERROR(TrackTable[[#This Row],[LangUndefined]]*VLOOKUP(LANG_UND, SubtitleConfiguration[], 3, FALSE), "")</f>
        <v/>
      </c>
      <c r="U36" s="1" t="str">
        <f>IF(ISBLANK(TrackTable[[#This Row],[Track]]), "", IF(AND(TrackTable[[#This Row],[LangOk]], EXACT(VLOOKUP(LANG_ORG_KEY, Configuration[], 2, FALSE), TrackTable[[#This Row],[Lang]])), TRUE, FALSE))</f>
        <v/>
      </c>
      <c r="V36" s="1" t="str">
        <f>IFERROR(TrackTable[[#This Row],[LangOriginal]]*VLOOKUP(LANG_ORG, SubtitleConfiguration[], 3, FALSE), "")</f>
        <v/>
      </c>
      <c r="W36" s="1" t="str">
        <f>IF(ISBLANK(TrackTable[[#This Row],[Track]]), "", IF(AND(TrackTable[[#This Row],[LangOk]], EXACT(VLOOKUP(LANG_DEF_KEY, Configuration[], 2, FALSE), TrackTable[[#This Row],[Lang]])), TRUE, FALSE))</f>
        <v/>
      </c>
      <c r="X36" s="1" t="str">
        <f>IFERROR(TrackTable[[#This Row],[LangDefault]]*VLOOKUP(LANG_DEF, SubtitleConfiguration[], 3, FALSE), "")</f>
        <v/>
      </c>
      <c r="Y36" s="6" t="str">
        <f>IF(IFERROR(OR(TrackTable[[#This Row],[LangOk]], TrackTable[[#This Row],[TypeOk]]), FALSE), MAX(TrackTable[[#This Row],[LangUserScore]], TrackTable[[#This Row],[LangSubttlScore0]], TrackTable[[#This Row],[LangSubttlScore1]], TrackTable[[#This Row],[LangOsdScore]], MAX(TrackTable[[#This Row],[LangUndefinedScore]], TrackTable[[#This Row],[LangOriginalScore]], TrackTable[[#This Row],[LangDefaultScore]]), VLOOKUP("Lang_Base", SubtitlePriorityTable[], 4, FALSE)), "")</f>
        <v/>
      </c>
      <c r="Z36" s="7" t="str">
        <f>IFERROR(IF(TrackTable[[#This Row],[TypeOk]], AND(VLOOKUP("Type_DVB", Configuration[], 2, FALSE), EXACT(TrackTable[[#This Row],[MainType]], "DVB")), FALSE), "")</f>
        <v/>
      </c>
      <c r="AA36" s="7" t="str">
        <f>IFERROR(IF(TrackTable[[#This Row],[DvbMatched]], VLOOKUP(DVB_M, SubtitlePriorityTable[], 4, FALSE), 0), "")</f>
        <v/>
      </c>
      <c r="AB36" s="7">
        <f>IFERROR(IF(AND(NOT(VLOOKUP("Type_DVB", Configuration[], 2, FALSE)), EXACT(TrackTable[[#This Row],[MainType]], "EBU")), VLOOKUP("Type_EBU", SubtitlePriorityTable[], 4, FALSE), 0), "")</f>
        <v>0</v>
      </c>
      <c r="AC36" s="6" t="str">
        <f>IFERROR(IF(TrackTable[[#This Row],[TypeOk]], MAX(TrackTable[[#This Row],[DvbScore]], TrackTable[[#This Row],[EubScore]]), ""),  "")</f>
        <v/>
      </c>
      <c r="AD36" s="6" t="str">
        <f>IFERROR(AND(TrackTable[[#This Row],[TypeOk]], IFERROR(TrackTable[[#This Row],[HOH]], #VALUE!), VLOOKUP(HOH_M, Configuration[], 2, FALSE)), "")</f>
        <v/>
      </c>
      <c r="AE36" s="6" t="str">
        <f>IFERROR(IF(TrackTable[[#This Row],[HohMatched]], VLOOKUP(HOH_M, SubtitlePriorityTable[], 4, FALSE), 0), "")</f>
        <v/>
      </c>
      <c r="AF36" s="6" t="str">
        <f>IFERROR(AND(TrackTable[[#This Row],[TypeOk]], IFERROR(TrackTable[[#This Row],[HOH]], #VALUE!), EXACT(VLOOKUP(HOH_U, Configuration[], 2, FALSE), TRUE)), "")</f>
        <v/>
      </c>
      <c r="AG36" s="6" t="str">
        <f>IFERROR(IF(TrackTable[[#This Row],[HohMatchedUser]], VLOOKUP(HOH_U, SubtitlePriorityTable[], 4, FALSE), 0), "")</f>
        <v/>
      </c>
      <c r="AH36" s="6" t="str">
        <f>IFERROR(AND(TrackTable[[#This Row],[TypeOk]], NOT(TrackTable[[#This Row],[HOH]]), OR(EXACT(VLOOKUP(HOH_M, Configuration[], 2, FALSE), TRUE), EXACT(VLOOKUP(HOH_U, Configuration[], 2, FALSE), TRUE))), "")</f>
        <v/>
      </c>
      <c r="AI36" s="6" t="str">
        <f>IFERROR(IF(TrackTable[[#This Row],[HohOnEsNo]], VLOOKUP("HOH_OnEsNo", SubtitlePriorityTable[], 4, FALSE), 0), "")</f>
        <v/>
      </c>
      <c r="AJ36" s="6" t="str">
        <f>IFERROR(AND(TrackTable[[#This Row],[TypeOk]], IFERROR(TrackTable[[#This Row],[HOH]], #VALUE!), AND(EXACT(VLOOKUP(HOH_M, Configuration[], 2, FALSE), FALSE), EXACT(VLOOKUP(HOH_U, Configuration[], 2, FALSE), FALSE))), "")</f>
        <v/>
      </c>
      <c r="AK36" s="6" t="str">
        <f>IFERROR(IF(TrackTable[[#This Row],[HohOffEsYes]], VLOOKUP("HOH_OffEsYes", SubtitlePriorityTable[], 4, FALSE), 0), "")</f>
        <v/>
      </c>
      <c r="AL36" s="6" t="str">
        <f>IFERROR(AND(TrackTable[[#This Row],[TypeOk]], NOT(TrackTable[[#This Row],[HOH]]), AND(EXACT(VLOOKUP(HOH_M, Configuration[], 2, FALSE), FALSE), EXACT(VLOOKUP(HOH_U, Configuration[], 2, FALSE), FALSE))), "")</f>
        <v/>
      </c>
      <c r="AM36" s="6" t="str">
        <f>IFERROR(IF(TrackTable[[#This Row],[HohOffEsNo]], VLOOKUP("HOH_OffEsNo", SubtitlePriorityTable[], 4, FALSE), 0), "")</f>
        <v/>
      </c>
      <c r="AN36" s="6" t="str">
        <f>IFERROR(IF(TrackTable[[#This Row],[TypeOk]], MAX(TrackTable[[#This Row],[HohMatchedScore]], TrackTable[[#This Row],[HohMatchedUserScore]], TrackTable[[#This Row],[HohOnEsNoScore]], TrackTable[[#This Row],[HohOffEsYesScore]], TrackTable[[#This Row],[HohOffEsNoScore]]), ""), "")</f>
        <v/>
      </c>
      <c r="AO36" s="6" t="str">
        <f>IFERROR(IF(TrackTable[[#This Row],[TypeOk]], EXACT(VLOOKUP(AR_M, Configuration[], 2, FALSE), TrackTable[[#This Row],[AR]])), "")</f>
        <v/>
      </c>
      <c r="AP36" s="6" t="str">
        <f>IFERROR(IF(TrackTable[[#This Row],[ArMatched]], VLOOKUP(AR_M, SubtitlePriorityTable[], 4, FALSE), 0), "")</f>
        <v/>
      </c>
      <c r="AQ36" s="6" t="str">
        <f>IFERROR(IF(TrackTable[[#This Row],[TypeOk]], IF(EXACT(TrackTable[[#This Row],[AR]], "no"), TRUE, FALSE), FALSE), "")</f>
        <v/>
      </c>
      <c r="AR36" s="6" t="str">
        <f>IFERROR(IF(TrackTable[[#This Row],[ArNo]], VLOOKUP("AR_No", SubtitlePriorityTable[], 4, FALSE), 0), "")</f>
        <v/>
      </c>
      <c r="AS36" s="6" t="str">
        <f>IFERROR(IF(TrackTable[[#This Row],[TypeOk]], MAX(TrackTable[[#This Row],[ArMatchedScore]], TrackTable[[#This Row],[ArNoScore]]), ""), "")</f>
        <v/>
      </c>
      <c r="AT36" s="6" t="str">
        <f>IFERROR(IF(TrackTable[[#This Row],[TypeOk]], IF(EXACT(TrackTable[[#This Row],[HD]], "yes"), TRUE, FALSE)), "")</f>
        <v/>
      </c>
      <c r="AU36" s="6" t="str">
        <f>IFERROR(IF(TrackTable[[#This Row],[IsHD]], VLOOKUP("HD_Base", SubtitlePriorityTable[], 4, FALSE), 0), "")</f>
        <v/>
      </c>
      <c r="AV36" s="7" t="str">
        <f>IFERROR(IF(TrackTable[[#This Row],[TypeOk]], IF(MIN(ROW(TrackTable[Track]))=ROW(TrackTable[[#This Row],[Track]]), TRUE, FALSE), ""), "")</f>
        <v/>
      </c>
      <c r="AW36" s="6" t="str">
        <f>IFERROR(IF(TrackTable[[#This Row],[TypeOk]], TrackTable[[#This Row],[IsFirstTrack]]*VLOOKUP("First_Track", SubtitleConfiguration[], 3, FALSE), ""), "")</f>
        <v/>
      </c>
      <c r="AX36" s="6" t="str">
        <f>IF(ISBLANK(TrackTable[[#This Row],[Track]]), EMPTY_VALUE, TrackTable[[#This Row],[LangScore]]+TrackTable[[#This Row],[MainTypeScore]]+TrackTable[[#This Row],[HohScore]]+TrackTable[[#This Row],[ArScore]]+TrackTable[[#This Row],[HdScore]]+TrackTable[[#This Row],[Track Score]])</f>
        <v/>
      </c>
      <c r="AY36" s="4" t="str">
        <f>IFERROR(_xlfn.RANK.EQ(TrackTable[[#This Row],[Score]],TrackTable[Score], 0), "")</f>
        <v/>
      </c>
      <c r="AZ36" s="4" t="str">
        <f>IF(ISBLANK(TrackTable[[#This Row],[Track]]), "", IFERROR(CONCATENATE(TEXT(TrackTable[[#This Row],[Track]], "00"), ", // [ Lang : """, TrackTable[[#This Row],[Lang]], """, MainType : """, TrackTable[[#This Row],[MainType]], """, HOH : ", TrackTable[[#This Row],[HOH]], ", AR : """, TrackTable[[#This Row],[AR]], """, HD : """, TrackTable[[#This Row],[HD]], """ ]"), ""))</f>
        <v/>
      </c>
      <c r="BA36" s="2"/>
    </row>
    <row r="37" spans="2:53" x14ac:dyDescent="0.3">
      <c r="C37" s="5" t="str">
        <f>IF(ISBLANK(TrackTable[Track]), "", IFERROR(VLOOKUP(TrackTable[Track], SubtitleTrackDb[], 2, FALSE), ""))</f>
        <v/>
      </c>
      <c r="D37" s="5" t="str">
        <f>IF(ISBLANK(TrackTable[Track]), "", IFERROR(VLOOKUP(TrackTable[Track], SubtitleTrackDb[], 3, FALSE), ""))</f>
        <v/>
      </c>
      <c r="E37" s="5"/>
      <c r="F37" s="5"/>
      <c r="G37" s="5"/>
      <c r="H37" s="5"/>
      <c r="I37" s="5"/>
      <c r="J37" s="5"/>
      <c r="Y37" s="6"/>
      <c r="Z37" s="7"/>
      <c r="AA37" s="7"/>
      <c r="AB37" s="7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7"/>
      <c r="AW37" s="6"/>
      <c r="AX37" s="6"/>
      <c r="AY37" s="4"/>
      <c r="AZ37" s="4"/>
      <c r="BA37" s="2"/>
    </row>
    <row r="38" spans="2:53" x14ac:dyDescent="0.3">
      <c r="C38" s="5" t="str">
        <f>IF(ISBLANK(TrackTable[Track]), "", IFERROR(VLOOKUP(TrackTable[Track], SubtitleTrackDb[], 2, FALSE), ""))</f>
        <v/>
      </c>
      <c r="D38" s="5" t="str">
        <f>IF(ISBLANK(TrackTable[Track]), "", IFERROR(VLOOKUP(TrackTable[Track], SubtitleTrackDb[], 3, FALSE), ""))</f>
        <v/>
      </c>
      <c r="E38" s="5"/>
      <c r="F38" s="5"/>
      <c r="G38" s="5"/>
      <c r="H38" s="5"/>
      <c r="I38" s="5"/>
      <c r="J38" s="5"/>
      <c r="Y38" s="6"/>
      <c r="Z38" s="7"/>
      <c r="AA38" s="7"/>
      <c r="AB38" s="7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7"/>
      <c r="AW38" s="6"/>
      <c r="AX38" s="6"/>
      <c r="AY38" s="4"/>
      <c r="AZ38" s="4"/>
      <c r="BA38" s="2"/>
    </row>
    <row r="39" spans="2:53" x14ac:dyDescent="0.3">
      <c r="C39" s="5" t="str">
        <f>IF(ISBLANK(TrackTable[Track]), "", IFERROR(VLOOKUP(TrackTable[Track], SubtitleTrackDb[], 2, FALSE), ""))</f>
        <v/>
      </c>
      <c r="D39" s="5" t="str">
        <f>IF(ISBLANK(TrackTable[Track]), "", IFERROR(VLOOKUP(TrackTable[Track], SubtitleTrackDb[], 3, FALSE), ""))</f>
        <v/>
      </c>
      <c r="E39" s="5"/>
      <c r="F39" s="5"/>
      <c r="G39" s="5"/>
      <c r="H39" s="5"/>
      <c r="I39" s="5"/>
      <c r="J39" s="5"/>
      <c r="Y39" s="6"/>
      <c r="Z39" s="7"/>
      <c r="AA39" s="7"/>
      <c r="AB39" s="7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7"/>
      <c r="AW39" s="6"/>
      <c r="AX39" s="6"/>
      <c r="AY39" s="4"/>
      <c r="AZ39" s="4"/>
      <c r="BA39" s="2"/>
    </row>
    <row r="40" spans="2:53" x14ac:dyDescent="0.3">
      <c r="C40" s="5"/>
      <c r="D40" s="5" t="str">
        <f>IF(ISBLANK(TrackTable[Track]), "", IFERROR(VLOOKUP(TrackTable[Track], SubtitleTrackDb[], 3, FALSE), ""))</f>
        <v/>
      </c>
      <c r="E40" s="5"/>
      <c r="F40" s="5"/>
      <c r="G40" s="5"/>
      <c r="H40" s="5"/>
      <c r="I40" s="5"/>
      <c r="J40" s="5"/>
      <c r="Y40" s="6"/>
      <c r="Z40" s="7"/>
      <c r="AA40" s="7"/>
      <c r="AB40" s="7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7"/>
      <c r="AW40" s="6"/>
      <c r="AX40" s="6"/>
      <c r="AY40" s="4"/>
      <c r="AZ40" s="4"/>
      <c r="BA40" s="2"/>
    </row>
    <row r="41" spans="2:53" x14ac:dyDescent="0.3">
      <c r="C41" s="5"/>
      <c r="D41" s="5" t="str">
        <f>IF(ISBLANK(TrackTable[Track]), "", IFERROR(VLOOKUP(TrackTable[Track], SubtitleTrackDb[], 3, FALSE), ""))</f>
        <v/>
      </c>
      <c r="E41" s="5"/>
      <c r="F41" s="5"/>
      <c r="G41" s="5"/>
      <c r="H41" s="5"/>
      <c r="I41" s="5"/>
      <c r="J41" s="5"/>
      <c r="Y41" s="6"/>
      <c r="Z41" s="7"/>
      <c r="AA41" s="7"/>
      <c r="AB41" s="7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18"/>
      <c r="AR41" s="6"/>
      <c r="AS41" s="6"/>
      <c r="AT41" s="6"/>
      <c r="AU41" s="6"/>
      <c r="AV41" s="7"/>
      <c r="AW41" s="6"/>
      <c r="AX41" s="6"/>
      <c r="AY41" s="4"/>
      <c r="AZ41" s="4"/>
      <c r="BA41" s="2"/>
    </row>
    <row r="42" spans="2:53" x14ac:dyDescent="0.3">
      <c r="C42" s="5"/>
      <c r="D42" s="5" t="str">
        <f>IF(ISBLANK(TrackTable[Track]), "", IFERROR(VLOOKUP(TrackTable[Track], SubtitleTrackDb[], 3, FALSE), ""))</f>
        <v/>
      </c>
      <c r="E42" s="5"/>
      <c r="F42" s="5"/>
      <c r="G42" s="5"/>
      <c r="H42" s="5"/>
      <c r="I42" s="5"/>
      <c r="J42" s="5"/>
      <c r="Y42" s="6"/>
      <c r="Z42" s="7"/>
      <c r="AA42" s="7"/>
      <c r="AB42" s="7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7"/>
      <c r="AW42" s="6"/>
      <c r="AX42" s="6"/>
      <c r="AY42" s="4"/>
      <c r="AZ42" s="4"/>
      <c r="BA42" s="2"/>
    </row>
    <row r="43" spans="2:53" x14ac:dyDescent="0.3">
      <c r="C43" s="5"/>
      <c r="D43" s="5" t="str">
        <f>IF(ISBLANK(TrackTable[Track]), "", IFERROR(VLOOKUP(TrackTable[Track], SubtitleTrackDb[], 3, FALSE), ""))</f>
        <v/>
      </c>
      <c r="E43" s="5"/>
      <c r="F43" s="5"/>
      <c r="G43" s="5"/>
      <c r="H43" s="5"/>
      <c r="I43" s="5"/>
      <c r="J43" s="5"/>
      <c r="Y43" s="6"/>
      <c r="Z43" s="7"/>
      <c r="AA43" s="7"/>
      <c r="AB43" s="7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7"/>
      <c r="AW43" s="6"/>
      <c r="AX43" s="6"/>
      <c r="AY43" s="4"/>
      <c r="AZ43" s="4"/>
      <c r="BA43" s="2"/>
    </row>
    <row r="44" spans="2:53" x14ac:dyDescent="0.3">
      <c r="C44" s="5"/>
      <c r="D44" s="5" t="str">
        <f>IF(ISBLANK(TrackTable[Track]), "", IFERROR(VLOOKUP(TrackTable[Track], SubtitleTrackDb[], 3, FALSE), ""))</f>
        <v/>
      </c>
      <c r="E44" s="5"/>
      <c r="F44" s="5"/>
      <c r="G44" s="5"/>
      <c r="H44" s="5"/>
      <c r="I44" s="5"/>
      <c r="J44" s="5"/>
      <c r="Y44" s="6"/>
      <c r="Z44" s="7"/>
      <c r="AA44" s="7"/>
      <c r="AB44" s="7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7"/>
      <c r="AW44" s="6"/>
      <c r="AX44" s="6"/>
      <c r="AY44" s="4"/>
      <c r="AZ44" s="4"/>
      <c r="BA44" s="2"/>
    </row>
    <row r="45" spans="2:53" x14ac:dyDescent="0.3">
      <c r="B45" s="2"/>
      <c r="C45" s="16"/>
      <c r="D45" s="16" t="str">
        <f>IF(ISBLANK(TrackTable[Track]), "", IFERROR(VLOOKUP(TrackTable[Track], SubtitleTrackDb[], 3, FALSE), ""))</f>
        <v/>
      </c>
      <c r="E45" s="16"/>
      <c r="F45" s="16"/>
      <c r="G45" s="16"/>
      <c r="H45" s="16"/>
      <c r="I45" s="16"/>
      <c r="J45" s="16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2"/>
      <c r="Z45" s="13"/>
      <c r="AA45" s="13"/>
      <c r="AB45" s="13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3"/>
      <c r="AW45" s="12"/>
      <c r="AX45" s="12"/>
      <c r="AY45" s="14"/>
      <c r="AZ45" s="14"/>
      <c r="BA45" s="3"/>
    </row>
    <row r="46" spans="2:53" x14ac:dyDescent="0.3">
      <c r="B46" s="2"/>
      <c r="C46" s="16"/>
      <c r="D46" s="16" t="str">
        <f>IF(ISBLANK(TrackTable[Track]), "", IFERROR(VLOOKUP(TrackTable[Track], SubtitleTrackDb[], 3, FALSE), ""))</f>
        <v/>
      </c>
      <c r="E46" s="16"/>
      <c r="F46" s="16"/>
      <c r="G46" s="16"/>
      <c r="H46" s="16"/>
      <c r="I46" s="16"/>
      <c r="J46" s="16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2"/>
      <c r="Z46" s="13"/>
      <c r="AA46" s="13"/>
      <c r="AB46" s="13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3"/>
      <c r="AW46" s="12"/>
      <c r="AX46" s="12"/>
      <c r="AY46" s="14"/>
      <c r="AZ46" s="14"/>
      <c r="BA46" s="3"/>
    </row>
    <row r="47" spans="2:53" x14ac:dyDescent="0.3">
      <c r="B47" s="2"/>
      <c r="C47" s="16"/>
      <c r="D47" s="16" t="str">
        <f>IF(ISBLANK(TrackTable[Track]), "", IFERROR(VLOOKUP(TrackTable[Track], SubtitleTrackDb[], 3, FALSE), ""))</f>
        <v/>
      </c>
      <c r="E47" s="16"/>
      <c r="F47" s="16"/>
      <c r="G47" s="16"/>
      <c r="H47" s="16"/>
      <c r="I47" s="16"/>
      <c r="J47" s="1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2"/>
      <c r="Z47" s="13"/>
      <c r="AA47" s="13"/>
      <c r="AB47" s="13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3"/>
      <c r="AW47" s="12"/>
      <c r="AX47" s="12"/>
      <c r="AY47" s="14"/>
      <c r="AZ47" s="14"/>
      <c r="BA47" s="3"/>
    </row>
    <row r="48" spans="2:53" x14ac:dyDescent="0.3">
      <c r="B48" s="2"/>
      <c r="C48" s="16"/>
      <c r="D48" s="16" t="str">
        <f>IF(ISBLANK(TrackTable[Track]), "", IFERROR(VLOOKUP(TrackTable[Track], SubtitleTrackDb[], 3, FALSE), ""))</f>
        <v/>
      </c>
      <c r="E48" s="16"/>
      <c r="F48" s="16"/>
      <c r="G48" s="16"/>
      <c r="H48" s="16"/>
      <c r="I48" s="16"/>
      <c r="J48" s="16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2"/>
      <c r="Z48" s="13"/>
      <c r="AA48" s="13"/>
      <c r="AB48" s="13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3"/>
      <c r="AW48" s="12"/>
      <c r="AX48" s="12"/>
      <c r="AY48" s="14"/>
      <c r="AZ48" s="14"/>
      <c r="BA48" s="3"/>
    </row>
    <row r="49" spans="2:53" x14ac:dyDescent="0.3">
      <c r="B49" s="2"/>
      <c r="C49" s="16" t="str">
        <f>IF(ISBLANK(TrackTable[Track]), "", IFERROR(VLOOKUP(TrackTable[Track], SubtitleTrackDb[], 2, FALSE), ""))</f>
        <v/>
      </c>
      <c r="D49" s="16" t="str">
        <f>IF(ISBLANK(TrackTable[Track]), "", IFERROR(VLOOKUP(TrackTable[Track], SubtitleTrackDb[], 3, FALSE), ""))</f>
        <v/>
      </c>
      <c r="E49" s="16"/>
      <c r="F49" s="16"/>
      <c r="G49" s="16"/>
      <c r="H49" s="16"/>
      <c r="I49" s="16"/>
      <c r="J49" s="16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2"/>
      <c r="Z49" s="13"/>
      <c r="AA49" s="13"/>
      <c r="AB49" s="13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3"/>
      <c r="AW49" s="12"/>
      <c r="AX49" s="12"/>
      <c r="AY49" s="14"/>
      <c r="AZ49" s="14"/>
      <c r="BA49" s="3"/>
    </row>
    <row r="50" spans="2:53" x14ac:dyDescent="0.3">
      <c r="B50" s="2"/>
      <c r="C50" s="16" t="str">
        <f>IF(ISBLANK(TrackTable[Track]), "", IFERROR(VLOOKUP(TrackTable[Track], SubtitleTrackDb[], 2, FALSE), ""))</f>
        <v/>
      </c>
      <c r="D50" s="16" t="str">
        <f>IF(ISBLANK(TrackTable[Track]), "", IFERROR(VLOOKUP(TrackTable[Track], SubtitleTrackDb[], 3, FALSE), ""))</f>
        <v/>
      </c>
      <c r="E50" s="16"/>
      <c r="F50" s="16"/>
      <c r="G50" s="16"/>
      <c r="H50" s="16"/>
      <c r="I50" s="16"/>
      <c r="J50" s="16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2"/>
      <c r="Z50" s="13"/>
      <c r="AA50" s="13"/>
      <c r="AB50" s="13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3"/>
      <c r="AW50" s="12"/>
      <c r="AX50" s="12"/>
      <c r="AY50" s="14"/>
      <c r="AZ50" s="14"/>
      <c r="BA50" s="3"/>
    </row>
    <row r="51" spans="2:53" x14ac:dyDescent="0.3">
      <c r="B51" s="2"/>
      <c r="C51" s="16" t="str">
        <f>IF(ISBLANK(TrackTable[Track]), "", IFERROR(VLOOKUP(TrackTable[Track], SubtitleTrackDb[], 2, FALSE), ""))</f>
        <v/>
      </c>
      <c r="D51" s="16" t="str">
        <f>IF(ISBLANK(TrackTable[Track]), "", IFERROR(VLOOKUP(TrackTable[Track], SubtitleTrackDb[], 3, FALSE), ""))</f>
        <v/>
      </c>
      <c r="E51" s="16"/>
      <c r="F51" s="16"/>
      <c r="G51" s="16"/>
      <c r="H51" s="16"/>
      <c r="I51" s="16"/>
      <c r="J51" s="16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2"/>
      <c r="Z51" s="13"/>
      <c r="AA51" s="13"/>
      <c r="AB51" s="13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3"/>
      <c r="AW51" s="12"/>
      <c r="AX51" s="12"/>
      <c r="AY51" s="14"/>
      <c r="AZ51" s="14"/>
      <c r="BA51" s="3"/>
    </row>
    <row r="52" spans="2:53" x14ac:dyDescent="0.3">
      <c r="B52" s="2"/>
      <c r="C52" s="16" t="str">
        <f>IF(ISBLANK(TrackTable[Track]), "", IFERROR(VLOOKUP(TrackTable[Track], SubtitleTrackDb[], 2, FALSE), ""))</f>
        <v/>
      </c>
      <c r="D52" s="16" t="str">
        <f>IF(ISBLANK(TrackTable[Track]), "", IFERROR(VLOOKUP(TrackTable[Track], SubtitleTrackDb[], 3, FALSE), ""))</f>
        <v/>
      </c>
      <c r="E52" s="16"/>
      <c r="F52" s="16"/>
      <c r="G52" s="16"/>
      <c r="H52" s="16"/>
      <c r="I52" s="16"/>
      <c r="J52" s="16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2"/>
      <c r="Z52" s="13"/>
      <c r="AA52" s="13"/>
      <c r="AB52" s="13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3"/>
      <c r="AW52" s="12"/>
      <c r="AX52" s="12"/>
      <c r="AY52" s="14"/>
      <c r="AZ52" s="14"/>
      <c r="BA52" s="3"/>
    </row>
    <row r="53" spans="2:53" x14ac:dyDescent="0.3">
      <c r="B53" s="2"/>
      <c r="C53" s="16" t="str">
        <f>IF(ISBLANK(TrackTable[Track]), "", IFERROR(VLOOKUP(TrackTable[Track], SubtitleTrackDb[], 2, FALSE), ""))</f>
        <v/>
      </c>
      <c r="D53" s="16" t="str">
        <f>IF(ISBLANK(TrackTable[Track]), "", IFERROR(VLOOKUP(TrackTable[Track], SubtitleTrackDb[], 3, FALSE), ""))</f>
        <v/>
      </c>
      <c r="E53" s="16"/>
      <c r="F53" s="16"/>
      <c r="G53" s="16"/>
      <c r="H53" s="16"/>
      <c r="I53" s="16"/>
      <c r="J53" s="16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2"/>
      <c r="Z53" s="13"/>
      <c r="AA53" s="13"/>
      <c r="AB53" s="13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3"/>
      <c r="AW53" s="12"/>
      <c r="AX53" s="12"/>
      <c r="AY53" s="14"/>
      <c r="AZ53" s="14"/>
      <c r="BA53" s="3"/>
    </row>
    <row r="54" spans="2:53" x14ac:dyDescent="0.3">
      <c r="B54" s="2"/>
      <c r="C54" s="16" t="str">
        <f>IF(ISBLANK(TrackTable[Track]), "", IFERROR(VLOOKUP(TrackTable[Track], SubtitleTrackDb[], 2, FALSE), ""))</f>
        <v/>
      </c>
      <c r="D54" s="16" t="str">
        <f>IF(ISBLANK(TrackTable[Track]), "", IFERROR(VLOOKUP(TrackTable[Track], SubtitleTrackDb[], 3, FALSE), ""))</f>
        <v/>
      </c>
      <c r="E54" s="16"/>
      <c r="F54" s="16"/>
      <c r="G54" s="16"/>
      <c r="H54" s="16"/>
      <c r="I54" s="16"/>
      <c r="J54" s="16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12"/>
      <c r="Z54" s="13"/>
      <c r="AA54" s="13"/>
      <c r="AB54" s="13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3"/>
      <c r="AW54" s="12"/>
      <c r="AX54" s="12"/>
      <c r="AY54" s="14"/>
      <c r="AZ54" s="14"/>
      <c r="BA54" s="3"/>
    </row>
    <row r="55" spans="2:53" x14ac:dyDescent="0.3">
      <c r="B55" s="2"/>
      <c r="C55" s="16" t="str">
        <f>IF(ISBLANK(TrackTable[Track]), "", IFERROR(VLOOKUP(TrackTable[Track], SubtitleTrackDb[], 2, FALSE), ""))</f>
        <v/>
      </c>
      <c r="D55" s="16" t="str">
        <f>IF(ISBLANK(TrackTable[Track]), "", IFERROR(VLOOKUP(TrackTable[Track], SubtitleTrackDb[], 3, FALSE), ""))</f>
        <v/>
      </c>
      <c r="E55" s="16"/>
      <c r="F55" s="16"/>
      <c r="G55" s="16"/>
      <c r="H55" s="16"/>
      <c r="I55" s="16"/>
      <c r="J55" s="16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12"/>
      <c r="Z55" s="13"/>
      <c r="AA55" s="13"/>
      <c r="AB55" s="13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3"/>
      <c r="AW55" s="12"/>
      <c r="AX55" s="12"/>
      <c r="AY55" s="14"/>
      <c r="AZ55" s="14"/>
      <c r="BA55" s="3"/>
    </row>
    <row r="56" spans="2:53" x14ac:dyDescent="0.3">
      <c r="B56" s="2"/>
      <c r="C56" s="16" t="str">
        <f>IF(ISBLANK(TrackTable[Track]), "", IFERROR(VLOOKUP(TrackTable[Track], SubtitleTrackDb[], 2, FALSE), ""))</f>
        <v/>
      </c>
      <c r="D56" s="16" t="str">
        <f>IF(ISBLANK(TrackTable[Track]), "", IFERROR(VLOOKUP(TrackTable[Track], SubtitleTrackDb[], 3, FALSE), ""))</f>
        <v/>
      </c>
      <c r="E56" s="16"/>
      <c r="F56" s="16"/>
      <c r="G56" s="16"/>
      <c r="H56" s="16"/>
      <c r="I56" s="16"/>
      <c r="J56" s="16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12"/>
      <c r="Z56" s="13"/>
      <c r="AA56" s="13"/>
      <c r="AB56" s="13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3"/>
      <c r="AW56" s="12"/>
      <c r="AX56" s="12"/>
      <c r="AY56" s="14"/>
      <c r="AZ56" s="14"/>
      <c r="BA56" s="3"/>
    </row>
    <row r="57" spans="2:53" x14ac:dyDescent="0.3">
      <c r="B57" s="2"/>
      <c r="C57" s="16" t="str">
        <f>IF(ISBLANK(TrackTable[Track]), "", IFERROR(VLOOKUP(TrackTable[Track], SubtitleTrackDb[], 2, FALSE), ""))</f>
        <v/>
      </c>
      <c r="D57" s="16" t="str">
        <f>IF(ISBLANK(TrackTable[Track]), "", IFERROR(VLOOKUP(TrackTable[Track], SubtitleTrackDb[], 3, FALSE), ""))</f>
        <v/>
      </c>
      <c r="E57" s="16"/>
      <c r="F57" s="16"/>
      <c r="G57" s="16"/>
      <c r="H57" s="16"/>
      <c r="I57" s="16"/>
      <c r="J57" s="16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12"/>
      <c r="Z57" s="13"/>
      <c r="AA57" s="13"/>
      <c r="AB57" s="13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3"/>
      <c r="AW57" s="12"/>
      <c r="AX57" s="12"/>
      <c r="AY57" s="14"/>
      <c r="AZ57" s="14"/>
      <c r="BA57" s="3"/>
    </row>
    <row r="58" spans="2:53" x14ac:dyDescent="0.3">
      <c r="B58" s="2"/>
      <c r="C58" s="16" t="str">
        <f>IF(ISBLANK(TrackTable[Track]), "", IFERROR(VLOOKUP(TrackTable[Track], SubtitleTrackDb[], 2, FALSE), ""))</f>
        <v/>
      </c>
      <c r="D58" s="16" t="str">
        <f>IF(ISBLANK(TrackTable[Track]), "", IFERROR(VLOOKUP(TrackTable[Track], SubtitleTrackDb[], 3, FALSE), ""))</f>
        <v/>
      </c>
      <c r="E58" s="16"/>
      <c r="F58" s="16"/>
      <c r="G58" s="16"/>
      <c r="H58" s="16"/>
      <c r="I58" s="16"/>
      <c r="J58" s="16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12"/>
      <c r="Z58" s="13"/>
      <c r="AA58" s="13"/>
      <c r="AB58" s="13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3"/>
      <c r="AW58" s="12"/>
      <c r="AX58" s="12"/>
      <c r="AY58" s="14"/>
      <c r="AZ58" s="14"/>
      <c r="BA58" s="3"/>
    </row>
    <row r="59" spans="2:53" x14ac:dyDescent="0.3">
      <c r="B59" s="2"/>
      <c r="C59" s="16" t="str">
        <f>IF(ISBLANK(TrackTable[Track]), "", IFERROR(VLOOKUP(TrackTable[Track], SubtitleTrackDb[], 2, FALSE), ""))</f>
        <v/>
      </c>
      <c r="D59" s="16" t="str">
        <f>IF(ISBLANK(TrackTable[Track]), "", IFERROR(VLOOKUP(TrackTable[Track], SubtitleTrackDb[], 3, FALSE), ""))</f>
        <v/>
      </c>
      <c r="E59" s="16"/>
      <c r="F59" s="16"/>
      <c r="G59" s="16"/>
      <c r="H59" s="16"/>
      <c r="I59" s="16"/>
      <c r="J59" s="16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12"/>
      <c r="Z59" s="13"/>
      <c r="AA59" s="13"/>
      <c r="AB59" s="13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3"/>
      <c r="AW59" s="12"/>
      <c r="AX59" s="12"/>
      <c r="AY59" s="14"/>
      <c r="AZ59" s="14"/>
      <c r="BA59" s="3"/>
    </row>
    <row r="60" spans="2:53" x14ac:dyDescent="0.3">
      <c r="B60" s="2"/>
      <c r="C60" s="16" t="str">
        <f>IF(ISBLANK(TrackTable[Track]), "", IFERROR(VLOOKUP(TrackTable[Track], SubtitleTrackDb[], 2, FALSE), ""))</f>
        <v/>
      </c>
      <c r="D60" s="16" t="str">
        <f>IF(ISBLANK(TrackTable[Track]), "", IFERROR(VLOOKUP(TrackTable[Track], SubtitleTrackDb[], 3, FALSE), ""))</f>
        <v/>
      </c>
      <c r="E60" s="16"/>
      <c r="F60" s="16"/>
      <c r="G60" s="16"/>
      <c r="H60" s="16"/>
      <c r="I60" s="16"/>
      <c r="J60" s="16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12"/>
      <c r="Z60" s="13"/>
      <c r="AA60" s="13"/>
      <c r="AB60" s="13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3"/>
      <c r="AW60" s="12"/>
      <c r="AX60" s="12"/>
      <c r="AY60" s="14"/>
      <c r="AZ60" s="14"/>
      <c r="BA60" s="3"/>
    </row>
    <row r="61" spans="2:53" x14ac:dyDescent="0.3">
      <c r="B61" s="2"/>
      <c r="C61" s="16" t="str">
        <f>IF(ISBLANK(TrackTable[Track]), "", IFERROR(VLOOKUP(TrackTable[Track], SubtitleTrackDb[], 2, FALSE), ""))</f>
        <v/>
      </c>
      <c r="D61" s="16" t="str">
        <f>IF(ISBLANK(TrackTable[Track]), "", IFERROR(VLOOKUP(TrackTable[Track], SubtitleTrackDb[], 3, FALSE), ""))</f>
        <v/>
      </c>
      <c r="E61" s="16"/>
      <c r="F61" s="16"/>
      <c r="G61" s="16"/>
      <c r="H61" s="16"/>
      <c r="I61" s="16"/>
      <c r="J61" s="16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12"/>
      <c r="Z61" s="13"/>
      <c r="AA61" s="13"/>
      <c r="AB61" s="13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3"/>
      <c r="AW61" s="12"/>
      <c r="AX61" s="12"/>
      <c r="AY61" s="14"/>
      <c r="AZ61" s="14"/>
      <c r="BA61" s="3"/>
    </row>
  </sheetData>
  <protectedRanges>
    <protectedRange algorithmName="SHA-512" hashValue="zmc3lwib9WAwv6jrZa0ZC0PmTF76hrY6w5pAPzF3qJfOPrAKod/HSDuWactiTFJxcSVedPUe4IuURIPnjQ9w1A==" saltValue="oCHz68wKiX8kPiJMSuf6jA==" spinCount="100000" sqref="B21:B36" name="TrackList"/>
    <protectedRange algorithmName="SHA-512" hashValue="JuxvZXZsaoyV9ixjGolAeCBvXZyv/JvcUqZUp2/3UXUOM3Lg8geRP27/t7y49rIvCJLRQKBdw3MJhR6LpR4mdg==" saltValue="KHKVcoBm7a3mnVDB5oZgsw==" spinCount="100000" sqref="C2:C18" name="SubtitleConfig"/>
  </protectedRanges>
  <phoneticPr fontId="2" type="noConversion"/>
  <conditionalFormatting sqref="E21:J36">
    <cfRule type="cellIs" dxfId="7" priority="34" operator="equal">
      <formula>"yes"</formula>
    </cfRule>
  </conditionalFormatting>
  <conditionalFormatting sqref="B21:AW36">
    <cfRule type="cellIs" dxfId="6" priority="46" operator="equal">
      <formula>TRUE</formula>
    </cfRule>
  </conditionalFormatting>
  <conditionalFormatting sqref="Y21:Y36">
    <cfRule type="top10" dxfId="5" priority="4" rank="1"/>
  </conditionalFormatting>
  <conditionalFormatting sqref="AC21:AC36">
    <cfRule type="top10" dxfId="4" priority="6" rank="1"/>
  </conditionalFormatting>
  <conditionalFormatting sqref="AN21:AU36">
    <cfRule type="top10" dxfId="3" priority="40" rank="1"/>
  </conditionalFormatting>
  <conditionalFormatting sqref="AS21:AU36">
    <cfRule type="top10" dxfId="2" priority="41" rank="1"/>
  </conditionalFormatting>
  <conditionalFormatting sqref="AX21:AX36">
    <cfRule type="top10" dxfId="1" priority="1" rank="1"/>
  </conditionalFormatting>
  <conditionalFormatting sqref="B21:AZ36">
    <cfRule type="expression" dxfId="0" priority="49">
      <formula>IF($AY21=1, TRUE, FALSE)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Base!$C$7:$C$8</xm:f>
          </x14:formula1>
          <xm:sqref>C16:C17 C9:C14</xm:sqref>
        </x14:dataValidation>
        <x14:dataValidation type="list" allowBlank="1" showInputMessage="1" showErrorMessage="1">
          <x14:formula1>
            <xm:f>Base!$C$12:$C$13</xm:f>
          </x14:formula1>
          <xm:sqref>C18</xm:sqref>
        </x14:dataValidation>
        <x14:dataValidation type="list" allowBlank="1" showInputMessage="1" showErrorMessage="1">
          <x14:formula1>
            <xm:f>Base!$C$12:$C$14</xm:f>
          </x14:formula1>
          <xm:sqref>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4"/>
  <sheetViews>
    <sheetView zoomScale="115" zoomScaleNormal="115" workbookViewId="0">
      <selection activeCell="J6" sqref="J6"/>
    </sheetView>
  </sheetViews>
  <sheetFormatPr defaultRowHeight="12" x14ac:dyDescent="0.3"/>
  <cols>
    <col min="1" max="1" width="3.125" style="8" customWidth="1"/>
    <col min="2" max="2" width="23" style="8" bestFit="1" customWidth="1"/>
    <col min="3" max="3" width="24.75" style="8" bestFit="1" customWidth="1"/>
    <col min="4" max="4" width="3.875" style="8" customWidth="1"/>
    <col min="5" max="5" width="21.25" style="8" bestFit="1" customWidth="1"/>
    <col min="6" max="6" width="5.625" style="8" customWidth="1"/>
    <col min="7" max="7" width="6.125" style="8" customWidth="1"/>
    <col min="8" max="8" width="5.125" style="8" customWidth="1"/>
    <col min="9" max="9" width="14.375" style="8" customWidth="1"/>
    <col min="10" max="10" width="12.125" style="8" bestFit="1" customWidth="1"/>
    <col min="11" max="11" width="6.25" style="8" bestFit="1" customWidth="1"/>
    <col min="12" max="12" width="9" style="8"/>
    <col min="13" max="13" width="16.875" style="8" customWidth="1"/>
    <col min="14" max="16384" width="9" style="8"/>
  </cols>
  <sheetData>
    <row r="2" spans="2:14" x14ac:dyDescent="0.3">
      <c r="B2" s="8" t="s">
        <v>3</v>
      </c>
      <c r="C2" s="8" t="s">
        <v>21</v>
      </c>
      <c r="E2" s="9" t="s">
        <v>180</v>
      </c>
      <c r="F2" s="8" t="s">
        <v>3</v>
      </c>
      <c r="G2" s="8" t="s">
        <v>24</v>
      </c>
      <c r="H2" s="8" t="s">
        <v>25</v>
      </c>
      <c r="I2" s="8" t="s">
        <v>194</v>
      </c>
      <c r="J2" s="8" t="s">
        <v>189</v>
      </c>
      <c r="K2" s="8" t="s">
        <v>195</v>
      </c>
      <c r="L2" s="8" t="s">
        <v>18</v>
      </c>
      <c r="M2" s="8" t="s">
        <v>20</v>
      </c>
      <c r="N2" s="9"/>
    </row>
    <row r="3" spans="2:14" x14ac:dyDescent="0.3">
      <c r="B3" s="8" t="s">
        <v>175</v>
      </c>
      <c r="C3" s="8">
        <v>7</v>
      </c>
      <c r="D3" s="11"/>
      <c r="E3" s="9"/>
      <c r="F3" s="8" t="str">
        <f>VLOOKUP("Es Struct Name", SubttlRef[], 2, FALSE) &amp; " " &amp; VLOOKUP("Es Var Name", SubttlRef[], 2, FALSE) &amp; "[] ="</f>
        <v>svcSi_SubtitleEs_t astSubtitleEsList[] =</v>
      </c>
      <c r="N3" s="9"/>
    </row>
    <row r="4" spans="2:14" x14ac:dyDescent="0.3">
      <c r="B4" s="9" t="s">
        <v>174</v>
      </c>
      <c r="C4" s="9" t="str">
        <f>DEC2HEX(VALUE(C3)+HEX2DEC(1000), 4)</f>
        <v>1007</v>
      </c>
      <c r="E4" s="9"/>
      <c r="F4" s="9" t="s">
        <v>26</v>
      </c>
      <c r="G4" s="9"/>
      <c r="H4" s="9"/>
      <c r="I4" s="9"/>
      <c r="J4" s="9"/>
      <c r="K4" s="9"/>
      <c r="L4" s="9"/>
      <c r="M4" s="9"/>
      <c r="N4" s="9"/>
    </row>
    <row r="5" spans="2:14" x14ac:dyDescent="0.3">
      <c r="B5" s="8" t="s">
        <v>173</v>
      </c>
      <c r="C5" s="8" t="str">
        <f>IFERROR(VLOOKUP(C3, SubtitleTrackDb[], 2, FALSE), "")</f>
        <v>eng</v>
      </c>
      <c r="E5" s="9"/>
      <c r="F5" s="9"/>
      <c r="G5" s="9" t="str">
        <f>"[" &amp; TEXT(VLOOKUP("Subttl Index", SubttlRef[], 2, FALSE), "0#") &amp; "] = {"</f>
        <v>[07] = {</v>
      </c>
      <c r="H5" s="9"/>
      <c r="I5" s="9"/>
      <c r="J5" s="9"/>
      <c r="K5" s="9"/>
      <c r="L5" s="9"/>
      <c r="M5" s="9"/>
      <c r="N5" s="9"/>
    </row>
    <row r="6" spans="2:14" x14ac:dyDescent="0.3">
      <c r="B6" s="8" t="s">
        <v>176</v>
      </c>
      <c r="C6" s="8" t="str">
        <f>IFERROR(VLOOKUP(C3, SubtitleTrackDb[], 3, FALSE), "")</f>
        <v>0x13</v>
      </c>
      <c r="E6" s="9" t="s">
        <v>181</v>
      </c>
      <c r="G6" s="9"/>
      <c r="H6" s="8" t="str">
        <f>VLOOKUP(표4[[#This Row],[Key]], SubttlRef[], 2, FALSE)</f>
        <v>.usPid</v>
      </c>
      <c r="J6" s="8" t="str">
        <f>"= 0x" &amp; VLOOKUP("Subttl PID", SubttlRef[], 2, FALSE) &amp; ","</f>
        <v>= 0x1007,</v>
      </c>
      <c r="N6" s="9"/>
    </row>
    <row r="7" spans="2:14" x14ac:dyDescent="0.3">
      <c r="B7" s="9" t="s">
        <v>32</v>
      </c>
      <c r="C7" s="9" t="s">
        <v>158</v>
      </c>
      <c r="E7" s="9" t="s">
        <v>182</v>
      </c>
      <c r="G7" s="9"/>
      <c r="H7" s="8" t="str">
        <f>VLOOKUP(표4[[#This Row],[Key]], SubttlRef[], 2, FALSE)</f>
        <v>.ucComponentTag</v>
      </c>
      <c r="J7" s="8" t="str">
        <f>"= 0,"</f>
        <v>= 0,</v>
      </c>
      <c r="N7" s="9"/>
    </row>
    <row r="8" spans="2:14" x14ac:dyDescent="0.3">
      <c r="B8" s="9" t="s">
        <v>31</v>
      </c>
      <c r="C8" s="9" t="s">
        <v>159</v>
      </c>
      <c r="E8" s="9" t="s">
        <v>177</v>
      </c>
      <c r="G8" s="9"/>
      <c r="H8" s="8" t="str">
        <f>VLOOKUP(표4[[#This Row],[Key]], SubttlRef[], 2, FALSE)</f>
        <v>.ucType</v>
      </c>
      <c r="J8" s="8" t="str">
        <f>"= " &amp; VLOOKUP("Subttl Type", SubttlRef[], 2, FALSE) &amp; ","</f>
        <v>= 0x13,</v>
      </c>
      <c r="L8" s="8" t="str">
        <f>"/* " &amp; VLOOKUP(SUBTTL_TYPE_REF, type_table[#All], 2, FALSE) &amp; ", HOH:" &amp; VLOOKUP(SUBTTL_TYPE_REF, type_table[#All], 3, FALSE) &amp; ", AR:" &amp; VLOOKUP(SUBTTL_TYPE_REF, type_table[#All], 4, FALSE) &amp; ", HD:" &amp; VLOOKUP(SUBTTL_TYPE_REF, type_table[#All], 5, FALSE) &amp; " */"</f>
        <v>/* DVB, HOH:FALSE, AR:2.21x1, HD:no */</v>
      </c>
      <c r="N8" s="9"/>
    </row>
    <row r="9" spans="2:14" x14ac:dyDescent="0.3">
      <c r="B9" s="9" t="s">
        <v>171</v>
      </c>
      <c r="C9" s="9" t="s">
        <v>22</v>
      </c>
      <c r="E9" s="9" t="s">
        <v>183</v>
      </c>
      <c r="F9" s="9"/>
      <c r="G9" s="9"/>
      <c r="H9" s="9" t="str">
        <f>VLOOKUP(표4[[#This Row],[Key]], SubttlRef[], 2, FALSE)</f>
        <v>.aucLangCode</v>
      </c>
      <c r="I9" s="9"/>
      <c r="J9" s="9" t="str">
        <f>"= " &amp; IF(LEN(표4[Value Org]) = 3, "{ '" &amp; MID(표4[Value Org], 1, 1) &amp; "', '" &amp; MID(표4[Value Org], 2, 1) &amp; "', '" &amp; MID(표4[Value Org], 3, 1) &amp; "' },", "{ 0, },")</f>
        <v>= { 'e', 'n', 'g' },</v>
      </c>
      <c r="K9" s="9"/>
      <c r="L9" s="9" t="str">
        <f>"/* " &amp; IF(LEN(VLOOKUP("Lang Ref", SubttlRef[], 2, FALSE))&lt;&gt;3,"", VLOOKUP("Lang Ref", SubttlRef[], 2, FALSE)) &amp; " */"</f>
        <v>/* eng */</v>
      </c>
      <c r="M9" s="9" t="str">
        <f>IF(LEN(VLOOKUP("Lang Ref", SubttlRef[], 2, FALSE))&lt;&gt;3,"", VLOOKUP("Lang Ref", SubttlRef[], 2, FALSE))</f>
        <v>eng</v>
      </c>
      <c r="N9" s="9"/>
    </row>
    <row r="10" spans="2:14" x14ac:dyDescent="0.3">
      <c r="B10" s="9" t="s">
        <v>172</v>
      </c>
      <c r="C10" s="9" t="s">
        <v>33</v>
      </c>
      <c r="E10" s="9" t="s">
        <v>184</v>
      </c>
      <c r="G10" s="9"/>
      <c r="H10" s="8" t="str">
        <f>VLOOKUP(표4[[#This Row],[Key]], SubttlRef[], 2, FALSE)</f>
        <v>.usCompositionPageId</v>
      </c>
      <c r="J10" s="8" t="str">
        <f>"= 0,"</f>
        <v>= 0,</v>
      </c>
      <c r="N10" s="9"/>
    </row>
    <row r="11" spans="2:14" x14ac:dyDescent="0.3">
      <c r="B11" s="9" t="s">
        <v>178</v>
      </c>
      <c r="C11" s="9" t="s">
        <v>160</v>
      </c>
      <c r="E11" s="9" t="s">
        <v>185</v>
      </c>
      <c r="G11" s="9"/>
      <c r="H11" s="8" t="str">
        <f>VLOOKUP(표4[[#This Row],[Key]], SubttlRef[], 2, FALSE)</f>
        <v>.usAncillaryPageId</v>
      </c>
      <c r="J11" s="8" t="str">
        <f>"= 0,"</f>
        <v>= 0,</v>
      </c>
      <c r="N11" s="9"/>
    </row>
    <row r="12" spans="2:14" x14ac:dyDescent="0.3">
      <c r="B12" s="9" t="s">
        <v>163</v>
      </c>
      <c r="C12" s="9" t="s">
        <v>164</v>
      </c>
      <c r="E12" s="9" t="s">
        <v>186</v>
      </c>
      <c r="G12" s="9"/>
      <c r="H12" s="8" t="str">
        <f>VLOOKUP(표4[[#This Row],[Key]], SubttlRef[], 2, FALSE)</f>
        <v>.ucMagazineNumber</v>
      </c>
      <c r="J12" s="8" t="str">
        <f>"= 0,"</f>
        <v>= 0,</v>
      </c>
      <c r="N12" s="9"/>
    </row>
    <row r="13" spans="2:14" x14ac:dyDescent="0.3">
      <c r="B13" s="9" t="s">
        <v>179</v>
      </c>
      <c r="C13" s="9" t="s">
        <v>162</v>
      </c>
      <c r="E13" s="9" t="s">
        <v>187</v>
      </c>
      <c r="G13" s="9"/>
      <c r="H13" s="8" t="str">
        <f>VLOOKUP(표4[[#This Row],[Key]], SubttlRef[], 2, FALSE)</f>
        <v>.ucPageNumber</v>
      </c>
      <c r="J13" s="8" t="str">
        <f>"= 0,"</f>
        <v>= 0,</v>
      </c>
      <c r="N13" s="9"/>
    </row>
    <row r="14" spans="2:14" x14ac:dyDescent="0.3">
      <c r="B14" s="9" t="s">
        <v>168</v>
      </c>
      <c r="C14" s="9" t="s">
        <v>167</v>
      </c>
      <c r="E14" s="9" t="s">
        <v>188</v>
      </c>
      <c r="F14" s="9"/>
      <c r="G14" s="9"/>
      <c r="H14" s="9" t="str">
        <f>VLOOKUP(표4[[#This Row],[Key]], SubttlRef[], 2, FALSE)</f>
        <v>.bCaDesFound</v>
      </c>
      <c r="I14" s="9"/>
      <c r="J14" s="9" t="str">
        <f>"= FALSE,"</f>
        <v>= FALSE,</v>
      </c>
      <c r="K14" s="9"/>
      <c r="L14" s="9"/>
      <c r="M14" s="9"/>
      <c r="N14" s="9"/>
    </row>
    <row r="15" spans="2:14" x14ac:dyDescent="0.3">
      <c r="B15" s="9" t="s">
        <v>169</v>
      </c>
      <c r="C15" s="9" t="s">
        <v>165</v>
      </c>
      <c r="E15" s="9"/>
      <c r="F15" s="9"/>
      <c r="G15" s="9" t="s">
        <v>191</v>
      </c>
      <c r="H15" s="9"/>
      <c r="I15" s="9"/>
      <c r="J15" s="9"/>
      <c r="K15" s="9"/>
      <c r="L15" s="9"/>
      <c r="M15" s="9"/>
      <c r="N15" s="9"/>
    </row>
    <row r="16" spans="2:14" x14ac:dyDescent="0.3">
      <c r="B16" s="9" t="s">
        <v>170</v>
      </c>
      <c r="C16" s="9" t="s">
        <v>166</v>
      </c>
      <c r="E16" s="9"/>
      <c r="F16" s="9" t="s">
        <v>190</v>
      </c>
      <c r="G16" s="9"/>
      <c r="H16" s="9"/>
      <c r="I16" s="9"/>
      <c r="J16" s="9"/>
      <c r="K16" s="9"/>
      <c r="L16" s="9"/>
      <c r="M16" s="9"/>
      <c r="N16" s="9"/>
    </row>
    <row r="17" spans="2:12" x14ac:dyDescent="0.3">
      <c r="B17" s="9" t="s">
        <v>161</v>
      </c>
      <c r="C17" s="9" t="s">
        <v>23</v>
      </c>
      <c r="E17" s="9"/>
      <c r="F17" s="9"/>
      <c r="G17" s="9"/>
      <c r="H17" s="9"/>
      <c r="I17" s="9"/>
      <c r="J17" s="9"/>
      <c r="K17" s="9"/>
      <c r="L17" s="9"/>
    </row>
    <row r="18" spans="2:12" x14ac:dyDescent="0.3">
      <c r="B18" s="9"/>
      <c r="C18" s="9"/>
      <c r="E18" s="9"/>
      <c r="F18" s="9"/>
      <c r="G18" s="9"/>
      <c r="H18" s="9"/>
      <c r="I18" s="9"/>
      <c r="J18" s="9"/>
      <c r="K18" s="9"/>
      <c r="L18" s="9"/>
    </row>
    <row r="19" spans="2:12" x14ac:dyDescent="0.3">
      <c r="B19" s="9"/>
      <c r="C19" s="9"/>
      <c r="L19" s="9"/>
    </row>
    <row r="20" spans="2:12" x14ac:dyDescent="0.3">
      <c r="B20" s="9"/>
      <c r="C20" s="9"/>
      <c r="L20" s="9"/>
    </row>
    <row r="21" spans="2:12" x14ac:dyDescent="0.3">
      <c r="B21" s="9"/>
      <c r="C21" s="9"/>
      <c r="L21" s="9"/>
    </row>
    <row r="22" spans="2:12" x14ac:dyDescent="0.3">
      <c r="B22" s="9"/>
      <c r="C22" s="9"/>
    </row>
    <row r="23" spans="2:12" x14ac:dyDescent="0.3">
      <c r="B23" s="9"/>
      <c r="C23" s="9"/>
    </row>
    <row r="24" spans="2:12" x14ac:dyDescent="0.3">
      <c r="B24" s="9"/>
      <c r="C24" s="9"/>
    </row>
  </sheetData>
  <sheetProtection algorithmName="SHA-512" hashValue="KOhWavM9fBgYglEKxIB6kLrmAfJ+1LM1RMEJZQPawr3e13B65wgJvQ1PqiUJepiY0dyBgP6SIcYnhN0Sr+Ze0g==" saltValue="+JDV/4vXrdm0uksWmyaNlg==" spinCount="100000" sheet="1" objects="1" scenarios="1"/>
  <protectedRanges>
    <protectedRange sqref="C3" name="FieldNameValue"/>
  </protectedRanges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SubtitleConfig!$B$3:$B$45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27</vt:i4>
      </vt:variant>
    </vt:vector>
  </HeadingPairs>
  <TitlesOfParts>
    <vt:vector size="31" baseType="lpstr">
      <vt:lpstr>Base</vt:lpstr>
      <vt:lpstr>SubtitleConfig</vt:lpstr>
      <vt:lpstr>SubtitleSelection</vt:lpstr>
      <vt:lpstr>SubtitleEsList</vt:lpstr>
      <vt:lpstr>AR_M</vt:lpstr>
      <vt:lpstr>AR_M_KEY</vt:lpstr>
      <vt:lpstr>AUDIO_PID</vt:lpstr>
      <vt:lpstr>AudioTrackList</vt:lpstr>
      <vt:lpstr>DVB_M</vt:lpstr>
      <vt:lpstr>DVB_M_KEY</vt:lpstr>
      <vt:lpstr>EMPTY_VALUE</vt:lpstr>
      <vt:lpstr>HOH_M</vt:lpstr>
      <vt:lpstr>HOH_M_KEY</vt:lpstr>
      <vt:lpstr>HOH_U</vt:lpstr>
      <vt:lpstr>HOH_U_KEY</vt:lpstr>
      <vt:lpstr>LANG_DEF</vt:lpstr>
      <vt:lpstr>LANG_DEF_KEY</vt:lpstr>
      <vt:lpstr>LANG_ORG</vt:lpstr>
      <vt:lpstr>LANG_ORG_KEY</vt:lpstr>
      <vt:lpstr>LANG_OSD</vt:lpstr>
      <vt:lpstr>LANG_OSD_KEY</vt:lpstr>
      <vt:lpstr>LANG_SUBTTL</vt:lpstr>
      <vt:lpstr>LANG_SUBTTL_KEY</vt:lpstr>
      <vt:lpstr>LANG_SUBTTL_KEY1</vt:lpstr>
      <vt:lpstr>LANG_SUBTTL1</vt:lpstr>
      <vt:lpstr>LANG_UND</vt:lpstr>
      <vt:lpstr>LANG_UND_KEY</vt:lpstr>
      <vt:lpstr>LANG_USER</vt:lpstr>
      <vt:lpstr>LANG_USER_KEY</vt:lpstr>
      <vt:lpstr>LANG0_REF</vt:lpstr>
      <vt:lpstr>SUBTTL_TYPE_REF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민창훈(CH Min)</dc:creator>
  <cp:lastModifiedBy>민창훈(CH Min)</cp:lastModifiedBy>
  <dcterms:created xsi:type="dcterms:W3CDTF">2014-02-27T09:24:55Z</dcterms:created>
  <dcterms:modified xsi:type="dcterms:W3CDTF">2014-06-25T02:25:46Z</dcterms:modified>
</cp:coreProperties>
</file>