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visible" name="Balance Sheet" sheetId="2" r:id="rId5"/>
    <sheet state="visible" name="Cash Flow" sheetId="3" r:id="rId6"/>
    <sheet state="visible" name="Snapshot" sheetId="4" r:id="rId7"/>
    <sheet state="visible" name="Predictions" sheetId="5" r:id="rId8"/>
    <sheet state="visible" name="CashFlow Analysis" sheetId="6" r:id="rId9"/>
    <sheet state="visible" name="Valuation per Scenario" sheetId="7" r:id="rId10"/>
    <sheet state="visible" name="Ratio Analysis" sheetId="8" r:id="rId11"/>
  </sheets>
  <definedNames/>
  <calcPr/>
</workbook>
</file>

<file path=xl/sharedStrings.xml><?xml version="1.0" encoding="utf-8"?>
<sst xmlns="http://schemas.openxmlformats.org/spreadsheetml/2006/main" count="658" uniqueCount="374">
  <si>
    <t xml:space="preserve">Breakdown </t>
  </si>
  <si>
    <t>TTM</t>
  </si>
  <si>
    <t>6/30/2022</t>
  </si>
  <si>
    <t>6/30/2021</t>
  </si>
  <si>
    <t>6/30/2020</t>
  </si>
  <si>
    <t>6/30/2019</t>
  </si>
  <si>
    <t>Total Revenue</t>
  </si>
  <si>
    <t>Operating Revenue</t>
  </si>
  <si>
    <t>Cost of Revenue</t>
  </si>
  <si>
    <t>Gross Profit</t>
  </si>
  <si>
    <t>Operating Expense</t>
  </si>
  <si>
    <t>Selling General and Administrative</t>
  </si>
  <si>
    <t>General &amp; Administrative Expense</t>
  </si>
  <si>
    <t>Other G and A</t>
  </si>
  <si>
    <t>Selling &amp; Marketing Expense</t>
  </si>
  <si>
    <t>Research &amp; Development</t>
  </si>
  <si>
    <t>Operating Income</t>
  </si>
  <si>
    <t>Net Non Operating Interest Income Expense</t>
  </si>
  <si>
    <t>Interest Income Non Operating</t>
  </si>
  <si>
    <t>Interest Expense Non Operating</t>
  </si>
  <si>
    <t>Other Income Expense</t>
  </si>
  <si>
    <t>Gain on Sale of Security</t>
  </si>
  <si>
    <t>Special Income Charges</t>
  </si>
  <si>
    <t>-</t>
  </si>
  <si>
    <t>Restructuring &amp; Mergers Acquisition</t>
  </si>
  <si>
    <t>Write Off</t>
  </si>
  <si>
    <t>Other Non Operating Income Expenses</t>
  </si>
  <si>
    <t>Pretax Income</t>
  </si>
  <si>
    <t>Tax Provision</t>
  </si>
  <si>
    <t>Net Income Common Stockholders</t>
  </si>
  <si>
    <t>Net Income</t>
  </si>
  <si>
    <t>Net Income Including Non-Controlling Interests</t>
  </si>
  <si>
    <t>Net Income Continuous Operations</t>
  </si>
  <si>
    <t>Diluted NI Available to Com Stockholders</t>
  </si>
  <si>
    <t>Basic EPS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</si>
  <si>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</si>
  <si>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</si>
  <si>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</si>
  <si>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</si>
  <si>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</si>
  <si>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</si>
  <si>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</si>
  <si>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</si>
  <si>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</si>
  <si>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</si>
  <si>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</si>
  <si>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</si>
  <si>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</si>
  <si>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</si>
  <si>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</si>
  <si>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</si>
  <si>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</si>
  <si>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</si>
  <si>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</si>
  <si>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Tax Effect of Unusual Items</t>
  </si>
  <si>
    <t>Breakdown</t>
  </si>
  <si>
    <t>Total Assets</t>
  </si>
  <si>
    <t>Total Liabilities Net Minority Interest</t>
  </si>
  <si>
    <t>Current Assets</t>
  </si>
  <si>
    <t>Total Equity Gross Minority Interest</t>
  </si>
  <si>
    <t>Total non-current assets</t>
  </si>
  <si>
    <t>Total Capitalization</t>
  </si>
  <si>
    <t>Net PPE</t>
  </si>
  <si>
    <t>Common Stock Equity</t>
  </si>
  <si>
    <t>Gross PPE</t>
  </si>
  <si>
    <t>Capital Lease Obligations</t>
  </si>
  <si>
    <t>Accumulated Depreciation</t>
  </si>
  <si>
    <t>Net Tangible Assets</t>
  </si>
  <si>
    <t>Goodwill And Other Intangible Assets</t>
  </si>
  <si>
    <t>Working Capital</t>
  </si>
  <si>
    <t>Goodwill</t>
  </si>
  <si>
    <t>Invested Capital</t>
  </si>
  <si>
    <t>Other Intangible Assets</t>
  </si>
  <si>
    <t>Tangible Book Value</t>
  </si>
  <si>
    <t>Investments And Advances</t>
  </si>
  <si>
    <t>Total Debt</t>
  </si>
  <si>
    <t>Long Term Equity Investment</t>
  </si>
  <si>
    <t>Net Debt</t>
  </si>
  <si>
    <t>Other Non Current Assets</t>
  </si>
  <si>
    <t>Share Issued</t>
  </si>
  <si>
    <t>Ordinary Shares Number</t>
  </si>
  <si>
    <t>Current Liabilities</t>
  </si>
  <si>
    <t>Payables And Accrued Expenses</t>
  </si>
  <si>
    <t>Payables</t>
  </si>
  <si>
    <t>Accounts Payable</t>
  </si>
  <si>
    <t>Total Tax Payable</t>
  </si>
  <si>
    <t>Income Tax Payable</t>
  </si>
  <si>
    <t>Pension &amp; Other Post Retirement Benefit Plans Current</t>
  </si>
  <si>
    <t>Current Debt And Capital Lease Obligation</t>
  </si>
  <si>
    <t>Current Debt</t>
  </si>
  <si>
    <t>Current Deferred Liabilities</t>
  </si>
  <si>
    <t>Current Deferred Revenue</t>
  </si>
  <si>
    <t>Other Current Liabilities</t>
  </si>
  <si>
    <t>Total Non Current Liabilities Net Minority Interest</t>
  </si>
  <si>
    <t>Long Term Debt And Capital Lease Obligation</t>
  </si>
  <si>
    <t>Long Term Debt</t>
  </si>
  <si>
    <t>Long Term Capital Lease Obligation</t>
  </si>
  <si>
    <t>Non Current Deferred Liabilities</t>
  </si>
  <si>
    <t>Non Current Deferred Taxes Liabilities</t>
  </si>
  <si>
    <t>Non Current Deferred Revenue</t>
  </si>
  <si>
    <t>Tradeand Other Payables Non Current</t>
  </si>
  <si>
    <t>Other Non Current Liabilities</t>
  </si>
  <si>
    <t>Stockholders' Equity</t>
  </si>
  <si>
    <t>Capital Stock</t>
  </si>
  <si>
    <t>Common Stock</t>
  </si>
  <si>
    <t>Retained Earnings</t>
  </si>
  <si>
    <t>Gains Losses Not Affecting Retained Earnings</t>
  </si>
  <si>
    <t>Operating Cash Flow</t>
  </si>
  <si>
    <t>Cash Flow from Continuing Operating Activities</t>
  </si>
  <si>
    <t>Net Income from Continuing Operations</t>
  </si>
  <si>
    <t>Operating Gains Losses</t>
  </si>
  <si>
    <t>Depreciation Amortization Depletion</t>
  </si>
  <si>
    <t>Deferred Tax</t>
  </si>
  <si>
    <t>Stock based compensation</t>
  </si>
  <si>
    <t>Change in working capital</t>
  </si>
  <si>
    <t>Investing Cash Flow</t>
  </si>
  <si>
    <t>Cash Flow from Continuing Investing Activities</t>
  </si>
  <si>
    <t>Net PPE Purchase And Sale</t>
  </si>
  <si>
    <t>Net Business Purchase And Sale</t>
  </si>
  <si>
    <t>Net Investment Purchase And Sale</t>
  </si>
  <si>
    <t>Net Other Investing Changes</t>
  </si>
  <si>
    <t>Financing Cash Flow</t>
  </si>
  <si>
    <t>Cash Flow from Continuing Financing Activities</t>
  </si>
  <si>
    <t>Net Issuance Payments of Debt</t>
  </si>
  <si>
    <t>Net Common Stock Issuance</t>
  </si>
  <si>
    <t>Cash Dividends Paid</t>
  </si>
  <si>
    <t>Net Other Financing Charges</t>
  </si>
  <si>
    <t>End Cash Position</t>
  </si>
  <si>
    <t>Changes in Cash</t>
  </si>
  <si>
    <t>Effect of Exchange Rate Changes</t>
  </si>
  <si>
    <t>Beginning Cash Position</t>
  </si>
  <si>
    <t>Capital Expenditure</t>
  </si>
  <si>
    <t>Issuance of Capital Stock</t>
  </si>
  <si>
    <t>Issuance of Debt</t>
  </si>
  <si>
    <t>Repayment of Debt</t>
  </si>
  <si>
    <t>Repurchase of Capital Stock</t>
  </si>
  <si>
    <t>Free Cash Flow</t>
  </si>
  <si>
    <t>Valuation Measures</t>
  </si>
  <si>
    <t>Profitability</t>
  </si>
  <si>
    <t>Market Cap (intraday)</t>
  </si>
  <si>
    <t>2.16T</t>
  </si>
  <si>
    <t>Profit Margin</t>
  </si>
  <si>
    <t>Major Holders</t>
  </si>
  <si>
    <t>Enterprise Value</t>
  </si>
  <si>
    <t>2.11T</t>
  </si>
  <si>
    <t>Operating Margin (ttm)</t>
  </si>
  <si>
    <t>Currency in USD</t>
  </si>
  <si>
    <t>Trailing P/E</t>
  </si>
  <si>
    <t>Management Effectiveness</t>
  </si>
  <si>
    <t>Forward P/E</t>
  </si>
  <si>
    <t>Return on Assets (ttm)</t>
  </si>
  <si>
    <t>% of Shares Held by All Insider</t>
  </si>
  <si>
    <t>PEG Ratio (5 yr expected)</t>
  </si>
  <si>
    <t>Return on Equity (ttm)</t>
  </si>
  <si>
    <t>% of Shares Held by Institutions</t>
  </si>
  <si>
    <t>Price/Sales (ttm)</t>
  </si>
  <si>
    <t>Income Statement</t>
  </si>
  <si>
    <t>% of Float Held by Institutions</t>
  </si>
  <si>
    <t>Price/Book (mrq)</t>
  </si>
  <si>
    <t>Revenue (ttm)</t>
  </si>
  <si>
    <t>198.27B</t>
  </si>
  <si>
    <t>Number of Institutions Holding Shares</t>
  </si>
  <si>
    <t>Enterprise Value/Revenue</t>
  </si>
  <si>
    <t>Revenue Per Share (ttm)</t>
  </si>
  <si>
    <t>Enterprise Value/EBITDA</t>
  </si>
  <si>
    <t>Quarterly Revenue Growth (yoy)</t>
  </si>
  <si>
    <t>Gross Profit (ttm)</t>
  </si>
  <si>
    <t>135.62B</t>
  </si>
  <si>
    <t>Stock Price History</t>
  </si>
  <si>
    <t>97.98B</t>
  </si>
  <si>
    <t>Beta (5Y Monthly)</t>
  </si>
  <si>
    <t>Net Income Avi to Common (ttm)</t>
  </si>
  <si>
    <t>72.74B</t>
  </si>
  <si>
    <t>52-Week Change 3</t>
  </si>
  <si>
    <t>Diluted EPS (ttm)</t>
  </si>
  <si>
    <t>S&amp;P500 52-Week Change 3</t>
  </si>
  <si>
    <t>Quarterly Earnings Growth (yoy)</t>
  </si>
  <si>
    <t>52 Week High 3</t>
  </si>
  <si>
    <t>Balance Sheet</t>
  </si>
  <si>
    <t>52 Week Low 3</t>
  </si>
  <si>
    <t>Total Cash (mrq)</t>
  </si>
  <si>
    <t>104.75B</t>
  </si>
  <si>
    <t>50-Day Moving Average 3</t>
  </si>
  <si>
    <t>Total Cash Per Share (mrq)</t>
  </si>
  <si>
    <t>200-Day Moving Average 3</t>
  </si>
  <si>
    <t>Total Debt (mrq)</t>
  </si>
  <si>
    <t>78.4B</t>
  </si>
  <si>
    <t>Share Statistics</t>
  </si>
  <si>
    <t>Total Debt/Equity (mrq)</t>
  </si>
  <si>
    <t>Avg Vol (3 month) 3</t>
  </si>
  <si>
    <t>27.64M</t>
  </si>
  <si>
    <t>Current Ratio (mrq)</t>
  </si>
  <si>
    <t>Avg Vol (10 day) 3</t>
  </si>
  <si>
    <t>21.22M</t>
  </si>
  <si>
    <t>Book Value Per Share (mrq)</t>
  </si>
  <si>
    <t>Shares Outstanding 5</t>
  </si>
  <si>
    <t>7.46B</t>
  </si>
  <si>
    <t>Cash Flow Statement</t>
  </si>
  <si>
    <t>Implied Shares Outstanding 6</t>
  </si>
  <si>
    <t>N/A</t>
  </si>
  <si>
    <t>Operating Cash Flow (ttm)</t>
  </si>
  <si>
    <t>89.03B</t>
  </si>
  <si>
    <t xml:space="preserve">Float </t>
  </si>
  <si>
    <t>7.45B</t>
  </si>
  <si>
    <t>Levered Free Cash Flow (ttm)</t>
  </si>
  <si>
    <t>49.48B</t>
  </si>
  <si>
    <t>% Held by Insiders 1</t>
  </si>
  <si>
    <t>% Held by Institutions 1</t>
  </si>
  <si>
    <t>Shares Short (Jul 29, 2022) 4</t>
  </si>
  <si>
    <t>38.19M</t>
  </si>
  <si>
    <t>Short Ratio (Jul 29, 2022) 4</t>
  </si>
  <si>
    <t>Short % of Float (Jul 29, 2022) 4</t>
  </si>
  <si>
    <t>Short % of Shares Outstanding (Jul 29, 2022) 4</t>
  </si>
  <si>
    <t>Shares Short (prior month Jun 30, 2022) 4</t>
  </si>
  <si>
    <t>38.9M</t>
  </si>
  <si>
    <t>Dividends &amp; Splits</t>
  </si>
  <si>
    <t>Forward Annual Dividend Rate 4</t>
  </si>
  <si>
    <t>Forward Annual Dividend Yield 4</t>
  </si>
  <si>
    <t>Trailing Annual Dividend Rate 3</t>
  </si>
  <si>
    <t>Trailing Annual Dividend Yield 3</t>
  </si>
  <si>
    <t>5 Year Average Dividend Yield 4</t>
  </si>
  <si>
    <t>Payout Ratio 4</t>
  </si>
  <si>
    <t>Dividend Date 3</t>
  </si>
  <si>
    <t>Sep 08, 2022</t>
  </si>
  <si>
    <t>Ex-Dividend Date 4</t>
  </si>
  <si>
    <t>Aug 17, 2022</t>
  </si>
  <si>
    <t>Last Split Factor 2</t>
  </si>
  <si>
    <t>2:1</t>
  </si>
  <si>
    <t>Last Split Date 3</t>
  </si>
  <si>
    <t>Earnings Estimate</t>
  </si>
  <si>
    <t>Current Qtr. (Sep 2022)</t>
  </si>
  <si>
    <t>Next Qtr. (Dec 2022)</t>
  </si>
  <si>
    <t>Current Year (2023)</t>
  </si>
  <si>
    <t>Next Year (2024)</t>
  </si>
  <si>
    <t>No. of Analysts</t>
  </si>
  <si>
    <t>Avg. Estimate</t>
  </si>
  <si>
    <t>Low Estimate</t>
  </si>
  <si>
    <t>High Estimate</t>
  </si>
  <si>
    <t>Year Ago EPS</t>
  </si>
  <si>
    <t>Revenue Estimate</t>
  </si>
  <si>
    <t>49.91B</t>
  </si>
  <si>
    <t>56.71B</t>
  </si>
  <si>
    <t>220.87B</t>
  </si>
  <si>
    <t>251.52B</t>
  </si>
  <si>
    <t>49.49B</t>
  </si>
  <si>
    <t>55.13B</t>
  </si>
  <si>
    <t>216.97B</t>
  </si>
  <si>
    <t>236.22B</t>
  </si>
  <si>
    <t>51.97B</t>
  </si>
  <si>
    <t>60.38B</t>
  </si>
  <si>
    <t>235.36B</t>
  </si>
  <si>
    <t>263.42B</t>
  </si>
  <si>
    <t>Year Ago Sales</t>
  </si>
  <si>
    <t>Sales Growth (year/est)</t>
  </si>
  <si>
    <t>Earnings History</t>
  </si>
  <si>
    <t>9/29/2021</t>
  </si>
  <si>
    <t>12/30/2021</t>
  </si>
  <si>
    <t>3/30/2022</t>
  </si>
  <si>
    <t>6/29/2022</t>
  </si>
  <si>
    <t>EPS Est.</t>
  </si>
  <si>
    <t>EPS Actual</t>
  </si>
  <si>
    <t>Difference</t>
  </si>
  <si>
    <t>Surprise %</t>
  </si>
  <si>
    <t>EPS Trend</t>
  </si>
  <si>
    <t>Current Estimate</t>
  </si>
  <si>
    <t>7 Days Ago</t>
  </si>
  <si>
    <t>30 Days Ago</t>
  </si>
  <si>
    <t>60 Days Ago</t>
  </si>
  <si>
    <t>90 Days Ago</t>
  </si>
  <si>
    <t>EPS Revisions</t>
  </si>
  <si>
    <t>Up Last 7 Days</t>
  </si>
  <si>
    <t>Up Last 30 Days</t>
  </si>
  <si>
    <t>Down Last 7 Days</t>
  </si>
  <si>
    <t>Down Last 30 Days</t>
  </si>
  <si>
    <t>Growth Estimates</t>
  </si>
  <si>
    <t>MSFT</t>
  </si>
  <si>
    <t>Industry</t>
  </si>
  <si>
    <t>Sector(s)</t>
  </si>
  <si>
    <t>S&amp;P 500</t>
  </si>
  <si>
    <t>Current Qtr.</t>
  </si>
  <si>
    <t>Next Qtr.</t>
  </si>
  <si>
    <t>Current Year</t>
  </si>
  <si>
    <t>Next Year</t>
  </si>
  <si>
    <t>Next 5 Years (per annum)</t>
  </si>
  <si>
    <t>Past 5 Years (per annum)</t>
  </si>
  <si>
    <t>Segment Revenue Constant Currency Reconciliation</t>
  </si>
  <si>
    <t>Three Months Ended June 30,</t>
  </si>
  <si>
    <t>($ in millions)</t>
  </si>
  <si>
    <t>Productivity and Business Processes</t>
  </si>
  <si>
    <t>Intelligent Cloud</t>
  </si>
  <si>
    <t>More Personal Computing</t>
  </si>
  <si>
    <t>2021 As Reported (GAAP)</t>
  </si>
  <si>
    <t>2022 As Reported (GAAP)</t>
  </si>
  <si>
    <t>Percentage Change Y/Y (GAAP)</t>
  </si>
  <si>
    <t>Constant Currency Impact</t>
  </si>
  <si>
    <t>Revenue</t>
  </si>
  <si>
    <t>Q1-21</t>
  </si>
  <si>
    <t>Q2-21</t>
  </si>
  <si>
    <t>Q3-21</t>
  </si>
  <si>
    <t>Q4-21</t>
  </si>
  <si>
    <t>Fiscal Year 2021</t>
  </si>
  <si>
    <t>Q1-22</t>
  </si>
  <si>
    <t>Q2-22</t>
  </si>
  <si>
    <t>Q3-22</t>
  </si>
  <si>
    <t>Q4-22</t>
  </si>
  <si>
    <t>Fiscal Year 2022</t>
  </si>
  <si>
    <t>FY23E</t>
  </si>
  <si>
    <t>FY24E</t>
  </si>
  <si>
    <t>FY25E</t>
  </si>
  <si>
    <t>FY26E</t>
  </si>
  <si>
    <t>FY27E</t>
  </si>
  <si>
    <t>FY21</t>
  </si>
  <si>
    <t>FY22</t>
  </si>
  <si>
    <t xml:space="preserve">Revenue </t>
  </si>
  <si>
    <t>Worst Case Scenario</t>
  </si>
  <si>
    <t>Base Case Scenario</t>
  </si>
  <si>
    <t>Best Case Scenario</t>
  </si>
  <si>
    <t>%margin</t>
  </si>
  <si>
    <t>Taxes</t>
  </si>
  <si>
    <t>% of EBIT</t>
  </si>
  <si>
    <t>Depreciation</t>
  </si>
  <si>
    <t>Total</t>
  </si>
  <si>
    <t>%of Revenue</t>
  </si>
  <si>
    <t>Change in Net Working Capital</t>
  </si>
  <si>
    <t>Percentage Change Q/Q 2021(GAAP)</t>
  </si>
  <si>
    <t>Percentage Change Q/Q 2022(GAAP)</t>
  </si>
  <si>
    <t>DCF Modeling</t>
  </si>
  <si>
    <t>(EBIT - Tax)</t>
  </si>
  <si>
    <t>Change Net Working Capital</t>
  </si>
  <si>
    <t>(2021 to 2022)</t>
  </si>
  <si>
    <t>Estimates YOY Growth</t>
  </si>
  <si>
    <t>(22 to 23)</t>
  </si>
  <si>
    <t>Assume TGR</t>
  </si>
  <si>
    <t>(23 to 24)</t>
  </si>
  <si>
    <t>WACC</t>
  </si>
  <si>
    <t>(24 to 25)</t>
  </si>
  <si>
    <t>Year</t>
  </si>
  <si>
    <t>WACC Calculation ($ in millions)</t>
  </si>
  <si>
    <t>(25 to 26)</t>
  </si>
  <si>
    <t>PV FCF</t>
  </si>
  <si>
    <t>Market Cap</t>
  </si>
  <si>
    <t>(26 to 27)</t>
  </si>
  <si>
    <t>Cash</t>
  </si>
  <si>
    <t xml:space="preserve">Cost of Equity </t>
  </si>
  <si>
    <t>Terminal Value</t>
  </si>
  <si>
    <t>Beta</t>
  </si>
  <si>
    <t>Market Risk Premium</t>
  </si>
  <si>
    <t>Equity Value</t>
  </si>
  <si>
    <t>Debt</t>
  </si>
  <si>
    <t>Num of Shares</t>
  </si>
  <si>
    <t>Risk Free Rate</t>
  </si>
  <si>
    <t>Value per Share</t>
  </si>
  <si>
    <t>Interest Rate</t>
  </si>
  <si>
    <t>Current Share Price</t>
  </si>
  <si>
    <t>(1-Tax)</t>
  </si>
  <si>
    <t>Sum of PV FCF</t>
  </si>
  <si>
    <t>Predicted Revenues ($ in millions)</t>
  </si>
  <si>
    <t xml:space="preserve">Worst Case </t>
  </si>
  <si>
    <t>Best Case</t>
  </si>
  <si>
    <t>Base Case</t>
  </si>
  <si>
    <t>Worst Case Scenario ($ in millions)</t>
  </si>
  <si>
    <t>Base Case Scenario ($ in millions)</t>
  </si>
  <si>
    <t>Best Case Scenario ($ in millions)</t>
  </si>
  <si>
    <t>One- Year Forward P/E Ratio</t>
  </si>
  <si>
    <t>Three-Year Forward P/E Ratio</t>
  </si>
  <si>
    <t>Five-Year Forward P/E Ratio</t>
  </si>
  <si>
    <t>Three-Year EPS</t>
  </si>
  <si>
    <t>EPS</t>
  </si>
  <si>
    <t>Five-Year EPS</t>
  </si>
  <si>
    <t>Q Ratio</t>
  </si>
  <si>
    <t>Quick Ratio</t>
  </si>
  <si>
    <t>Current Ratio</t>
  </si>
  <si>
    <t>Current ROE</t>
  </si>
  <si>
    <t>Current Payout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</si>
</sst>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d, yyyy"/>
    <numFmt numFmtId="165" formatCode="&quot;$&quot;#,##0"/>
    <numFmt numFmtId="166" formatCode="&quot;$&quot;#,##0.00"/>
    <numFmt numFmtId="167" formatCode="#,##0.0"/>
  </numFmts>
  <fonts count="32">
    <font>
      <sz val="10.0"/>
      <color rgb="FF000000"/>
      <name val="Arial"/>
      <scheme val="minor"/>
    </font>
    <font>
      <b/>
      <color rgb="FF232A31"/>
      <name val="Arial"/>
    </font>
    <font>
      <color rgb="FF000000"/>
      <name val="Roboto"/>
    </font>
    <font>
      <b/>
      <color rgb="FF232A31"/>
      <name val="&quot;Yahoo Sans Finance&quot;"/>
    </font>
    <font>
      <color theme="1"/>
      <name val="Arial"/>
      <scheme val="minor"/>
    </font>
    <font>
      <color rgb="FF232A31"/>
      <name val="Inherit"/>
    </font>
    <font>
      <b/>
      <color theme="1"/>
      <name val="Arial"/>
      <scheme val="minor"/>
    </font>
    <font>
      <b/>
      <sz val="12.0"/>
      <color rgb="FF232A31"/>
      <name val="&quot;Yahoo Sans Finance&quot;"/>
    </font>
    <font>
      <color rgb="FF232A31"/>
      <name val="&quot;Yahoo Sans Finance&quot;"/>
    </font>
    <font>
      <b/>
      <color rgb="FF666666"/>
      <name val="&quot;Segoe UI&quot;"/>
    </font>
    <font>
      <sz val="11.0"/>
      <color rgb="FF424242"/>
      <name val="&quot;Segoe UI&quot;"/>
    </font>
    <font>
      <sz val="9.0"/>
      <color rgb="FF000000"/>
      <name val="&quot;Times New Roman&quot;"/>
    </font>
    <font>
      <b/>
      <sz val="8.0"/>
      <color rgb="FF666666"/>
      <name val="&quot;Segoe UI&quot;"/>
    </font>
    <font/>
    <font>
      <sz val="8.0"/>
      <color rgb="FF666666"/>
      <name val="Arial"/>
    </font>
    <font>
      <b/>
      <sz val="8.0"/>
      <color rgb="FF666666"/>
      <name val="Arial"/>
    </font>
    <font>
      <sz val="8.0"/>
      <color rgb="FF666666"/>
      <name val="&quot;Segoe UI&quot;"/>
    </font>
    <font>
      <color rgb="FF666666"/>
      <name val="&quot;Segoe UI&quot;"/>
    </font>
    <font>
      <b/>
      <color rgb="FF666666"/>
      <name val="Arial"/>
    </font>
    <font>
      <b/>
      <color theme="1"/>
      <name val="Arial"/>
    </font>
    <font>
      <color theme="1"/>
      <name val="Arial"/>
    </font>
    <font>
      <color rgb="FF666666"/>
      <name val="Arial"/>
    </font>
    <font>
      <sz val="11.0"/>
      <color theme="1"/>
      <name val="Arial"/>
    </font>
    <font>
      <i/>
      <color rgb="FF666666"/>
      <name val="&quot;Segoe UI&quot;"/>
    </font>
    <font>
      <sz val="11.0"/>
      <color rgb="FF000000"/>
      <name val="Inconsolata"/>
    </font>
    <font>
      <color rgb="FF000000"/>
      <name val="Arial"/>
    </font>
    <font>
      <color rgb="FF232A3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theme="5"/>
      <name val="Arial"/>
      <scheme val="minor"/>
    </font>
    <font>
      <sz val="10.0"/>
      <color theme="7"/>
      <name val="Arial"/>
      <scheme val="minor"/>
    </font>
    <font>
      <color theme="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EA4335"/>
        <bgColor rgb="FFEA4335"/>
      </patternFill>
    </fill>
    <fill>
      <patternFill patternType="solid">
        <fgColor rgb="FF4285F4"/>
        <bgColor rgb="FF4285F4"/>
      </patternFill>
    </fill>
    <fill>
      <patternFill patternType="solid">
        <fgColor rgb="FF34A853"/>
        <bgColor rgb="FF34A853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6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3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left" shrinkToFit="0" wrapText="0"/>
    </xf>
    <xf borderId="0" fillId="0" fontId="4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4" numFmtId="10" xfId="0" applyAlignment="1" applyFont="1" applyNumberFormat="1">
      <alignment horizontal="center" readingOrder="0"/>
    </xf>
    <xf borderId="0" fillId="2" fontId="7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10" xfId="0" applyAlignment="1" applyFont="1" applyNumberFormat="1">
      <alignment readingOrder="0"/>
    </xf>
    <xf borderId="0" fillId="2" fontId="8" numFmtId="0" xfId="0" applyAlignment="1" applyFont="1">
      <alignment horizontal="left" readingOrder="0"/>
    </xf>
    <xf borderId="0" fillId="2" fontId="8" numFmtId="3" xfId="0" applyAlignment="1" applyFont="1" applyNumberFormat="1">
      <alignment readingOrder="0"/>
    </xf>
    <xf borderId="0" fillId="0" fontId="6" numFmtId="0" xfId="0" applyAlignment="1" applyFont="1">
      <alignment horizontal="center"/>
    </xf>
    <xf borderId="0" fillId="0" fontId="4" numFmtId="10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64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2" fontId="9" numFmtId="0" xfId="0" applyAlignment="1" applyFont="1">
      <alignment readingOrder="0"/>
    </xf>
    <xf borderId="0" fillId="2" fontId="10" numFmtId="0" xfId="0" applyFont="1"/>
    <xf borderId="1" fillId="2" fontId="11" numFmtId="0" xfId="0" applyAlignment="1" applyBorder="1" applyFont="1">
      <alignment horizontal="left" vertical="bottom"/>
    </xf>
    <xf borderId="1" fillId="2" fontId="12" numFmtId="0" xfId="0" applyAlignment="1" applyBorder="1" applyFont="1">
      <alignment horizontal="center" readingOrder="0" vertical="bottom"/>
    </xf>
    <xf borderId="1" fillId="0" fontId="13" numFmtId="0" xfId="0" applyBorder="1" applyFont="1"/>
    <xf borderId="0" fillId="2" fontId="14" numFmtId="0" xfId="0" applyAlignment="1" applyFont="1">
      <alignment horizontal="left" readingOrder="0" vertical="bottom"/>
    </xf>
    <xf borderId="0" fillId="2" fontId="1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vertical="bottom"/>
    </xf>
    <xf borderId="1" fillId="2" fontId="12" numFmtId="0" xfId="0" applyAlignment="1" applyBorder="1" applyFont="1">
      <alignment horizontal="left" readingOrder="0"/>
    </xf>
    <xf borderId="1" fillId="2" fontId="12" numFmtId="165" xfId="0" applyAlignment="1" applyBorder="1" applyFont="1" applyNumberFormat="1">
      <alignment horizontal="right" readingOrder="0"/>
    </xf>
    <xf borderId="1" fillId="2" fontId="14" numFmtId="0" xfId="0" applyAlignment="1" applyBorder="1" applyFont="1">
      <alignment horizontal="left" readingOrder="0" shrinkToFit="0" wrapText="1"/>
    </xf>
    <xf borderId="1" fillId="2" fontId="16" numFmtId="9" xfId="0" applyAlignment="1" applyBorder="1" applyFont="1" applyNumberFormat="1">
      <alignment horizontal="right" readingOrder="0"/>
    </xf>
    <xf borderId="0" fillId="0" fontId="17" numFmtId="3" xfId="0" applyAlignment="1" applyFont="1" applyNumberFormat="1">
      <alignment horizontal="right" readingOrder="0" shrinkToFit="0" vertical="bottom" wrapText="0"/>
    </xf>
    <xf borderId="0" fillId="2" fontId="9" numFmtId="0" xfId="0" applyAlignment="1" applyFont="1">
      <alignment readingOrder="0" shrinkToFit="0" vertical="bottom" wrapText="0"/>
    </xf>
    <xf borderId="1" fillId="2" fontId="9" numFmtId="0" xfId="0" applyAlignment="1" applyBorder="1" applyFont="1">
      <alignment horizontal="right" readingOrder="0" vertical="bottom"/>
    </xf>
    <xf borderId="0" fillId="2" fontId="9" numFmtId="0" xfId="0" applyAlignment="1" applyFont="1">
      <alignment horizontal="right" vertical="bottom"/>
    </xf>
    <xf borderId="2" fillId="2" fontId="18" numFmtId="0" xfId="0" applyAlignment="1" applyBorder="1" applyFont="1">
      <alignment horizontal="right" readingOrder="0" vertical="bottom"/>
    </xf>
    <xf borderId="3" fillId="2" fontId="18" numFmtId="0" xfId="0" applyAlignment="1" applyBorder="1" applyFont="1">
      <alignment horizontal="right" readingOrder="0" vertical="bottom"/>
    </xf>
    <xf borderId="0" fillId="0" fontId="19" numFmtId="0" xfId="0" applyAlignment="1" applyFont="1">
      <alignment readingOrder="0" shrinkToFit="0" wrapText="1"/>
    </xf>
    <xf borderId="0" fillId="2" fontId="20" numFmtId="0" xfId="0" applyAlignment="1" applyFont="1">
      <alignment horizontal="right" readingOrder="0" vertical="bottom"/>
    </xf>
    <xf borderId="1" fillId="2" fontId="20" numFmtId="0" xfId="0" applyAlignment="1" applyBorder="1" applyFont="1">
      <alignment horizontal="right" readingOrder="0" vertical="bottom"/>
    </xf>
    <xf borderId="0" fillId="0" fontId="17" numFmtId="165" xfId="0" applyAlignment="1" applyFont="1" applyNumberFormat="1">
      <alignment horizontal="right" readingOrder="0" shrinkToFit="0" vertical="bottom" wrapText="0"/>
    </xf>
    <xf borderId="0" fillId="2" fontId="17" numFmtId="0" xfId="0" applyAlignment="1" applyFont="1">
      <alignment horizontal="right" shrinkToFit="0" vertical="bottom" wrapText="0"/>
    </xf>
    <xf borderId="4" fillId="2" fontId="9" numFmtId="0" xfId="0" applyAlignment="1" applyBorder="1" applyFont="1">
      <alignment readingOrder="0" shrinkToFit="0" vertical="bottom" wrapText="0"/>
    </xf>
    <xf borderId="5" fillId="0" fontId="17" numFmtId="165" xfId="0" applyAlignment="1" applyBorder="1" applyFont="1" applyNumberFormat="1">
      <alignment horizontal="right" readingOrder="0" shrinkToFit="0" vertical="bottom" wrapText="0"/>
    </xf>
    <xf borderId="0" fillId="0" fontId="20" numFmtId="0" xfId="0" applyAlignment="1" applyFont="1">
      <alignment readingOrder="0"/>
    </xf>
    <xf borderId="6" fillId="0" fontId="20" numFmtId="4" xfId="0" applyAlignment="1" applyBorder="1" applyFont="1" applyNumberFormat="1">
      <alignment horizontal="right" readingOrder="0" shrinkToFit="0" vertical="bottom" wrapText="0"/>
    </xf>
    <xf borderId="0" fillId="0" fontId="20" numFmtId="3" xfId="0" applyFont="1" applyNumberFormat="1"/>
    <xf borderId="0" fillId="3" fontId="21" numFmtId="0" xfId="0" applyAlignment="1" applyFill="1" applyFont="1">
      <alignment readingOrder="0" shrinkToFit="0" vertical="bottom" wrapText="0"/>
    </xf>
    <xf borderId="4" fillId="3" fontId="21" numFmtId="0" xfId="0" applyAlignment="1" applyBorder="1" applyFont="1">
      <alignment readingOrder="0" shrinkToFit="0" vertical="bottom" wrapText="0"/>
    </xf>
    <xf borderId="5" fillId="0" fontId="17" numFmtId="3" xfId="0" applyAlignment="1" applyBorder="1" applyFont="1" applyNumberFormat="1">
      <alignment horizontal="right" readingOrder="0" shrinkToFit="0" vertical="bottom" wrapText="0"/>
    </xf>
    <xf borderId="0" fillId="2" fontId="22" numFmtId="0" xfId="0" applyAlignment="1" applyFont="1">
      <alignment readingOrder="0"/>
    </xf>
    <xf borderId="0" fillId="0" fontId="20" numFmtId="10" xfId="0" applyAlignment="1" applyFont="1" applyNumberFormat="1">
      <alignment readingOrder="0"/>
    </xf>
    <xf borderId="0" fillId="0" fontId="20" numFmtId="10" xfId="0" applyFont="1" applyNumberFormat="1"/>
    <xf borderId="0" fillId="4" fontId="21" numFmtId="0" xfId="0" applyAlignment="1" applyFill="1" applyFont="1">
      <alignment readingOrder="0" shrinkToFit="0" vertical="bottom" wrapText="0"/>
    </xf>
    <xf borderId="4" fillId="4" fontId="21" numFmtId="0" xfId="0" applyAlignment="1" applyBorder="1" applyFont="1">
      <alignment readingOrder="0" shrinkToFit="0" vertical="bottom" wrapText="0"/>
    </xf>
    <xf borderId="0" fillId="0" fontId="20" numFmtId="0" xfId="0" applyFont="1"/>
    <xf borderId="0" fillId="5" fontId="21" numFmtId="0" xfId="0" applyAlignment="1" applyFill="1" applyFont="1">
      <alignment readingOrder="0" shrinkToFit="0" vertical="bottom" wrapText="0"/>
    </xf>
    <xf borderId="4" fillId="5" fontId="21" numFmtId="0" xfId="0" applyAlignment="1" applyBorder="1" applyFont="1">
      <alignment readingOrder="0" shrinkToFit="0" vertical="bottom" wrapText="0"/>
    </xf>
    <xf borderId="6" fillId="0" fontId="20" numFmtId="3" xfId="0" applyAlignment="1" applyBorder="1" applyFont="1" applyNumberFormat="1">
      <alignment horizontal="right" readingOrder="0" shrinkToFit="0" vertical="bottom" wrapText="0"/>
    </xf>
    <xf borderId="0" fillId="2" fontId="22" numFmtId="0" xfId="0" applyAlignment="1" applyFont="1">
      <alignment readingOrder="0" shrinkToFit="0" wrapText="1"/>
    </xf>
    <xf borderId="1" fillId="0" fontId="20" numFmtId="4" xfId="0" applyAlignment="1" applyBorder="1" applyFont="1" applyNumberFormat="1">
      <alignment horizontal="right" readingOrder="0" shrinkToFit="0" vertical="bottom" wrapText="0"/>
    </xf>
    <xf borderId="0" fillId="0" fontId="20" numFmtId="4" xfId="0" applyFont="1" applyNumberFormat="1"/>
    <xf borderId="0" fillId="2" fontId="17" numFmtId="0" xfId="0" applyAlignment="1" applyFont="1">
      <alignment shrinkToFit="0" vertical="bottom" wrapText="0"/>
    </xf>
    <xf borderId="0" fillId="0" fontId="20" numFmtId="0" xfId="0" applyAlignment="1" applyFont="1">
      <alignment readingOrder="0" shrinkToFit="0" wrapText="1"/>
    </xf>
    <xf borderId="0" fillId="0" fontId="20" numFmtId="4" xfId="0" applyAlignment="1" applyFont="1" applyNumberFormat="1">
      <alignment horizontal="right" readingOrder="0" shrinkToFit="0" vertical="bottom" wrapText="0"/>
    </xf>
    <xf borderId="0" fillId="2" fontId="17" numFmtId="0" xfId="0" applyAlignment="1" applyFont="1">
      <alignment horizontal="left" readingOrder="0" shrinkToFit="0" vertical="bottom" wrapText="0"/>
    </xf>
    <xf borderId="2" fillId="0" fontId="17" numFmtId="165" xfId="0" applyAlignment="1" applyBorder="1" applyFont="1" applyNumberFormat="1">
      <alignment horizontal="right" readingOrder="0" shrinkToFit="0" vertical="bottom" wrapText="0"/>
    </xf>
    <xf borderId="2" fillId="0" fontId="21" numFmtId="165" xfId="0" applyAlignment="1" applyBorder="1" applyFont="1" applyNumberFormat="1">
      <alignment horizontal="right" readingOrder="0" shrinkToFit="0" vertical="bottom" wrapText="0"/>
    </xf>
    <xf borderId="4" fillId="0" fontId="18" numFmtId="0" xfId="0" applyAlignment="1" applyBorder="1" applyFont="1">
      <alignment readingOrder="0" shrinkToFit="0" vertical="bottom" wrapText="0"/>
    </xf>
    <xf borderId="3" fillId="0" fontId="17" numFmtId="165" xfId="0" applyAlignment="1" applyBorder="1" applyFont="1" applyNumberFormat="1">
      <alignment horizontal="right" readingOrder="0" shrinkToFit="0" vertical="bottom" wrapText="0"/>
    </xf>
    <xf borderId="0" fillId="2" fontId="23" numFmtId="0" xfId="0" applyAlignment="1" applyFont="1">
      <alignment shrinkToFit="0" vertical="bottom" wrapText="0"/>
    </xf>
    <xf borderId="4" fillId="6" fontId="21" numFmtId="0" xfId="0" applyAlignment="1" applyBorder="1" applyFill="1" applyFont="1">
      <alignment vertical="bottom"/>
    </xf>
    <xf borderId="0" fillId="0" fontId="4" numFmtId="3" xfId="0" applyFont="1" applyNumberFormat="1"/>
    <xf borderId="5" fillId="0" fontId="4" numFmtId="3" xfId="0" applyBorder="1" applyFont="1" applyNumberFormat="1"/>
    <xf borderId="1" fillId="0" fontId="4" numFmtId="0" xfId="0" applyBorder="1" applyFont="1"/>
    <xf borderId="1" fillId="2" fontId="17" numFmtId="0" xfId="0" applyAlignment="1" applyBorder="1" applyFont="1">
      <alignment shrinkToFit="0" vertical="bottom" wrapText="0"/>
    </xf>
    <xf borderId="4" fillId="7" fontId="21" numFmtId="0" xfId="0" applyAlignment="1" applyBorder="1" applyFill="1" applyFont="1">
      <alignment vertical="bottom"/>
    </xf>
    <xf borderId="0" fillId="2" fontId="9" numFmtId="0" xfId="0" applyAlignment="1" applyFont="1">
      <alignment horizontal="right" vertical="bottom"/>
    </xf>
    <xf borderId="4" fillId="8" fontId="21" numFmtId="0" xfId="0" applyAlignment="1" applyBorder="1" applyFill="1" applyFont="1">
      <alignment vertical="bottom"/>
    </xf>
    <xf borderId="0" fillId="2" fontId="17" numFmtId="0" xfId="0" applyAlignment="1" applyFont="1">
      <alignment readingOrder="0" shrinkToFit="0" vertical="bottom" wrapText="0"/>
    </xf>
    <xf borderId="4" fillId="2" fontId="24" numFmtId="0" xfId="0" applyAlignment="1" applyBorder="1" applyFont="1">
      <alignment readingOrder="0"/>
    </xf>
    <xf borderId="5" fillId="0" fontId="4" numFmtId="0" xfId="0" applyBorder="1" applyFont="1"/>
    <xf borderId="0" fillId="0" fontId="4" numFmtId="0" xfId="0" applyFont="1"/>
    <xf borderId="7" fillId="5" fontId="21" numFmtId="0" xfId="0" applyAlignment="1" applyBorder="1" applyFont="1">
      <alignment readingOrder="0" shrinkToFit="0" vertical="bottom" wrapText="0"/>
    </xf>
    <xf borderId="8" fillId="0" fontId="4" numFmtId="0" xfId="0" applyBorder="1" applyFont="1"/>
    <xf borderId="0" fillId="0" fontId="9" numFmtId="3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shrinkToFit="0" vertical="bottom" wrapText="0"/>
    </xf>
    <xf borderId="0" fillId="0" fontId="2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/>
    </xf>
    <xf borderId="0" fillId="2" fontId="9" numFmtId="0" xfId="0" applyAlignment="1" applyFont="1">
      <alignment readingOrder="0" shrinkToFit="0" vertical="bottom" wrapText="1"/>
    </xf>
    <xf borderId="0" fillId="3" fontId="21" numFmtId="0" xfId="0" applyAlignment="1" applyFont="1">
      <alignment readingOrder="0" shrinkToFit="0" vertical="bottom" wrapText="1"/>
    </xf>
    <xf borderId="0" fillId="0" fontId="4" numFmtId="1" xfId="0" applyFont="1" applyNumberFormat="1"/>
    <xf borderId="0" fillId="0" fontId="4" numFmtId="1" xfId="0" applyAlignment="1" applyFont="1" applyNumberFormat="1">
      <alignment readingOrder="0"/>
    </xf>
    <xf borderId="0" fillId="4" fontId="21" numFmtId="0" xfId="0" applyAlignment="1" applyFont="1">
      <alignment readingOrder="0" shrinkToFit="0" vertical="bottom" wrapText="1"/>
    </xf>
    <xf borderId="0" fillId="5" fontId="21" numFmtId="0" xfId="0" applyAlignment="1" applyFont="1">
      <alignment readingOrder="0" shrinkToFit="0" vertical="bottom" wrapText="1"/>
    </xf>
    <xf borderId="0" fillId="0" fontId="4" numFmtId="4" xfId="0" applyFont="1" applyNumberFormat="1"/>
    <xf borderId="0" fillId="0" fontId="4" numFmtId="4" xfId="0" applyAlignment="1" applyFont="1" applyNumberFormat="1">
      <alignment readingOrder="0"/>
    </xf>
    <xf borderId="0" fillId="2" fontId="25" numFmtId="4" xfId="0" applyAlignment="1" applyFont="1" applyNumberFormat="1">
      <alignment horizontal="center" readingOrder="0"/>
    </xf>
    <xf borderId="0" fillId="0" fontId="4" numFmtId="10" xfId="0" applyFont="1" applyNumberFormat="1"/>
    <xf borderId="0" fillId="2" fontId="8" numFmtId="0" xfId="0" applyAlignment="1" applyFont="1">
      <alignment horizontal="right" readingOrder="0"/>
    </xf>
    <xf borderId="0" fillId="2" fontId="26" numFmtId="4" xfId="0" applyAlignment="1" applyFont="1" applyNumberFormat="1">
      <alignment horizontal="right" readingOrder="0"/>
    </xf>
    <xf borderId="0" fillId="9" fontId="6" numFmtId="0" xfId="0" applyAlignment="1" applyFill="1" applyFont="1">
      <alignment readingOrder="0"/>
    </xf>
    <xf borderId="0" fillId="9" fontId="4" numFmtId="10" xfId="0" applyFont="1" applyNumberFormat="1"/>
    <xf borderId="9" fillId="0" fontId="27" numFmtId="0" xfId="0" applyAlignment="1" applyBorder="1" applyFont="1">
      <alignment readingOrder="0" shrinkToFit="0" vertical="center" wrapText="1"/>
    </xf>
    <xf borderId="3" fillId="0" fontId="28" numFmtId="0" xfId="0" applyAlignment="1" applyBorder="1" applyFont="1">
      <alignment readingOrder="0"/>
    </xf>
    <xf borderId="10" fillId="10" fontId="27" numFmtId="0" xfId="0" applyAlignment="1" applyBorder="1" applyFill="1" applyFont="1">
      <alignment shrinkToFit="0" vertical="center" wrapText="1"/>
    </xf>
    <xf borderId="11" fillId="10" fontId="28" numFmtId="0" xfId="0" applyAlignment="1" applyBorder="1" applyFont="1">
      <alignment readingOrder="0"/>
    </xf>
    <xf borderId="12" fillId="10" fontId="29" numFmtId="0" xfId="0" applyAlignment="1" applyBorder="1" applyFont="1">
      <alignment shrinkToFit="0" vertical="center" wrapText="1"/>
    </xf>
    <xf borderId="5" fillId="10" fontId="28" numFmtId="4" xfId="0" applyAlignment="1" applyBorder="1" applyFont="1" applyNumberFormat="1">
      <alignment readingOrder="0"/>
    </xf>
    <xf borderId="12" fillId="10" fontId="28" numFmtId="0" xfId="0" applyAlignment="1" applyBorder="1" applyFont="1">
      <alignment shrinkToFit="0" vertical="center" wrapText="1"/>
    </xf>
    <xf borderId="12" fillId="10" fontId="30" numFmtId="0" xfId="0" applyAlignment="1" applyBorder="1" applyFont="1">
      <alignment shrinkToFit="0" vertical="center" wrapText="1"/>
    </xf>
    <xf borderId="0" fillId="0" fontId="31" numFmtId="0" xfId="0" applyFont="1"/>
    <xf borderId="12" fillId="10" fontId="27" numFmtId="0" xfId="0" applyAlignment="1" applyBorder="1" applyFont="1">
      <alignment shrinkToFit="0" vertical="center" wrapText="1"/>
    </xf>
    <xf borderId="5" fillId="10" fontId="28" numFmtId="4" xfId="0" applyBorder="1" applyFont="1" applyNumberFormat="1"/>
    <xf borderId="11" fillId="10" fontId="28" numFmtId="4" xfId="0" applyAlignment="1" applyBorder="1" applyFont="1" applyNumberFormat="1">
      <alignment readingOrder="0"/>
    </xf>
    <xf borderId="5" fillId="10" fontId="28" numFmtId="0" xfId="0" applyBorder="1" applyFont="1"/>
    <xf borderId="5" fillId="10" fontId="28" numFmtId="10" xfId="0" applyBorder="1" applyFont="1" applyNumberFormat="1"/>
    <xf borderId="13" fillId="10" fontId="30" numFmtId="0" xfId="0" applyAlignment="1" applyBorder="1" applyFont="1">
      <alignment shrinkToFit="0" vertical="center" wrapText="1"/>
    </xf>
    <xf borderId="8" fillId="10" fontId="28" numFmtId="10" xfId="0" applyBorder="1" applyFont="1" applyNumberFormat="1"/>
    <xf borderId="9" fillId="0" fontId="4" numFmtId="0" xfId="0" applyAlignment="1" applyBorder="1" applyFont="1">
      <alignment readingOrder="0"/>
    </xf>
    <xf borderId="9" fillId="0" fontId="4" numFmtId="0" xfId="0" applyBorder="1" applyFont="1"/>
    <xf borderId="10" fillId="0" fontId="4" numFmtId="0" xfId="0" applyBorder="1" applyFont="1"/>
    <xf borderId="9" fillId="0" fontId="4" numFmtId="0" xfId="0" applyAlignment="1" applyBorder="1" applyFont="1">
      <alignment readingOrder="0"/>
    </xf>
    <xf borderId="14" fillId="0" fontId="4" numFmtId="0" xfId="0" applyAlignment="1" applyBorder="1" applyFont="1">
      <alignment readingOrder="0"/>
    </xf>
    <xf borderId="6" fillId="0" fontId="4" numFmtId="0" xfId="0" applyBorder="1" applyFont="1"/>
    <xf borderId="14" fillId="0" fontId="4" numFmtId="0" xfId="0" applyBorder="1" applyFont="1"/>
    <xf borderId="0" fillId="0" fontId="20" numFmtId="0" xfId="0" applyAlignment="1" applyFont="1">
      <alignment horizontal="right" vertical="bottom"/>
    </xf>
    <xf borderId="15" fillId="0" fontId="6" numFmtId="0" xfId="0" applyAlignment="1" applyBorder="1" applyFont="1">
      <alignment horizontal="center" readingOrder="0" shrinkToFit="0" wrapText="1"/>
    </xf>
    <xf borderId="11" fillId="0" fontId="13" numFmtId="0" xfId="0" applyBorder="1" applyFont="1"/>
    <xf borderId="10" fillId="0" fontId="4" numFmtId="0" xfId="0" applyAlignment="1" applyBorder="1" applyFont="1">
      <alignment readingOrder="0" shrinkToFit="0" wrapText="1"/>
    </xf>
    <xf borderId="6" fillId="0" fontId="4" numFmtId="4" xfId="0" applyBorder="1" applyFont="1" applyNumberFormat="1"/>
    <xf borderId="11" fillId="0" fontId="4" numFmtId="4" xfId="0" applyBorder="1" applyFont="1" applyNumberFormat="1"/>
    <xf borderId="12" fillId="0" fontId="4" numFmtId="0" xfId="0" applyAlignment="1" applyBorder="1" applyFont="1">
      <alignment readingOrder="0" shrinkToFit="0" wrapText="1"/>
    </xf>
    <xf borderId="0" fillId="0" fontId="4" numFmtId="166" xfId="0" applyAlignment="1" applyFont="1" applyNumberFormat="1">
      <alignment readingOrder="0"/>
    </xf>
    <xf borderId="12" fillId="0" fontId="4" numFmtId="166" xfId="0" applyAlignment="1" applyBorder="1" applyFont="1" applyNumberFormat="1">
      <alignment readingOrder="0" shrinkToFit="0" wrapText="1"/>
    </xf>
    <xf borderId="5" fillId="0" fontId="4" numFmtId="166" xfId="0" applyAlignment="1" applyBorder="1" applyFont="1" applyNumberFormat="1">
      <alignment readingOrder="0"/>
    </xf>
    <xf borderId="12" fillId="0" fontId="4" numFmtId="167" xfId="0" applyAlignment="1" applyBorder="1" applyFont="1" applyNumberFormat="1">
      <alignment readingOrder="0" shrinkToFit="0" wrapText="1"/>
    </xf>
    <xf borderId="0" fillId="0" fontId="4" numFmtId="167" xfId="0" applyAlignment="1" applyFont="1" applyNumberFormat="1">
      <alignment readingOrder="0"/>
    </xf>
    <xf borderId="0" fillId="0" fontId="4" numFmtId="167" xfId="0" applyFont="1" applyNumberFormat="1"/>
    <xf borderId="5" fillId="0" fontId="4" numFmtId="167" xfId="0" applyBorder="1" applyFont="1" applyNumberFormat="1"/>
    <xf borderId="0" fillId="0" fontId="4" numFmtId="0" xfId="0" applyAlignment="1" applyFont="1">
      <alignment readingOrder="0"/>
    </xf>
    <xf borderId="5" fillId="0" fontId="4" numFmtId="167" xfId="0" applyAlignment="1" applyBorder="1" applyFont="1" applyNumberFormat="1">
      <alignment readingOrder="0"/>
    </xf>
    <xf borderId="0" fillId="2" fontId="4" numFmtId="167" xfId="0" applyAlignment="1" applyFont="1" applyNumberFormat="1">
      <alignment horizontal="right" readingOrder="0"/>
    </xf>
    <xf borderId="5" fillId="2" fontId="4" numFmtId="167" xfId="0" applyAlignment="1" applyBorder="1" applyFont="1" applyNumberFormat="1">
      <alignment horizontal="right" readingOrder="0"/>
    </xf>
    <xf borderId="12" fillId="0" fontId="4" numFmtId="0" xfId="0" applyAlignment="1" applyBorder="1" applyFont="1">
      <alignment readingOrder="0" shrinkToFit="0" wrapText="1"/>
    </xf>
    <xf borderId="0" fillId="2" fontId="4" numFmtId="10" xfId="0" applyAlignment="1" applyFont="1" applyNumberFormat="1">
      <alignment horizontal="right" readingOrder="0"/>
    </xf>
    <xf borderId="5" fillId="2" fontId="4" numFmtId="10" xfId="0" applyAlignment="1" applyBorder="1" applyFont="1" applyNumberFormat="1">
      <alignment horizontal="right" readingOrder="0"/>
    </xf>
    <xf borderId="5" fillId="0" fontId="4" numFmtId="4" xfId="0" applyBorder="1" applyFont="1" applyNumberFormat="1"/>
    <xf borderId="13" fillId="0" fontId="4" numFmtId="0" xfId="0" applyAlignment="1" applyBorder="1" applyFont="1">
      <alignment readingOrder="0" shrinkToFit="0" wrapText="1"/>
    </xf>
    <xf borderId="1" fillId="0" fontId="4" numFmtId="165" xfId="0" applyBorder="1" applyFont="1" applyNumberFormat="1"/>
    <xf borderId="8" fillId="0" fontId="4" numFmtId="16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  <col customWidth="1" min="6" max="6" width="10.25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>
      <c r="B3" s="3" t="s">
        <v>6</v>
      </c>
      <c r="C3" s="4">
        <v>1.9827E8</v>
      </c>
      <c r="D3" s="4">
        <v>1.9827E8</v>
      </c>
      <c r="E3" s="4">
        <v>1.68088E8</v>
      </c>
      <c r="F3" s="4">
        <v>1.43015E8</v>
      </c>
      <c r="G3" s="4">
        <v>1.25843E8</v>
      </c>
    </row>
    <row r="4">
      <c r="B4" s="3" t="s">
        <v>7</v>
      </c>
      <c r="C4" s="4">
        <v>1.9827E8</v>
      </c>
      <c r="D4" s="4">
        <v>1.9827E8</v>
      </c>
      <c r="E4" s="4">
        <v>1.68088E8</v>
      </c>
      <c r="F4" s="4">
        <v>1.43015E8</v>
      </c>
      <c r="G4" s="4">
        <v>1.25843E8</v>
      </c>
    </row>
    <row r="5">
      <c r="B5" s="3" t="s">
        <v>8</v>
      </c>
      <c r="C5" s="4">
        <v>6.265E7</v>
      </c>
      <c r="D5" s="4">
        <v>6.265E7</v>
      </c>
      <c r="E5" s="4">
        <v>5.2232E7</v>
      </c>
      <c r="F5" s="4">
        <v>4.6078E7</v>
      </c>
      <c r="G5" s="4">
        <v>4.291E7</v>
      </c>
    </row>
    <row r="6">
      <c r="B6" s="3" t="s">
        <v>9</v>
      </c>
      <c r="C6" s="4">
        <v>1.3562E8</v>
      </c>
      <c r="D6" s="4">
        <v>1.3562E8</v>
      </c>
      <c r="E6" s="4">
        <v>1.15856E8</v>
      </c>
      <c r="F6" s="4">
        <v>9.6937E7</v>
      </c>
      <c r="G6" s="4">
        <v>8.2933E7</v>
      </c>
    </row>
    <row r="7">
      <c r="B7" s="3" t="s">
        <v>10</v>
      </c>
      <c r="C7" s="4">
        <v>5.2237E7</v>
      </c>
      <c r="D7" s="4">
        <v>5.2237E7</v>
      </c>
      <c r="E7" s="4">
        <v>4.594E7</v>
      </c>
      <c r="F7" s="4">
        <v>4.3978E7</v>
      </c>
      <c r="G7" s="4">
        <v>3.9974E7</v>
      </c>
    </row>
    <row r="8">
      <c r="B8" s="5" t="s">
        <v>11</v>
      </c>
      <c r="C8" s="4">
        <v>2.7725E7</v>
      </c>
      <c r="D8" s="4">
        <v>2.7725E7</v>
      </c>
      <c r="E8" s="4">
        <v>2.5224E7</v>
      </c>
      <c r="F8" s="4">
        <v>2.4709E7</v>
      </c>
      <c r="G8" s="4">
        <v>2.3098E7</v>
      </c>
    </row>
    <row r="9">
      <c r="B9" s="5" t="s">
        <v>12</v>
      </c>
      <c r="C9" s="4">
        <v>5900000.0</v>
      </c>
      <c r="D9" s="4">
        <v>5900000.0</v>
      </c>
      <c r="E9" s="4">
        <v>5107000.0</v>
      </c>
      <c r="F9" s="4">
        <v>5111000.0</v>
      </c>
      <c r="G9" s="4">
        <v>4885000.0</v>
      </c>
    </row>
    <row r="10">
      <c r="B10" s="5" t="s">
        <v>13</v>
      </c>
      <c r="C10" s="4">
        <v>5900000.0</v>
      </c>
      <c r="D10" s="4">
        <v>5900000.0</v>
      </c>
      <c r="E10" s="4">
        <v>5107000.0</v>
      </c>
      <c r="F10" s="4">
        <v>5111000.0</v>
      </c>
      <c r="G10" s="4">
        <v>4885000.0</v>
      </c>
    </row>
    <row r="11">
      <c r="B11" s="5" t="s">
        <v>14</v>
      </c>
      <c r="C11" s="4">
        <v>2.1825E7</v>
      </c>
      <c r="D11" s="4">
        <v>2.1825E7</v>
      </c>
      <c r="E11" s="4">
        <v>2.0117E7</v>
      </c>
      <c r="F11" s="4">
        <v>1.9598E7</v>
      </c>
      <c r="G11" s="4">
        <v>1.8213E7</v>
      </c>
    </row>
    <row r="12">
      <c r="B12" s="5" t="s">
        <v>15</v>
      </c>
      <c r="C12" s="4">
        <v>2.4512E7</v>
      </c>
      <c r="D12" s="4">
        <v>2.4512E7</v>
      </c>
      <c r="E12" s="4">
        <v>2.0716E7</v>
      </c>
      <c r="F12" s="4">
        <v>1.9269E7</v>
      </c>
      <c r="G12" s="4">
        <v>1.6876E7</v>
      </c>
    </row>
    <row r="13">
      <c r="B13" s="5" t="s">
        <v>16</v>
      </c>
      <c r="C13" s="4">
        <v>8.3383E7</v>
      </c>
      <c r="D13" s="4">
        <v>8.3383E7</v>
      </c>
      <c r="E13" s="4">
        <v>6.9916E7</v>
      </c>
      <c r="F13" s="4">
        <v>5.2959E7</v>
      </c>
      <c r="G13" s="4">
        <v>4.2959E7</v>
      </c>
    </row>
    <row r="14">
      <c r="B14" s="5" t="s">
        <v>17</v>
      </c>
      <c r="C14" s="4">
        <v>31000.0</v>
      </c>
      <c r="D14" s="4">
        <v>31000.0</v>
      </c>
      <c r="E14" s="4">
        <v>-215000.0</v>
      </c>
      <c r="F14" s="4">
        <v>89000.0</v>
      </c>
      <c r="G14" s="4">
        <v>76000.0</v>
      </c>
    </row>
    <row r="15">
      <c r="B15" s="5" t="s">
        <v>18</v>
      </c>
      <c r="C15" s="4">
        <v>2094000.0</v>
      </c>
      <c r="D15" s="4">
        <v>2094000.0</v>
      </c>
      <c r="E15" s="4">
        <v>2131000.0</v>
      </c>
      <c r="F15" s="4">
        <v>2680000.0</v>
      </c>
      <c r="G15" s="4">
        <v>2762000.0</v>
      </c>
    </row>
    <row r="16">
      <c r="B16" s="5" t="s">
        <v>19</v>
      </c>
      <c r="C16" s="4">
        <v>2063000.0</v>
      </c>
      <c r="D16" s="4">
        <v>2063000.0</v>
      </c>
      <c r="E16" s="4">
        <v>2346000.0</v>
      </c>
      <c r="F16" s="4">
        <v>2591000.0</v>
      </c>
      <c r="G16" s="4">
        <v>2686000.0</v>
      </c>
    </row>
    <row r="17">
      <c r="B17" s="5" t="s">
        <v>20</v>
      </c>
      <c r="C17" s="4">
        <v>302000.0</v>
      </c>
      <c r="D17" s="4">
        <v>302000.0</v>
      </c>
      <c r="E17" s="4">
        <v>1401000.0</v>
      </c>
      <c r="F17" s="4">
        <v>-12000.0</v>
      </c>
      <c r="G17" s="4">
        <v>653000.0</v>
      </c>
    </row>
    <row r="18">
      <c r="B18" s="5" t="s">
        <v>21</v>
      </c>
      <c r="C18" s="4">
        <v>435000.0</v>
      </c>
      <c r="D18" s="4">
        <v>435000.0</v>
      </c>
      <c r="E18" s="4">
        <v>1303000.0</v>
      </c>
      <c r="F18" s="4">
        <v>28000.0</v>
      </c>
      <c r="G18" s="4">
        <v>710000.0</v>
      </c>
    </row>
    <row r="19">
      <c r="B19" s="5" t="s">
        <v>22</v>
      </c>
      <c r="C19" s="4">
        <v>-101000.0</v>
      </c>
      <c r="D19" s="4">
        <v>-101000.0</v>
      </c>
      <c r="E19" s="6" t="s">
        <v>23</v>
      </c>
      <c r="F19" s="6" t="s">
        <v>23</v>
      </c>
      <c r="G19" s="6">
        <v>0.0</v>
      </c>
    </row>
    <row r="20">
      <c r="B20" s="5" t="s">
        <v>24</v>
      </c>
      <c r="C20" s="6" t="s">
        <v>23</v>
      </c>
      <c r="D20" s="6" t="s">
        <v>23</v>
      </c>
      <c r="E20" s="6" t="s">
        <v>23</v>
      </c>
      <c r="F20" s="6" t="s">
        <v>23</v>
      </c>
      <c r="G20" s="6">
        <v>0.0</v>
      </c>
    </row>
    <row r="21">
      <c r="B21" s="5" t="s">
        <v>25</v>
      </c>
      <c r="C21" s="4">
        <v>101000.0</v>
      </c>
      <c r="D21" s="4">
        <v>101000.0</v>
      </c>
      <c r="E21" s="6" t="s">
        <v>23</v>
      </c>
      <c r="F21" s="6" t="s">
        <v>23</v>
      </c>
      <c r="G21" s="6" t="s">
        <v>23</v>
      </c>
    </row>
    <row r="22">
      <c r="B22" s="5" t="s">
        <v>26</v>
      </c>
      <c r="C22" s="4">
        <v>-32000.0</v>
      </c>
      <c r="D22" s="4">
        <v>-32000.0</v>
      </c>
      <c r="E22" s="4">
        <v>98000.0</v>
      </c>
      <c r="F22" s="4">
        <v>-40000.0</v>
      </c>
      <c r="G22" s="4">
        <v>-57000.0</v>
      </c>
    </row>
    <row r="23">
      <c r="B23" s="5" t="s">
        <v>27</v>
      </c>
      <c r="C23" s="4">
        <v>8.3716E7</v>
      </c>
      <c r="D23" s="4">
        <v>8.3716E7</v>
      </c>
      <c r="E23" s="4">
        <v>7.1102E7</v>
      </c>
      <c r="F23" s="4">
        <v>5.3036E7</v>
      </c>
      <c r="G23" s="4">
        <v>4.3688E7</v>
      </c>
    </row>
    <row r="24">
      <c r="B24" s="5" t="s">
        <v>28</v>
      </c>
      <c r="C24" s="4">
        <v>1.0978E7</v>
      </c>
      <c r="D24" s="4">
        <v>1.0978E7</v>
      </c>
      <c r="E24" s="4">
        <v>9831000.0</v>
      </c>
      <c r="F24" s="4">
        <v>8755000.0</v>
      </c>
      <c r="G24" s="4">
        <v>4448000.0</v>
      </c>
    </row>
    <row r="25">
      <c r="B25" s="5" t="s">
        <v>29</v>
      </c>
      <c r="C25" s="4">
        <v>7.2738E7</v>
      </c>
      <c r="D25" s="4">
        <v>7.2738E7</v>
      </c>
      <c r="E25" s="4">
        <v>6.1271E7</v>
      </c>
      <c r="F25" s="4">
        <v>4.4281E7</v>
      </c>
      <c r="G25" s="4">
        <v>3.924E7</v>
      </c>
    </row>
    <row r="26">
      <c r="B26" s="5" t="s">
        <v>30</v>
      </c>
      <c r="C26" s="4">
        <v>7.2738E7</v>
      </c>
      <c r="D26" s="4">
        <v>7.2738E7</v>
      </c>
      <c r="E26" s="4">
        <v>6.1271E7</v>
      </c>
      <c r="F26" s="4">
        <v>4.4281E7</v>
      </c>
      <c r="G26" s="4">
        <v>3.924E7</v>
      </c>
    </row>
    <row r="27">
      <c r="B27" s="5" t="s">
        <v>31</v>
      </c>
      <c r="C27" s="4">
        <v>7.2738E7</v>
      </c>
      <c r="D27" s="4">
        <v>7.2738E7</v>
      </c>
      <c r="E27" s="4">
        <v>6.1271E7</v>
      </c>
      <c r="F27" s="4">
        <v>4.4281E7</v>
      </c>
      <c r="G27" s="4">
        <v>3.924E7</v>
      </c>
    </row>
    <row r="28">
      <c r="B28" s="5" t="s">
        <v>32</v>
      </c>
      <c r="C28" s="4">
        <v>7.2738E7</v>
      </c>
      <c r="D28" s="4">
        <v>7.2738E7</v>
      </c>
      <c r="E28" s="4">
        <v>6.1271E7</v>
      </c>
      <c r="F28" s="4">
        <v>4.4281E7</v>
      </c>
      <c r="G28" s="4">
        <v>3.924E7</v>
      </c>
    </row>
    <row r="29">
      <c r="B29" s="5" t="s">
        <v>33</v>
      </c>
      <c r="C29" s="4">
        <v>7.2738E7</v>
      </c>
      <c r="D29" s="4">
        <v>7.2738E7</v>
      </c>
      <c r="E29" s="4">
        <v>6.1271E7</v>
      </c>
      <c r="F29" s="4">
        <v>4.4281E7</v>
      </c>
      <c r="G29" s="4">
        <v>3.924E7</v>
      </c>
    </row>
    <row r="30">
      <c r="B30" s="5" t="s">
        <v>34</v>
      </c>
      <c r="C30" s="6" t="s">
        <v>23</v>
      </c>
      <c r="D30" s="6" t="s">
        <v>23</v>
      </c>
      <c r="E30" s="6">
        <v>8.12</v>
      </c>
      <c r="F30" s="6">
        <v>5.82</v>
      </c>
      <c r="G30" s="6">
        <v>5.11</v>
      </c>
    </row>
    <row r="31">
      <c r="B31" s="5" t="s">
        <v>35</v>
      </c>
      <c r="C31" s="6" t="s">
        <v>23</v>
      </c>
      <c r="D31" s="6" t="s">
        <v>23</v>
      </c>
      <c r="E31" s="6">
        <v>8.05</v>
      </c>
      <c r="F31" s="6">
        <v>5.76</v>
      </c>
      <c r="G31" s="6">
        <v>5.06</v>
      </c>
    </row>
    <row r="32">
      <c r="B32" s="5" t="s">
        <v>36</v>
      </c>
      <c r="C32" s="6" t="s">
        <v>23</v>
      </c>
      <c r="D32" s="6" t="s">
        <v>23</v>
      </c>
      <c r="E32" s="4">
        <v>7547000.0</v>
      </c>
      <c r="F32" s="4">
        <v>7610000.0</v>
      </c>
      <c r="G32" s="4">
        <v>7673000.0</v>
      </c>
    </row>
    <row r="33">
      <c r="B33" s="5" t="s">
        <v>37</v>
      </c>
      <c r="C33" s="6" t="s">
        <v>23</v>
      </c>
      <c r="D33" s="6" t="s">
        <v>23</v>
      </c>
      <c r="E33" s="4">
        <v>7608000.0</v>
      </c>
      <c r="F33" s="4">
        <v>7683000.0</v>
      </c>
      <c r="G33" s="4">
        <v>7753000.0</v>
      </c>
    </row>
    <row r="34">
      <c r="B34" s="5" t="s">
        <v>38</v>
      </c>
      <c r="C34" s="4">
        <v>8.3383E7</v>
      </c>
      <c r="D34" s="4">
        <v>8.3383E7</v>
      </c>
      <c r="E34" s="4">
        <v>6.9916E7</v>
      </c>
      <c r="F34" s="4">
        <v>5.2959E7</v>
      </c>
      <c r="G34" s="4">
        <v>4.2959E7</v>
      </c>
    </row>
    <row r="35">
      <c r="B35" s="5" t="s">
        <v>39</v>
      </c>
      <c r="C35" s="4">
        <v>1.14887E8</v>
      </c>
      <c r="D35" s="4">
        <v>1.14887E8</v>
      </c>
      <c r="E35" s="4">
        <v>9.8172E7</v>
      </c>
      <c r="F35" s="4">
        <v>9.0056E7</v>
      </c>
      <c r="G35" s="4">
        <v>8.2884E7</v>
      </c>
    </row>
    <row r="36">
      <c r="B36" s="5" t="s">
        <v>40</v>
      </c>
      <c r="C36" s="4">
        <v>7.2738E7</v>
      </c>
      <c r="D36" s="4">
        <v>7.2738E7</v>
      </c>
      <c r="E36" s="4">
        <v>6.1271E7</v>
      </c>
      <c r="F36" s="4">
        <v>4.4281E7</v>
      </c>
      <c r="G36" s="4">
        <v>3.924E7</v>
      </c>
    </row>
    <row r="37">
      <c r="B37" s="5" t="s">
        <v>41</v>
      </c>
      <c r="C37" s="4">
        <v>7.244742E7</v>
      </c>
      <c r="D37" s="4">
        <v>7.244742E7</v>
      </c>
      <c r="E37" s="4">
        <v>6.015042E7</v>
      </c>
      <c r="F37" s="4">
        <v>4.425762E7</v>
      </c>
      <c r="G37" s="4">
        <v>3.860242E7</v>
      </c>
    </row>
    <row r="38">
      <c r="B38" s="5" t="s">
        <v>42</v>
      </c>
      <c r="C38" s="4">
        <v>2094000.0</v>
      </c>
      <c r="D38" s="4">
        <v>2094000.0</v>
      </c>
      <c r="E38" s="4">
        <v>2131000.0</v>
      </c>
      <c r="F38" s="4">
        <v>2680000.0</v>
      </c>
      <c r="G38" s="4">
        <v>2762000.0</v>
      </c>
    </row>
    <row r="39">
      <c r="B39" s="5" t="s">
        <v>43</v>
      </c>
      <c r="C39" s="4">
        <v>2063000.0</v>
      </c>
      <c r="D39" s="4">
        <v>2063000.0</v>
      </c>
      <c r="E39" s="4">
        <v>2346000.0</v>
      </c>
      <c r="F39" s="4">
        <v>2591000.0</v>
      </c>
      <c r="G39" s="4">
        <v>2686000.0</v>
      </c>
    </row>
    <row r="40">
      <c r="B40" s="5" t="s">
        <v>44</v>
      </c>
      <c r="C40" s="4">
        <v>31000.0</v>
      </c>
      <c r="D40" s="4">
        <v>31000.0</v>
      </c>
      <c r="E40" s="4">
        <v>-215000.0</v>
      </c>
      <c r="F40" s="4">
        <v>89000.0</v>
      </c>
      <c r="G40" s="4">
        <v>76000.0</v>
      </c>
    </row>
    <row r="41">
      <c r="B41" s="5" t="s">
        <v>45</v>
      </c>
      <c r="C41" s="4">
        <v>8.5779E7</v>
      </c>
      <c r="D41" s="4">
        <v>8.5779E7</v>
      </c>
      <c r="E41" s="4">
        <v>7.3448E7</v>
      </c>
      <c r="F41" s="4">
        <v>5.5627E7</v>
      </c>
      <c r="G41" s="4">
        <v>4.6374E7</v>
      </c>
    </row>
    <row r="42">
      <c r="B42" s="5" t="s">
        <v>46</v>
      </c>
      <c r="C42" s="4">
        <v>1.00239E8</v>
      </c>
      <c r="D42" s="6" t="s">
        <v>23</v>
      </c>
      <c r="E42" s="6" t="s">
        <v>23</v>
      </c>
      <c r="F42" s="6" t="s">
        <v>23</v>
      </c>
      <c r="G42" s="6" t="s">
        <v>23</v>
      </c>
    </row>
    <row r="43">
      <c r="B43" s="5" t="s">
        <v>47</v>
      </c>
      <c r="C43" s="4">
        <v>6.265E7</v>
      </c>
      <c r="D43" s="4">
        <v>6.265E7</v>
      </c>
      <c r="E43" s="4">
        <v>5.2232E7</v>
      </c>
      <c r="F43" s="4">
        <v>4.6078E7</v>
      </c>
      <c r="G43" s="4">
        <v>4.291E7</v>
      </c>
    </row>
    <row r="44">
      <c r="B44" s="5" t="s">
        <v>48</v>
      </c>
      <c r="C44" s="4">
        <v>1.446E7</v>
      </c>
      <c r="D44" s="4">
        <v>1.446E7</v>
      </c>
      <c r="E44" s="4">
        <v>1.1686E7</v>
      </c>
      <c r="F44" s="4">
        <v>1.2796E7</v>
      </c>
      <c r="G44" s="4">
        <v>1.1682E7</v>
      </c>
    </row>
    <row r="45">
      <c r="B45" s="5" t="s">
        <v>49</v>
      </c>
      <c r="C45" s="4">
        <v>7.2738E7</v>
      </c>
      <c r="D45" s="4">
        <v>7.2738E7</v>
      </c>
      <c r="E45" s="4">
        <v>6.1271E7</v>
      </c>
      <c r="F45" s="4">
        <v>4.4281E7</v>
      </c>
      <c r="G45" s="4">
        <v>3.924E7</v>
      </c>
    </row>
    <row r="46">
      <c r="B46" s="5" t="s">
        <v>50</v>
      </c>
      <c r="C46" s="4">
        <v>334000.0</v>
      </c>
      <c r="D46" s="4">
        <v>334000.0</v>
      </c>
      <c r="E46" s="4">
        <v>1303000.0</v>
      </c>
      <c r="F46" s="4">
        <v>28000.0</v>
      </c>
      <c r="G46" s="4">
        <v>710000.0</v>
      </c>
    </row>
    <row r="47">
      <c r="B47" s="5" t="s">
        <v>51</v>
      </c>
      <c r="C47" s="4">
        <v>334000.0</v>
      </c>
      <c r="D47" s="4">
        <v>334000.0</v>
      </c>
      <c r="E47" s="4">
        <v>1303000.0</v>
      </c>
      <c r="F47" s="4">
        <v>28000.0</v>
      </c>
      <c r="G47" s="4">
        <v>710000.0</v>
      </c>
    </row>
    <row r="48">
      <c r="B48" s="5" t="s">
        <v>52</v>
      </c>
      <c r="C48" s="4">
        <v>9.9905E7</v>
      </c>
      <c r="D48" s="4">
        <v>9.9905E7</v>
      </c>
      <c r="E48" s="4">
        <v>8.3831E7</v>
      </c>
      <c r="F48" s="4">
        <v>6.8395E7</v>
      </c>
      <c r="G48" s="4">
        <v>5.7346E7</v>
      </c>
    </row>
    <row r="49">
      <c r="B49" s="5" t="s">
        <v>53</v>
      </c>
      <c r="C49" s="6">
        <v>0.0</v>
      </c>
      <c r="D49" s="6">
        <v>0.0</v>
      </c>
      <c r="E49" s="6">
        <v>0.0</v>
      </c>
      <c r="F49" s="6">
        <v>0.0</v>
      </c>
      <c r="G49" s="6">
        <v>0.0</v>
      </c>
    </row>
    <row r="50">
      <c r="B50" s="5" t="s">
        <v>54</v>
      </c>
      <c r="C50" s="4">
        <v>43420.0</v>
      </c>
      <c r="D50" s="4">
        <v>43420.0</v>
      </c>
      <c r="E50" s="4">
        <v>182420.0</v>
      </c>
      <c r="F50" s="4">
        <v>4620.0</v>
      </c>
      <c r="G50" s="4">
        <v>72420.0</v>
      </c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8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8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8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8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8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8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8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8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8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8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8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8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8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8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8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8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8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8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8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8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8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8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8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8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8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8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8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8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8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8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8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8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8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8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8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8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8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8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8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8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9" max="9" width="22.63"/>
  </cols>
  <sheetData>
    <row r="2">
      <c r="B2" s="9" t="s">
        <v>55</v>
      </c>
      <c r="C2" s="10" t="s">
        <v>2</v>
      </c>
      <c r="D2" s="10" t="s">
        <v>3</v>
      </c>
      <c r="E2" s="10" t="s">
        <v>4</v>
      </c>
      <c r="F2" s="10" t="s">
        <v>5</v>
      </c>
      <c r="I2" s="9" t="s">
        <v>55</v>
      </c>
      <c r="J2" s="10" t="s">
        <v>2</v>
      </c>
      <c r="K2" s="10" t="s">
        <v>3</v>
      </c>
      <c r="L2" s="10" t="s">
        <v>4</v>
      </c>
      <c r="M2" s="10" t="s">
        <v>5</v>
      </c>
    </row>
    <row r="3">
      <c r="B3" s="9" t="s">
        <v>56</v>
      </c>
      <c r="C3" s="11">
        <v>3.6484E8</v>
      </c>
      <c r="D3" s="11">
        <v>3.33779E8</v>
      </c>
      <c r="E3" s="11">
        <v>3.01311E8</v>
      </c>
      <c r="F3" s="11">
        <v>2.86556E8</v>
      </c>
      <c r="I3" s="12" t="s">
        <v>56</v>
      </c>
      <c r="J3" s="13">
        <v>3.6484E8</v>
      </c>
      <c r="K3" s="13">
        <v>3.33779E8</v>
      </c>
      <c r="L3" s="13">
        <v>3.01311E8</v>
      </c>
      <c r="M3" s="13">
        <v>2.86556E8</v>
      </c>
    </row>
    <row r="4">
      <c r="B4" s="9" t="s">
        <v>57</v>
      </c>
      <c r="C4" s="11">
        <v>1.98298E8</v>
      </c>
      <c r="D4" s="11">
        <v>1.91791E8</v>
      </c>
      <c r="E4" s="11">
        <v>1.83007E8</v>
      </c>
      <c r="F4" s="11">
        <v>1.84226E8</v>
      </c>
      <c r="I4" s="12" t="s">
        <v>58</v>
      </c>
      <c r="J4" s="13">
        <v>1.69684E8</v>
      </c>
      <c r="K4" s="13">
        <v>1.84406E8</v>
      </c>
      <c r="L4" s="13">
        <v>1.81915E8</v>
      </c>
      <c r="M4" s="13">
        <v>1.75552E8</v>
      </c>
    </row>
    <row r="5">
      <c r="B5" s="9" t="s">
        <v>59</v>
      </c>
      <c r="C5" s="11">
        <v>1.66542E8</v>
      </c>
      <c r="D5" s="11">
        <v>1.41988E8</v>
      </c>
      <c r="E5" s="11">
        <v>1.18304E8</v>
      </c>
      <c r="F5" s="11">
        <v>1.0233E8</v>
      </c>
      <c r="I5" s="12" t="s">
        <v>60</v>
      </c>
      <c r="J5" s="13">
        <v>1.95156E8</v>
      </c>
      <c r="K5" s="13">
        <v>1.49373E8</v>
      </c>
      <c r="L5" s="13">
        <v>1.19396E8</v>
      </c>
      <c r="M5" s="13">
        <v>1.11004E8</v>
      </c>
    </row>
    <row r="6">
      <c r="B6" s="9" t="s">
        <v>61</v>
      </c>
      <c r="C6" s="11">
        <v>2.13574E8</v>
      </c>
      <c r="D6" s="11">
        <v>1.92062E8</v>
      </c>
      <c r="E6" s="11">
        <v>1.77882E8</v>
      </c>
      <c r="F6" s="11">
        <v>1.68992E8</v>
      </c>
      <c r="I6" s="12" t="s">
        <v>62</v>
      </c>
      <c r="J6" s="13">
        <v>8.7546E7</v>
      </c>
      <c r="K6" s="13">
        <v>7.0803E7</v>
      </c>
      <c r="L6" s="13">
        <v>5.2904E7</v>
      </c>
      <c r="M6" s="13">
        <v>4.3856E7</v>
      </c>
    </row>
    <row r="7">
      <c r="B7" s="9" t="s">
        <v>63</v>
      </c>
      <c r="C7" s="11">
        <v>1.66542E8</v>
      </c>
      <c r="D7" s="11">
        <v>1.41988E8</v>
      </c>
      <c r="E7" s="11">
        <v>1.18304E8</v>
      </c>
      <c r="F7" s="11">
        <v>1.0233E8</v>
      </c>
      <c r="I7" s="12" t="s">
        <v>64</v>
      </c>
      <c r="J7" s="13">
        <v>1.47206E8</v>
      </c>
      <c r="K7" s="13">
        <v>1.22154E8</v>
      </c>
      <c r="L7" s="13">
        <v>9.6101E7</v>
      </c>
      <c r="M7" s="13">
        <v>7.9186E7</v>
      </c>
    </row>
    <row r="8">
      <c r="B8" s="9" t="s">
        <v>65</v>
      </c>
      <c r="C8" s="11">
        <v>1.1489E7</v>
      </c>
      <c r="D8" s="11">
        <v>9629000.0</v>
      </c>
      <c r="E8" s="11">
        <v>7671000.0</v>
      </c>
      <c r="F8" s="11">
        <v>6188000.0</v>
      </c>
      <c r="I8" s="12" t="s">
        <v>66</v>
      </c>
      <c r="J8" s="13">
        <v>-5.966E7</v>
      </c>
      <c r="K8" s="13">
        <v>-5.1351E7</v>
      </c>
      <c r="L8" s="13">
        <v>-4.3197E7</v>
      </c>
      <c r="M8" s="13">
        <v>-3.533E7</v>
      </c>
    </row>
    <row r="9">
      <c r="B9" s="9" t="s">
        <v>67</v>
      </c>
      <c r="C9" s="11">
        <v>8.772E7</v>
      </c>
      <c r="D9" s="11">
        <v>8.4477E7</v>
      </c>
      <c r="E9" s="11">
        <v>6.7915E7</v>
      </c>
      <c r="F9" s="11">
        <v>5.2554E7</v>
      </c>
      <c r="I9" s="12" t="s">
        <v>68</v>
      </c>
      <c r="J9" s="13">
        <v>7.8822E7</v>
      </c>
      <c r="K9" s="13">
        <v>5.7511E7</v>
      </c>
      <c r="L9" s="13">
        <v>5.0389E7</v>
      </c>
      <c r="M9" s="13">
        <v>4.9776E7</v>
      </c>
    </row>
    <row r="10">
      <c r="B10" s="9" t="s">
        <v>69</v>
      </c>
      <c r="C10" s="11">
        <v>7.4602E7</v>
      </c>
      <c r="D10" s="11">
        <v>9.5749E7</v>
      </c>
      <c r="E10" s="11">
        <v>1.09605E8</v>
      </c>
      <c r="F10" s="11">
        <v>1.06132E8</v>
      </c>
      <c r="I10" s="12" t="s">
        <v>70</v>
      </c>
      <c r="J10" s="13">
        <v>6.7524E7</v>
      </c>
      <c r="K10" s="13">
        <v>4.9711E7</v>
      </c>
      <c r="L10" s="13">
        <v>4.3351E7</v>
      </c>
      <c r="M10" s="13">
        <v>4.2026E7</v>
      </c>
    </row>
    <row r="11">
      <c r="B11" s="9" t="s">
        <v>71</v>
      </c>
      <c r="C11" s="11">
        <v>2.16323E8</v>
      </c>
      <c r="D11" s="11">
        <v>2.00134E8</v>
      </c>
      <c r="E11" s="11">
        <v>1.81631E8</v>
      </c>
      <c r="F11" s="11">
        <v>1.74508E8</v>
      </c>
      <c r="I11" s="12" t="s">
        <v>72</v>
      </c>
      <c r="J11" s="13">
        <v>1.1298E7</v>
      </c>
      <c r="K11" s="13">
        <v>7800000.0</v>
      </c>
      <c r="L11" s="13">
        <v>7038000.0</v>
      </c>
      <c r="M11" s="13">
        <v>7750000.0</v>
      </c>
    </row>
    <row r="12">
      <c r="B12" s="9" t="s">
        <v>73</v>
      </c>
      <c r="C12" s="11">
        <v>8.772E7</v>
      </c>
      <c r="D12" s="11">
        <v>8.4477E7</v>
      </c>
      <c r="E12" s="11">
        <v>6.7915E7</v>
      </c>
      <c r="F12" s="11">
        <v>5.2554E7</v>
      </c>
      <c r="I12" s="12" t="s">
        <v>74</v>
      </c>
      <c r="J12" s="13">
        <v>6891000.0</v>
      </c>
      <c r="K12" s="13">
        <v>5984000.0</v>
      </c>
      <c r="L12" s="13">
        <v>2965000.0</v>
      </c>
      <c r="M12" s="13">
        <v>2649000.0</v>
      </c>
    </row>
    <row r="13">
      <c r="B13" s="9" t="s">
        <v>75</v>
      </c>
      <c r="C13" s="11">
        <v>6.127E7</v>
      </c>
      <c r="D13" s="11">
        <v>6.7775E7</v>
      </c>
      <c r="E13" s="11">
        <v>7.0998E7</v>
      </c>
      <c r="F13" s="11">
        <v>7.8366E7</v>
      </c>
      <c r="I13" s="12" t="s">
        <v>76</v>
      </c>
      <c r="J13" s="13">
        <v>6891000.0</v>
      </c>
      <c r="K13" s="13">
        <v>5984000.0</v>
      </c>
      <c r="L13" s="13">
        <v>2965000.0</v>
      </c>
      <c r="M13" s="13">
        <v>2649000.0</v>
      </c>
    </row>
    <row r="14">
      <c r="B14" s="9" t="s">
        <v>77</v>
      </c>
      <c r="C14" s="11">
        <v>3.585E7</v>
      </c>
      <c r="D14" s="11">
        <v>4.3922E7</v>
      </c>
      <c r="E14" s="11">
        <v>4.9751E7</v>
      </c>
      <c r="F14" s="11">
        <v>6.0822E7</v>
      </c>
      <c r="I14" s="12" t="s">
        <v>78</v>
      </c>
      <c r="J14" s="13">
        <v>2.1897E7</v>
      </c>
      <c r="K14" s="13">
        <v>1.5075E7</v>
      </c>
      <c r="L14" s="13">
        <v>1.3138E7</v>
      </c>
      <c r="M14" s="13">
        <v>1.4723E7</v>
      </c>
    </row>
    <row r="15">
      <c r="B15" s="9" t="s">
        <v>79</v>
      </c>
      <c r="C15" s="11">
        <v>7464000.0</v>
      </c>
      <c r="D15" s="11">
        <v>7519000.0</v>
      </c>
      <c r="E15" s="11">
        <v>7571000.0</v>
      </c>
      <c r="F15" s="11">
        <v>7643000.0</v>
      </c>
      <c r="I15" s="12" t="s">
        <v>57</v>
      </c>
      <c r="J15" s="13">
        <v>1.98298E8</v>
      </c>
      <c r="K15" s="13">
        <v>1.91791E8</v>
      </c>
      <c r="L15" s="13">
        <v>1.83007E8</v>
      </c>
      <c r="M15" s="13">
        <v>1.84226E8</v>
      </c>
    </row>
    <row r="16">
      <c r="B16" s="9" t="s">
        <v>80</v>
      </c>
      <c r="C16" s="11">
        <v>7464000.0</v>
      </c>
      <c r="D16" s="11">
        <v>7519000.0</v>
      </c>
      <c r="E16" s="11">
        <v>7571000.0</v>
      </c>
      <c r="F16" s="11">
        <v>7643000.0</v>
      </c>
      <c r="I16" s="12" t="s">
        <v>81</v>
      </c>
      <c r="J16" s="13">
        <v>9.5082E7</v>
      </c>
      <c r="K16" s="13">
        <v>8.8657E7</v>
      </c>
      <c r="L16" s="13">
        <v>7.231E7</v>
      </c>
      <c r="M16" s="13">
        <v>6.942E7</v>
      </c>
    </row>
    <row r="17">
      <c r="I17" s="12" t="s">
        <v>82</v>
      </c>
      <c r="J17" s="13">
        <v>2.3067E7</v>
      </c>
      <c r="K17" s="13">
        <v>1.7337E7</v>
      </c>
      <c r="L17" s="13">
        <v>1.466E7</v>
      </c>
      <c r="M17" s="13">
        <v>1.5047E7</v>
      </c>
    </row>
    <row r="18">
      <c r="I18" s="12" t="s">
        <v>83</v>
      </c>
      <c r="J18" s="13">
        <v>2.3067E7</v>
      </c>
      <c r="K18" s="13">
        <v>1.7337E7</v>
      </c>
      <c r="L18" s="13">
        <v>1.466E7</v>
      </c>
      <c r="M18" s="13">
        <v>1.5047E7</v>
      </c>
    </row>
    <row r="19">
      <c r="I19" s="12" t="s">
        <v>84</v>
      </c>
      <c r="J19" s="13">
        <v>1.9E7</v>
      </c>
      <c r="K19" s="13">
        <v>1.5163E7</v>
      </c>
      <c r="L19" s="13">
        <v>1.253E7</v>
      </c>
      <c r="M19" s="13">
        <v>9382000.0</v>
      </c>
    </row>
    <row r="20">
      <c r="I20" s="12" t="s">
        <v>85</v>
      </c>
      <c r="J20" s="13">
        <v>4067000.0</v>
      </c>
      <c r="K20" s="13">
        <v>2174000.0</v>
      </c>
      <c r="L20" s="13">
        <v>2130000.0</v>
      </c>
      <c r="M20" s="13">
        <v>5665000.0</v>
      </c>
    </row>
    <row r="21">
      <c r="I21" s="12" t="s">
        <v>86</v>
      </c>
      <c r="J21" s="13">
        <v>4067000.0</v>
      </c>
      <c r="K21" s="13">
        <v>2174000.0</v>
      </c>
      <c r="L21" s="13">
        <v>2130000.0</v>
      </c>
      <c r="M21" s="13">
        <v>5665000.0</v>
      </c>
    </row>
    <row r="22">
      <c r="I22" s="12" t="s">
        <v>87</v>
      </c>
      <c r="J22" s="13">
        <v>1.0661E7</v>
      </c>
      <c r="K22" s="13">
        <v>1.0057E7</v>
      </c>
      <c r="L22" s="13">
        <v>7874000.0</v>
      </c>
      <c r="M22" s="13">
        <v>6830000.0</v>
      </c>
    </row>
    <row r="23">
      <c r="I23" s="12" t="s">
        <v>88</v>
      </c>
      <c r="J23" s="13">
        <v>2749000.0</v>
      </c>
      <c r="K23" s="13">
        <v>8072000.0</v>
      </c>
      <c r="L23" s="13">
        <v>3749000.0</v>
      </c>
      <c r="M23" s="13">
        <v>5516000.0</v>
      </c>
    </row>
    <row r="24">
      <c r="I24" s="12" t="s">
        <v>89</v>
      </c>
      <c r="J24" s="13">
        <v>2749000.0</v>
      </c>
      <c r="K24" s="13">
        <v>8072000.0</v>
      </c>
      <c r="L24" s="13">
        <v>3749000.0</v>
      </c>
      <c r="M24" s="13">
        <v>5516000.0</v>
      </c>
    </row>
    <row r="25">
      <c r="I25" s="12" t="s">
        <v>90</v>
      </c>
      <c r="J25" s="13">
        <v>4.5538E7</v>
      </c>
      <c r="K25" s="13">
        <v>4.1525E7</v>
      </c>
      <c r="L25" s="13">
        <v>3.6E7</v>
      </c>
      <c r="M25" s="13">
        <v>3.2676E7</v>
      </c>
    </row>
    <row r="26">
      <c r="I26" s="12" t="s">
        <v>91</v>
      </c>
      <c r="J26" s="13">
        <v>4.5538E7</v>
      </c>
      <c r="K26" s="13">
        <v>4.1525E7</v>
      </c>
      <c r="L26" s="13">
        <v>3.6E7</v>
      </c>
      <c r="M26" s="13">
        <v>3.2676E7</v>
      </c>
    </row>
    <row r="27">
      <c r="I27" s="12" t="s">
        <v>92</v>
      </c>
      <c r="J27" s="13">
        <v>1.3067E7</v>
      </c>
      <c r="K27" s="13">
        <v>1.1666E7</v>
      </c>
      <c r="L27" s="13">
        <v>1.0027E7</v>
      </c>
      <c r="M27" s="13">
        <v>9351000.0</v>
      </c>
    </row>
    <row r="28">
      <c r="I28" s="12" t="s">
        <v>93</v>
      </c>
      <c r="J28" s="13">
        <v>1.03216E8</v>
      </c>
      <c r="K28" s="13">
        <v>1.03134E8</v>
      </c>
      <c r="L28" s="13">
        <v>1.10697E8</v>
      </c>
      <c r="M28" s="13">
        <v>1.14806E8</v>
      </c>
    </row>
    <row r="29">
      <c r="I29" s="12" t="s">
        <v>94</v>
      </c>
      <c r="J29" s="13">
        <v>5.8521E7</v>
      </c>
      <c r="K29" s="13">
        <v>5.9703E7</v>
      </c>
      <c r="L29" s="13">
        <v>6.7249E7</v>
      </c>
      <c r="M29" s="13">
        <v>7.285E7</v>
      </c>
    </row>
    <row r="30">
      <c r="I30" s="12" t="s">
        <v>95</v>
      </c>
      <c r="J30" s="13">
        <v>4.7032E7</v>
      </c>
      <c r="K30" s="13">
        <v>5.0074E7</v>
      </c>
      <c r="L30" s="13">
        <v>5.9578E7</v>
      </c>
      <c r="M30" s="13">
        <v>6.6662E7</v>
      </c>
    </row>
    <row r="31">
      <c r="I31" s="12" t="s">
        <v>96</v>
      </c>
      <c r="J31" s="13">
        <v>1.1489E7</v>
      </c>
      <c r="K31" s="13">
        <v>9629000.0</v>
      </c>
      <c r="L31" s="13">
        <v>7671000.0</v>
      </c>
      <c r="M31" s="13">
        <v>6188000.0</v>
      </c>
    </row>
    <row r="32">
      <c r="I32" s="12" t="s">
        <v>97</v>
      </c>
      <c r="J32" s="13">
        <v>3100000.0</v>
      </c>
      <c r="K32" s="13">
        <v>2814000.0</v>
      </c>
      <c r="L32" s="13">
        <v>3384000.0</v>
      </c>
      <c r="M32" s="13">
        <v>4763000.0</v>
      </c>
    </row>
    <row r="33">
      <c r="I33" s="12" t="s">
        <v>98</v>
      </c>
      <c r="J33" s="13">
        <v>230000.0</v>
      </c>
      <c r="K33" s="13">
        <v>198000.0</v>
      </c>
      <c r="L33" s="13">
        <v>204000.0</v>
      </c>
      <c r="M33" s="13">
        <v>233000.0</v>
      </c>
    </row>
    <row r="34">
      <c r="I34" s="12" t="s">
        <v>99</v>
      </c>
      <c r="J34" s="13">
        <v>2870000.0</v>
      </c>
      <c r="K34" s="13">
        <v>2616000.0</v>
      </c>
      <c r="L34" s="13">
        <v>3180000.0</v>
      </c>
      <c r="M34" s="13">
        <v>4530000.0</v>
      </c>
    </row>
    <row r="35">
      <c r="I35" s="12" t="s">
        <v>100</v>
      </c>
      <c r="J35" s="13">
        <v>2.6069E7</v>
      </c>
      <c r="K35" s="13">
        <v>2.719E7</v>
      </c>
      <c r="L35" s="13">
        <v>2.9432E7</v>
      </c>
      <c r="M35" s="13">
        <v>2.9612E7</v>
      </c>
    </row>
    <row r="36">
      <c r="I36" s="12" t="s">
        <v>101</v>
      </c>
      <c r="J36" s="13">
        <v>1.5526E7</v>
      </c>
      <c r="K36" s="13">
        <v>1.3427E7</v>
      </c>
      <c r="L36" s="13">
        <v>1.0632E7</v>
      </c>
      <c r="M36" s="13">
        <v>7581000.0</v>
      </c>
    </row>
    <row r="37">
      <c r="I37" s="12" t="s">
        <v>59</v>
      </c>
      <c r="J37" s="13">
        <v>1.66542E8</v>
      </c>
      <c r="K37" s="13">
        <v>1.41988E8</v>
      </c>
      <c r="L37" s="13">
        <v>1.18304E8</v>
      </c>
      <c r="M37" s="13">
        <v>1.0233E8</v>
      </c>
    </row>
    <row r="38">
      <c r="I38" s="12" t="s">
        <v>102</v>
      </c>
      <c r="J38" s="13">
        <v>1.66542E8</v>
      </c>
      <c r="K38" s="13">
        <v>1.41988E8</v>
      </c>
      <c r="L38" s="13">
        <v>1.18304E8</v>
      </c>
      <c r="M38" s="13">
        <v>1.0233E8</v>
      </c>
    </row>
    <row r="39">
      <c r="I39" s="12" t="s">
        <v>103</v>
      </c>
      <c r="J39" s="13">
        <v>8.6939E7</v>
      </c>
      <c r="K39" s="13">
        <v>8.3111E7</v>
      </c>
      <c r="L39" s="13">
        <v>8.0552E7</v>
      </c>
      <c r="M39" s="13">
        <v>7.852E7</v>
      </c>
    </row>
    <row r="40">
      <c r="I40" s="12" t="s">
        <v>104</v>
      </c>
      <c r="J40" s="13">
        <v>8.6939E7</v>
      </c>
      <c r="K40" s="13">
        <v>8.3111E7</v>
      </c>
      <c r="L40" s="13">
        <v>8.0552E7</v>
      </c>
      <c r="M40" s="13">
        <v>7.852E7</v>
      </c>
    </row>
    <row r="41">
      <c r="I41" s="12" t="s">
        <v>105</v>
      </c>
      <c r="J41" s="13">
        <v>8.4281E7</v>
      </c>
      <c r="K41" s="13">
        <v>5.7055E7</v>
      </c>
      <c r="L41" s="13">
        <v>3.4566E7</v>
      </c>
      <c r="M41" s="13">
        <v>2.415E7</v>
      </c>
    </row>
    <row r="42">
      <c r="I42" s="12" t="s">
        <v>106</v>
      </c>
      <c r="J42" s="13">
        <v>-4678000.0</v>
      </c>
      <c r="K42" s="13">
        <v>1822000.0</v>
      </c>
      <c r="L42" s="13">
        <v>3186000.0</v>
      </c>
      <c r="M42" s="13">
        <v>-340000.0</v>
      </c>
    </row>
    <row r="43">
      <c r="I43" s="12" t="s">
        <v>61</v>
      </c>
      <c r="J43" s="13">
        <v>2.13574E8</v>
      </c>
      <c r="K43" s="13">
        <v>1.92062E8</v>
      </c>
      <c r="L43" s="13">
        <v>1.77882E8</v>
      </c>
      <c r="M43" s="13">
        <v>1.68992E8</v>
      </c>
    </row>
    <row r="44">
      <c r="I44" s="12" t="s">
        <v>63</v>
      </c>
      <c r="J44" s="13">
        <v>1.66542E8</v>
      </c>
      <c r="K44" s="13">
        <v>1.41988E8</v>
      </c>
      <c r="L44" s="13">
        <v>1.18304E8</v>
      </c>
      <c r="M44" s="13">
        <v>1.0233E8</v>
      </c>
    </row>
    <row r="45">
      <c r="I45" s="12" t="s">
        <v>65</v>
      </c>
      <c r="J45" s="13">
        <v>1.1489E7</v>
      </c>
      <c r="K45" s="13">
        <v>9629000.0</v>
      </c>
      <c r="L45" s="13">
        <v>7671000.0</v>
      </c>
      <c r="M45" s="13">
        <v>6188000.0</v>
      </c>
    </row>
    <row r="46">
      <c r="I46" s="12" t="s">
        <v>67</v>
      </c>
      <c r="J46" s="13">
        <v>8.772E7</v>
      </c>
      <c r="K46" s="13">
        <v>8.4477E7</v>
      </c>
      <c r="L46" s="13">
        <v>6.7915E7</v>
      </c>
      <c r="M46" s="13">
        <v>5.2554E7</v>
      </c>
    </row>
    <row r="47">
      <c r="I47" s="12" t="s">
        <v>69</v>
      </c>
      <c r="J47" s="13">
        <v>7.4602E7</v>
      </c>
      <c r="K47" s="13">
        <v>9.5749E7</v>
      </c>
      <c r="L47" s="13">
        <v>1.09605E8</v>
      </c>
      <c r="M47" s="13">
        <v>1.06132E8</v>
      </c>
    </row>
    <row r="48">
      <c r="I48" s="12" t="s">
        <v>71</v>
      </c>
      <c r="J48" s="13">
        <v>2.16323E8</v>
      </c>
      <c r="K48" s="13">
        <v>2.00134E8</v>
      </c>
      <c r="L48" s="13">
        <v>1.81631E8</v>
      </c>
      <c r="M48" s="13">
        <v>1.74508E8</v>
      </c>
    </row>
    <row r="49">
      <c r="I49" s="12" t="s">
        <v>73</v>
      </c>
      <c r="J49" s="13">
        <v>8.772E7</v>
      </c>
      <c r="K49" s="13">
        <v>8.4477E7</v>
      </c>
      <c r="L49" s="13">
        <v>6.7915E7</v>
      </c>
      <c r="M49" s="13">
        <v>5.2554E7</v>
      </c>
    </row>
    <row r="50">
      <c r="I50" s="12" t="s">
        <v>75</v>
      </c>
      <c r="J50" s="13">
        <v>6.127E7</v>
      </c>
      <c r="K50" s="13">
        <v>6.7775E7</v>
      </c>
      <c r="L50" s="13">
        <v>7.0998E7</v>
      </c>
      <c r="M50" s="13">
        <v>7.8366E7</v>
      </c>
    </row>
    <row r="51">
      <c r="I51" s="12" t="s">
        <v>77</v>
      </c>
      <c r="J51" s="13">
        <v>3.585E7</v>
      </c>
      <c r="K51" s="13">
        <v>4.3922E7</v>
      </c>
      <c r="L51" s="13">
        <v>4.9751E7</v>
      </c>
      <c r="M51" s="13">
        <v>6.0822E7</v>
      </c>
    </row>
    <row r="52">
      <c r="I52" s="12" t="s">
        <v>79</v>
      </c>
      <c r="J52" s="13">
        <v>7464000.0</v>
      </c>
      <c r="K52" s="13">
        <v>7519000.0</v>
      </c>
      <c r="L52" s="13">
        <v>7571000.0</v>
      </c>
      <c r="M52" s="13">
        <v>7643000.0</v>
      </c>
    </row>
    <row r="53">
      <c r="I53" s="12" t="s">
        <v>80</v>
      </c>
      <c r="J53" s="13">
        <v>7464000.0</v>
      </c>
      <c r="K53" s="13">
        <v>7519000.0</v>
      </c>
      <c r="L53" s="13">
        <v>7571000.0</v>
      </c>
      <c r="M53" s="13">
        <v>7643000.0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</cols>
  <sheetData>
    <row r="1">
      <c r="A1" s="12"/>
    </row>
    <row r="2">
      <c r="B2" s="9" t="s">
        <v>55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</row>
    <row r="3">
      <c r="B3" s="9" t="s">
        <v>107</v>
      </c>
      <c r="C3" s="11">
        <v>8.9035E7</v>
      </c>
      <c r="D3" s="11">
        <v>8.9035E7</v>
      </c>
      <c r="E3" s="11">
        <v>7.674E7</v>
      </c>
      <c r="F3" s="11">
        <v>6.0675E7</v>
      </c>
      <c r="G3" s="11">
        <v>5.2185E7</v>
      </c>
    </row>
    <row r="4">
      <c r="B4" s="9" t="s">
        <v>108</v>
      </c>
      <c r="C4" s="11">
        <v>8.9035E7</v>
      </c>
      <c r="D4" s="11">
        <v>8.9035E7</v>
      </c>
      <c r="E4" s="11">
        <v>7.674E7</v>
      </c>
      <c r="F4" s="11">
        <v>6.0675E7</v>
      </c>
      <c r="G4" s="11">
        <v>5.2185E7</v>
      </c>
    </row>
    <row r="5">
      <c r="B5" s="9" t="s">
        <v>109</v>
      </c>
      <c r="C5" s="11">
        <v>7.2738E7</v>
      </c>
      <c r="D5" s="11">
        <v>7.2738E7</v>
      </c>
      <c r="E5" s="11">
        <v>6.1271E7</v>
      </c>
      <c r="F5" s="11">
        <v>4.4281E7</v>
      </c>
      <c r="G5" s="11">
        <v>3.924E7</v>
      </c>
    </row>
    <row r="6">
      <c r="B6" s="9" t="s">
        <v>110</v>
      </c>
      <c r="C6" s="11">
        <v>-409000.0</v>
      </c>
      <c r="D6" s="11">
        <v>-409000.0</v>
      </c>
      <c r="E6" s="11">
        <v>-1249000.0</v>
      </c>
      <c r="F6" s="11">
        <v>-219000.0</v>
      </c>
      <c r="G6" s="11">
        <v>-792000.0</v>
      </c>
    </row>
    <row r="7">
      <c r="B7" s="9" t="s">
        <v>111</v>
      </c>
      <c r="C7" s="11">
        <v>1.446E7</v>
      </c>
      <c r="D7" s="11">
        <v>1.446E7</v>
      </c>
      <c r="E7" s="11">
        <v>1.1686E7</v>
      </c>
      <c r="F7" s="11">
        <v>1.2796E7</v>
      </c>
      <c r="G7" s="11">
        <v>1.1682E7</v>
      </c>
    </row>
    <row r="8">
      <c r="B8" s="9" t="s">
        <v>112</v>
      </c>
      <c r="C8" s="11">
        <v>-5702000.0</v>
      </c>
      <c r="D8" s="11">
        <v>-5702000.0</v>
      </c>
      <c r="E8" s="11">
        <v>-150000.0</v>
      </c>
      <c r="F8" s="11">
        <v>-3620000.0</v>
      </c>
      <c r="G8" s="11">
        <v>-3534000.0</v>
      </c>
    </row>
    <row r="9">
      <c r="B9" s="9" t="s">
        <v>113</v>
      </c>
      <c r="C9" s="11">
        <v>7502000.0</v>
      </c>
      <c r="D9" s="11">
        <v>7502000.0</v>
      </c>
      <c r="E9" s="11">
        <v>6118000.0</v>
      </c>
      <c r="F9" s="11">
        <v>5289000.0</v>
      </c>
      <c r="G9" s="11">
        <v>4652000.0</v>
      </c>
    </row>
    <row r="10">
      <c r="B10" s="9" t="s">
        <v>114</v>
      </c>
      <c r="C10" s="11">
        <v>446000.0</v>
      </c>
      <c r="D10" s="11">
        <v>446000.0</v>
      </c>
      <c r="E10" s="11">
        <v>-936000.0</v>
      </c>
      <c r="F10" s="11">
        <v>2148000.0</v>
      </c>
      <c r="G10" s="11">
        <v>937000.0</v>
      </c>
    </row>
    <row r="11">
      <c r="B11" s="9" t="s">
        <v>115</v>
      </c>
      <c r="C11" s="11">
        <v>-3.0311E7</v>
      </c>
      <c r="D11" s="11">
        <v>-3.0311E7</v>
      </c>
      <c r="E11" s="11">
        <v>-2.7577E7</v>
      </c>
      <c r="F11" s="11">
        <v>-1.2223E7</v>
      </c>
      <c r="G11" s="11">
        <v>-1.5773E7</v>
      </c>
    </row>
    <row r="12">
      <c r="B12" s="9" t="s">
        <v>116</v>
      </c>
      <c r="C12" s="11">
        <v>-3.0311E7</v>
      </c>
      <c r="D12" s="11">
        <v>-3.0311E7</v>
      </c>
      <c r="E12" s="11">
        <v>-2.7577E7</v>
      </c>
      <c r="F12" s="11">
        <v>-1.2223E7</v>
      </c>
      <c r="G12" s="11">
        <v>-1.5773E7</v>
      </c>
    </row>
    <row r="13">
      <c r="B13" s="9" t="s">
        <v>117</v>
      </c>
      <c r="C13" s="11">
        <v>-2.3886E7</v>
      </c>
      <c r="D13" s="11">
        <v>-2.3886E7</v>
      </c>
      <c r="E13" s="11">
        <v>-2.0622E7</v>
      </c>
      <c r="F13" s="11">
        <v>-1.5441E7</v>
      </c>
      <c r="G13" s="11">
        <v>-1.3925E7</v>
      </c>
    </row>
    <row r="14">
      <c r="B14" s="9" t="s">
        <v>118</v>
      </c>
      <c r="C14" s="11">
        <v>-2.2038E7</v>
      </c>
      <c r="D14" s="11">
        <v>-2.2038E7</v>
      </c>
      <c r="E14" s="11">
        <v>-8909000.0</v>
      </c>
      <c r="F14" s="11">
        <v>-2521000.0</v>
      </c>
      <c r="G14" s="11">
        <v>-2388000.0</v>
      </c>
    </row>
    <row r="15">
      <c r="B15" s="9" t="s">
        <v>119</v>
      </c>
      <c r="C15" s="11">
        <v>1.8438E7</v>
      </c>
      <c r="D15" s="11">
        <v>1.8438E7</v>
      </c>
      <c r="E15" s="11">
        <v>2876000.0</v>
      </c>
      <c r="F15" s="11">
        <v>6980000.0</v>
      </c>
      <c r="G15" s="11">
        <v>540000.0</v>
      </c>
    </row>
    <row r="16">
      <c r="B16" s="9" t="s">
        <v>120</v>
      </c>
      <c r="C16" s="11">
        <v>-2825000.0</v>
      </c>
      <c r="D16" s="11">
        <v>-2825000.0</v>
      </c>
      <c r="E16" s="11">
        <v>-922000.0</v>
      </c>
      <c r="F16" s="11">
        <v>-1241000.0</v>
      </c>
      <c r="G16" s="9" t="s">
        <v>23</v>
      </c>
    </row>
    <row r="17">
      <c r="B17" s="9" t="s">
        <v>121</v>
      </c>
      <c r="C17" s="11">
        <v>-5.8876E7</v>
      </c>
      <c r="D17" s="11">
        <v>-5.8876E7</v>
      </c>
      <c r="E17" s="11">
        <v>-4.8486E7</v>
      </c>
      <c r="F17" s="11">
        <v>-4.6031E7</v>
      </c>
      <c r="G17" s="11">
        <v>-3.6887E7</v>
      </c>
    </row>
    <row r="18">
      <c r="B18" s="9" t="s">
        <v>122</v>
      </c>
      <c r="C18" s="11">
        <v>-5.8876E7</v>
      </c>
      <c r="D18" s="11">
        <v>-5.8876E7</v>
      </c>
      <c r="E18" s="11">
        <v>-4.8486E7</v>
      </c>
      <c r="F18" s="11">
        <v>-4.6031E7</v>
      </c>
      <c r="G18" s="11">
        <v>-3.6887E7</v>
      </c>
    </row>
    <row r="19">
      <c r="B19" s="9" t="s">
        <v>123</v>
      </c>
      <c r="C19" s="11">
        <v>-9023000.0</v>
      </c>
      <c r="D19" s="11">
        <v>-9023000.0</v>
      </c>
      <c r="E19" s="11">
        <v>-3750000.0</v>
      </c>
      <c r="F19" s="11">
        <v>-5518000.0</v>
      </c>
      <c r="G19" s="11">
        <v>-4000000.0</v>
      </c>
    </row>
    <row r="20">
      <c r="B20" s="9" t="s">
        <v>124</v>
      </c>
      <c r="C20" s="11">
        <v>-3.0855E7</v>
      </c>
      <c r="D20" s="11">
        <v>-3.0855E7</v>
      </c>
      <c r="E20" s="11">
        <v>-2.5692E7</v>
      </c>
      <c r="F20" s="11">
        <v>-2.1625E7</v>
      </c>
      <c r="G20" s="11">
        <v>-1.8401E7</v>
      </c>
    </row>
    <row r="21">
      <c r="B21" s="9" t="s">
        <v>125</v>
      </c>
      <c r="C21" s="11">
        <v>-1.8135E7</v>
      </c>
      <c r="D21" s="11">
        <v>-1.8135E7</v>
      </c>
      <c r="E21" s="11">
        <v>-1.6521E7</v>
      </c>
      <c r="F21" s="11">
        <v>-1.5137E7</v>
      </c>
      <c r="G21" s="11">
        <v>-1.3811E7</v>
      </c>
    </row>
    <row r="22">
      <c r="B22" s="9" t="s">
        <v>126</v>
      </c>
      <c r="C22" s="11">
        <v>-863000.0</v>
      </c>
      <c r="D22" s="11">
        <v>-863000.0</v>
      </c>
      <c r="E22" s="11">
        <v>-2523000.0</v>
      </c>
      <c r="F22" s="11">
        <v>-3751000.0</v>
      </c>
      <c r="G22" s="11">
        <v>-675000.0</v>
      </c>
    </row>
    <row r="23">
      <c r="B23" s="9" t="s">
        <v>127</v>
      </c>
      <c r="C23" s="11">
        <v>1.3931E7</v>
      </c>
      <c r="D23" s="11">
        <v>1.3931E7</v>
      </c>
      <c r="E23" s="11">
        <v>1.4224E7</v>
      </c>
      <c r="F23" s="11">
        <v>1.3576E7</v>
      </c>
      <c r="G23" s="11">
        <v>1.1356E7</v>
      </c>
    </row>
    <row r="24">
      <c r="B24" s="9" t="s">
        <v>128</v>
      </c>
      <c r="C24" s="11">
        <v>-152000.0</v>
      </c>
      <c r="D24" s="11">
        <v>-152000.0</v>
      </c>
      <c r="E24" s="11">
        <v>677000.0</v>
      </c>
      <c r="F24" s="11">
        <v>2421000.0</v>
      </c>
      <c r="G24" s="11">
        <v>-475000.0</v>
      </c>
    </row>
    <row r="25">
      <c r="B25" s="9" t="s">
        <v>129</v>
      </c>
      <c r="C25" s="11">
        <v>-141000.0</v>
      </c>
      <c r="D25" s="11">
        <v>-141000.0</v>
      </c>
      <c r="E25" s="11">
        <v>-29000.0</v>
      </c>
      <c r="F25" s="11">
        <v>-201000.0</v>
      </c>
      <c r="G25" s="11">
        <v>-115000.0</v>
      </c>
    </row>
    <row r="26">
      <c r="B26" s="9" t="s">
        <v>130</v>
      </c>
      <c r="C26" s="11">
        <v>1.4224E7</v>
      </c>
      <c r="D26" s="11">
        <v>1.4224E7</v>
      </c>
      <c r="E26" s="11">
        <v>1.3576E7</v>
      </c>
      <c r="F26" s="11">
        <v>1.1356E7</v>
      </c>
      <c r="G26" s="11">
        <v>1.1946E7</v>
      </c>
    </row>
    <row r="27">
      <c r="B27" s="9" t="s">
        <v>131</v>
      </c>
      <c r="C27" s="11">
        <v>-2.3886E7</v>
      </c>
      <c r="D27" s="11">
        <v>-2.3886E7</v>
      </c>
      <c r="E27" s="11">
        <v>-2.0622E7</v>
      </c>
      <c r="F27" s="11">
        <v>-1.5441E7</v>
      </c>
      <c r="G27" s="11">
        <v>-1.3925E7</v>
      </c>
    </row>
    <row r="28">
      <c r="B28" s="9" t="s">
        <v>132</v>
      </c>
      <c r="C28" s="11">
        <v>1841000.0</v>
      </c>
      <c r="D28" s="11">
        <v>1841000.0</v>
      </c>
      <c r="E28" s="11">
        <v>1693000.0</v>
      </c>
      <c r="F28" s="11">
        <v>1343000.0</v>
      </c>
      <c r="G28" s="11">
        <v>1142000.0</v>
      </c>
    </row>
    <row r="29">
      <c r="B29" s="9" t="s">
        <v>133</v>
      </c>
      <c r="C29" s="9" t="s">
        <v>23</v>
      </c>
      <c r="D29" s="9" t="s">
        <v>23</v>
      </c>
      <c r="E29" s="9" t="s">
        <v>23</v>
      </c>
      <c r="F29" s="9">
        <v>0.0</v>
      </c>
      <c r="G29" s="9">
        <v>0.0</v>
      </c>
    </row>
    <row r="30">
      <c r="B30" s="9" t="s">
        <v>134</v>
      </c>
      <c r="C30" s="11">
        <v>-9023000.0</v>
      </c>
      <c r="D30" s="11">
        <v>-9023000.0</v>
      </c>
      <c r="E30" s="11">
        <v>-3750000.0</v>
      </c>
      <c r="F30" s="11">
        <v>-5518000.0</v>
      </c>
      <c r="G30" s="11">
        <v>-4000000.0</v>
      </c>
    </row>
    <row r="31">
      <c r="B31" s="9" t="s">
        <v>135</v>
      </c>
      <c r="C31" s="11">
        <v>-3.2696E7</v>
      </c>
      <c r="D31" s="11">
        <v>-3.2696E7</v>
      </c>
      <c r="E31" s="11">
        <v>-2.7385E7</v>
      </c>
      <c r="F31" s="11">
        <v>-2.2968E7</v>
      </c>
      <c r="G31" s="11">
        <v>-1.9543E7</v>
      </c>
    </row>
    <row r="32">
      <c r="B32" s="9" t="s">
        <v>136</v>
      </c>
      <c r="C32" s="11">
        <v>6.5149E7</v>
      </c>
      <c r="D32" s="11">
        <v>6.5149E7</v>
      </c>
      <c r="E32" s="11">
        <v>5.6118E7</v>
      </c>
      <c r="F32" s="11">
        <v>4.5234E7</v>
      </c>
      <c r="G32" s="11">
        <v>3.826E7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5" max="5" width="25.5"/>
  </cols>
  <sheetData>
    <row r="2">
      <c r="B2" s="14"/>
      <c r="C2" s="14"/>
    </row>
    <row r="3">
      <c r="B3" s="15" t="s">
        <v>137</v>
      </c>
      <c r="C3" s="14"/>
      <c r="E3" s="15" t="s">
        <v>138</v>
      </c>
      <c r="F3" s="14"/>
      <c r="H3" s="16"/>
    </row>
    <row r="4">
      <c r="B4" s="9" t="s">
        <v>139</v>
      </c>
      <c r="C4" s="9" t="s">
        <v>140</v>
      </c>
      <c r="E4" s="9" t="s">
        <v>141</v>
      </c>
      <c r="F4" s="17">
        <v>0.3669</v>
      </c>
      <c r="H4" s="18" t="s">
        <v>142</v>
      </c>
    </row>
    <row r="5">
      <c r="B5" s="9" t="s">
        <v>143</v>
      </c>
      <c r="C5" s="9" t="s">
        <v>144</v>
      </c>
      <c r="E5" s="9" t="s">
        <v>145</v>
      </c>
      <c r="F5" s="17">
        <v>0.4205</v>
      </c>
      <c r="H5" s="19" t="s">
        <v>146</v>
      </c>
    </row>
    <row r="6">
      <c r="B6" s="9" t="s">
        <v>147</v>
      </c>
      <c r="C6" s="9">
        <v>29.96</v>
      </c>
      <c r="E6" s="9" t="s">
        <v>148</v>
      </c>
      <c r="F6" s="14"/>
      <c r="H6" s="20" t="s">
        <v>55</v>
      </c>
    </row>
    <row r="7">
      <c r="B7" s="9" t="s">
        <v>149</v>
      </c>
      <c r="C7" s="9">
        <v>28.82</v>
      </c>
      <c r="E7" s="9" t="s">
        <v>150</v>
      </c>
      <c r="F7" s="17">
        <v>0.1492</v>
      </c>
      <c r="H7" s="21">
        <v>8.0E-4</v>
      </c>
      <c r="I7" s="22" t="s">
        <v>151</v>
      </c>
    </row>
    <row r="8">
      <c r="B8" s="9" t="s">
        <v>152</v>
      </c>
      <c r="C8" s="9">
        <v>2.15</v>
      </c>
      <c r="E8" s="9" t="s">
        <v>153</v>
      </c>
      <c r="F8" s="17">
        <v>0.4715</v>
      </c>
      <c r="H8" s="21">
        <v>0.7223</v>
      </c>
      <c r="I8" s="22" t="s">
        <v>154</v>
      </c>
    </row>
    <row r="9">
      <c r="B9" s="9" t="s">
        <v>155</v>
      </c>
      <c r="C9" s="9">
        <v>11.0</v>
      </c>
      <c r="E9" s="15" t="s">
        <v>156</v>
      </c>
      <c r="F9" s="14"/>
      <c r="H9" s="21">
        <v>0.7229</v>
      </c>
      <c r="I9" s="22" t="s">
        <v>157</v>
      </c>
    </row>
    <row r="10">
      <c r="B10" s="9" t="s">
        <v>158</v>
      </c>
      <c r="C10" s="9">
        <v>12.95</v>
      </c>
      <c r="E10" s="9" t="s">
        <v>159</v>
      </c>
      <c r="F10" s="9" t="s">
        <v>160</v>
      </c>
      <c r="H10" s="23">
        <v>5918.0</v>
      </c>
      <c r="I10" s="22" t="s">
        <v>161</v>
      </c>
    </row>
    <row r="11">
      <c r="B11" s="9" t="s">
        <v>162</v>
      </c>
      <c r="C11" s="9">
        <v>10.66</v>
      </c>
      <c r="E11" s="9" t="s">
        <v>163</v>
      </c>
      <c r="F11" s="9">
        <v>26.45</v>
      </c>
    </row>
    <row r="12">
      <c r="B12" s="9" t="s">
        <v>164</v>
      </c>
      <c r="C12" s="9">
        <v>21.08</v>
      </c>
      <c r="E12" s="9" t="s">
        <v>165</v>
      </c>
      <c r="F12" s="17">
        <v>0.124</v>
      </c>
    </row>
    <row r="13">
      <c r="E13" s="9" t="s">
        <v>166</v>
      </c>
      <c r="F13" s="9" t="s">
        <v>167</v>
      </c>
    </row>
    <row r="14">
      <c r="B14" s="24" t="s">
        <v>168</v>
      </c>
      <c r="C14" s="14"/>
      <c r="E14" s="9" t="s">
        <v>46</v>
      </c>
      <c r="F14" s="9" t="s">
        <v>169</v>
      </c>
    </row>
    <row r="15">
      <c r="B15" s="14" t="s">
        <v>170</v>
      </c>
      <c r="C15" s="14">
        <v>0.93</v>
      </c>
      <c r="E15" s="9" t="s">
        <v>171</v>
      </c>
      <c r="F15" s="9" t="s">
        <v>172</v>
      </c>
    </row>
    <row r="16">
      <c r="B16" s="14" t="s">
        <v>173</v>
      </c>
      <c r="C16" s="25">
        <v>-0.0091</v>
      </c>
      <c r="E16" s="9" t="s">
        <v>174</v>
      </c>
      <c r="F16" s="9">
        <v>9.65</v>
      </c>
    </row>
    <row r="17">
      <c r="B17" s="14" t="s">
        <v>175</v>
      </c>
      <c r="C17" s="25">
        <v>-0.0445</v>
      </c>
      <c r="E17" s="9" t="s">
        <v>176</v>
      </c>
      <c r="F17" s="17">
        <v>0.017</v>
      </c>
    </row>
    <row r="18">
      <c r="B18" s="14" t="s">
        <v>177</v>
      </c>
      <c r="C18" s="14">
        <v>349.67</v>
      </c>
      <c r="E18" s="15" t="s">
        <v>178</v>
      </c>
      <c r="F18" s="14"/>
    </row>
    <row r="19">
      <c r="B19" s="14" t="s">
        <v>179</v>
      </c>
      <c r="C19" s="14">
        <v>241.51</v>
      </c>
      <c r="E19" s="9" t="s">
        <v>180</v>
      </c>
      <c r="F19" s="9" t="s">
        <v>181</v>
      </c>
    </row>
    <row r="20">
      <c r="B20" s="14" t="s">
        <v>182</v>
      </c>
      <c r="C20" s="14">
        <v>265.08</v>
      </c>
      <c r="E20" s="9" t="s">
        <v>183</v>
      </c>
      <c r="F20" s="9">
        <v>14.05</v>
      </c>
    </row>
    <row r="21">
      <c r="B21" s="14" t="s">
        <v>184</v>
      </c>
      <c r="C21" s="14">
        <v>294.55</v>
      </c>
      <c r="E21" s="9" t="s">
        <v>185</v>
      </c>
      <c r="F21" s="9" t="s">
        <v>186</v>
      </c>
    </row>
    <row r="22">
      <c r="B22" s="24" t="s">
        <v>187</v>
      </c>
      <c r="C22" s="14"/>
      <c r="E22" s="9" t="s">
        <v>188</v>
      </c>
      <c r="F22" s="9">
        <v>47.08</v>
      </c>
    </row>
    <row r="23">
      <c r="B23" s="14" t="s">
        <v>189</v>
      </c>
      <c r="C23" s="14" t="s">
        <v>190</v>
      </c>
      <c r="E23" s="9" t="s">
        <v>191</v>
      </c>
      <c r="F23" s="9">
        <v>1.78</v>
      </c>
    </row>
    <row r="24">
      <c r="B24" s="14" t="s">
        <v>192</v>
      </c>
      <c r="C24" s="14" t="s">
        <v>193</v>
      </c>
      <c r="E24" s="9" t="s">
        <v>194</v>
      </c>
      <c r="F24" s="9">
        <v>22.31</v>
      </c>
    </row>
    <row r="25">
      <c r="B25" s="14" t="s">
        <v>195</v>
      </c>
      <c r="C25" s="14" t="s">
        <v>196</v>
      </c>
      <c r="E25" s="15" t="s">
        <v>197</v>
      </c>
      <c r="F25" s="14"/>
    </row>
    <row r="26">
      <c r="B26" s="14" t="s">
        <v>198</v>
      </c>
      <c r="C26" s="14" t="s">
        <v>199</v>
      </c>
      <c r="E26" s="9" t="s">
        <v>200</v>
      </c>
      <c r="F26" s="9" t="s">
        <v>201</v>
      </c>
    </row>
    <row r="27">
      <c r="B27" s="9" t="s">
        <v>202</v>
      </c>
      <c r="C27" s="14" t="s">
        <v>203</v>
      </c>
      <c r="E27" s="9" t="s">
        <v>204</v>
      </c>
      <c r="F27" s="9" t="s">
        <v>205</v>
      </c>
    </row>
    <row r="28">
      <c r="B28" s="14" t="s">
        <v>206</v>
      </c>
      <c r="C28" s="25">
        <v>8.0E-4</v>
      </c>
    </row>
    <row r="29">
      <c r="B29" s="14" t="s">
        <v>207</v>
      </c>
      <c r="C29" s="25">
        <v>0.7223</v>
      </c>
    </row>
    <row r="30">
      <c r="B30" s="14" t="s">
        <v>208</v>
      </c>
      <c r="C30" s="14" t="s">
        <v>209</v>
      </c>
    </row>
    <row r="31">
      <c r="B31" s="14" t="s">
        <v>210</v>
      </c>
      <c r="C31" s="14">
        <v>1.43</v>
      </c>
    </row>
    <row r="32">
      <c r="B32" s="14" t="s">
        <v>211</v>
      </c>
      <c r="C32" s="25">
        <v>0.0051</v>
      </c>
    </row>
    <row r="33">
      <c r="B33" s="14" t="s">
        <v>212</v>
      </c>
      <c r="C33" s="25">
        <v>0.0051</v>
      </c>
    </row>
    <row r="34">
      <c r="B34" s="14" t="s">
        <v>213</v>
      </c>
      <c r="C34" s="14" t="s">
        <v>214</v>
      </c>
    </row>
    <row r="35">
      <c r="B35" s="24" t="s">
        <v>215</v>
      </c>
      <c r="C35" s="14"/>
    </row>
    <row r="36">
      <c r="B36" s="14" t="s">
        <v>216</v>
      </c>
      <c r="C36" s="14">
        <v>2.48</v>
      </c>
    </row>
    <row r="37">
      <c r="B37" s="14" t="s">
        <v>217</v>
      </c>
      <c r="C37" s="25">
        <v>0.0085</v>
      </c>
    </row>
    <row r="38">
      <c r="B38" s="14" t="s">
        <v>218</v>
      </c>
      <c r="C38" s="14">
        <v>2.48</v>
      </c>
    </row>
    <row r="39">
      <c r="B39" s="14" t="s">
        <v>219</v>
      </c>
      <c r="C39" s="25">
        <v>0.0086</v>
      </c>
    </row>
    <row r="40">
      <c r="B40" s="14" t="s">
        <v>220</v>
      </c>
      <c r="C40" s="14">
        <v>1.23</v>
      </c>
    </row>
    <row r="41">
      <c r="B41" s="14" t="s">
        <v>221</v>
      </c>
      <c r="C41" s="25">
        <v>0.2508</v>
      </c>
    </row>
    <row r="42">
      <c r="B42" s="14" t="s">
        <v>222</v>
      </c>
      <c r="C42" s="14" t="s">
        <v>223</v>
      </c>
    </row>
    <row r="43">
      <c r="B43" s="14" t="s">
        <v>224</v>
      </c>
      <c r="C43" s="14" t="s">
        <v>225</v>
      </c>
    </row>
    <row r="44">
      <c r="B44" s="14" t="s">
        <v>226</v>
      </c>
      <c r="C44" s="14" t="s">
        <v>227</v>
      </c>
    </row>
    <row r="45">
      <c r="B45" s="14" t="s">
        <v>228</v>
      </c>
      <c r="C45" s="26">
        <v>37670.0</v>
      </c>
    </row>
    <row r="48">
      <c r="C48" s="27"/>
    </row>
    <row r="49">
      <c r="C49" s="27"/>
    </row>
    <row r="51">
      <c r="C51" s="28"/>
    </row>
    <row r="52">
      <c r="C52" s="28"/>
    </row>
    <row r="54">
      <c r="C54" s="28"/>
    </row>
    <row r="55">
      <c r="C55" s="28"/>
    </row>
    <row r="59">
      <c r="C59" s="28"/>
    </row>
    <row r="64">
      <c r="C64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6.13"/>
    <col customWidth="1" min="3" max="3" width="17.63"/>
    <col customWidth="1" min="4" max="4" width="15.38"/>
    <col customWidth="1" min="5" max="5" width="18.0"/>
    <col customWidth="1" min="6" max="6" width="17.0"/>
  </cols>
  <sheetData>
    <row r="3">
      <c r="B3" s="15" t="s">
        <v>229</v>
      </c>
      <c r="C3" s="9" t="s">
        <v>230</v>
      </c>
      <c r="D3" s="9" t="s">
        <v>231</v>
      </c>
      <c r="E3" s="9" t="s">
        <v>232</v>
      </c>
      <c r="F3" s="9" t="s">
        <v>233</v>
      </c>
    </row>
    <row r="4">
      <c r="B4" s="9" t="s">
        <v>234</v>
      </c>
      <c r="C4" s="9">
        <v>26.0</v>
      </c>
      <c r="D4" s="9">
        <v>25.0</v>
      </c>
      <c r="E4" s="9">
        <v>40.0</v>
      </c>
      <c r="F4" s="9">
        <v>32.0</v>
      </c>
    </row>
    <row r="5">
      <c r="B5" s="9" t="s">
        <v>235</v>
      </c>
      <c r="C5" s="9">
        <v>2.34</v>
      </c>
      <c r="D5" s="9">
        <v>2.59</v>
      </c>
      <c r="E5" s="9">
        <v>10.34</v>
      </c>
      <c r="F5" s="9">
        <v>12.11</v>
      </c>
    </row>
    <row r="6">
      <c r="B6" s="9" t="s">
        <v>236</v>
      </c>
      <c r="C6" s="9">
        <v>2.25</v>
      </c>
      <c r="D6" s="9">
        <v>2.43</v>
      </c>
      <c r="E6" s="9">
        <v>9.93</v>
      </c>
      <c r="F6" s="9">
        <v>11.42</v>
      </c>
    </row>
    <row r="7">
      <c r="B7" s="9" t="s">
        <v>237</v>
      </c>
      <c r="C7" s="9">
        <v>2.52</v>
      </c>
      <c r="D7" s="9">
        <v>2.8</v>
      </c>
      <c r="E7" s="9">
        <v>11.2</v>
      </c>
      <c r="F7" s="9">
        <v>13.27</v>
      </c>
    </row>
    <row r="8">
      <c r="B8" s="9" t="s">
        <v>238</v>
      </c>
      <c r="C8" s="9">
        <v>2.27</v>
      </c>
      <c r="D8" s="9">
        <v>2.48</v>
      </c>
      <c r="E8" s="9">
        <v>9.21</v>
      </c>
      <c r="F8" s="9">
        <v>10.34</v>
      </c>
    </row>
    <row r="9">
      <c r="B9" s="15" t="s">
        <v>239</v>
      </c>
      <c r="C9" s="9" t="s">
        <v>230</v>
      </c>
      <c r="D9" s="9" t="s">
        <v>231</v>
      </c>
      <c r="E9" s="9" t="s">
        <v>232</v>
      </c>
      <c r="F9" s="9" t="s">
        <v>233</v>
      </c>
    </row>
    <row r="10">
      <c r="B10" s="9" t="s">
        <v>234</v>
      </c>
      <c r="C10" s="9">
        <v>28.0</v>
      </c>
      <c r="D10" s="9">
        <v>28.0</v>
      </c>
      <c r="E10" s="9">
        <v>40.0</v>
      </c>
      <c r="F10" s="9">
        <v>37.0</v>
      </c>
    </row>
    <row r="11">
      <c r="B11" s="9" t="s">
        <v>235</v>
      </c>
      <c r="C11" s="9" t="s">
        <v>240</v>
      </c>
      <c r="D11" s="9" t="s">
        <v>241</v>
      </c>
      <c r="E11" s="9" t="s">
        <v>242</v>
      </c>
      <c r="F11" s="9" t="s">
        <v>243</v>
      </c>
    </row>
    <row r="12">
      <c r="B12" s="9" t="s">
        <v>236</v>
      </c>
      <c r="C12" s="9" t="s">
        <v>244</v>
      </c>
      <c r="D12" s="9" t="s">
        <v>245</v>
      </c>
      <c r="E12" s="9" t="s">
        <v>246</v>
      </c>
      <c r="F12" s="9" t="s">
        <v>247</v>
      </c>
    </row>
    <row r="13">
      <c r="B13" s="9" t="s">
        <v>237</v>
      </c>
      <c r="C13" s="9" t="s">
        <v>248</v>
      </c>
      <c r="D13" s="9" t="s">
        <v>249</v>
      </c>
      <c r="E13" s="9" t="s">
        <v>250</v>
      </c>
      <c r="F13" s="9" t="s">
        <v>251</v>
      </c>
    </row>
    <row r="14">
      <c r="B14" s="9" t="s">
        <v>252</v>
      </c>
      <c r="C14" s="9" t="s">
        <v>199</v>
      </c>
      <c r="D14" s="9" t="s">
        <v>199</v>
      </c>
      <c r="E14" s="9" t="s">
        <v>160</v>
      </c>
      <c r="F14" s="9" t="s">
        <v>242</v>
      </c>
    </row>
    <row r="15">
      <c r="B15" s="9" t="s">
        <v>253</v>
      </c>
      <c r="C15" s="9" t="s">
        <v>199</v>
      </c>
      <c r="D15" s="9" t="s">
        <v>199</v>
      </c>
      <c r="E15" s="17">
        <v>0.114</v>
      </c>
      <c r="F15" s="17">
        <v>0.139</v>
      </c>
    </row>
    <row r="16">
      <c r="B16" s="15" t="s">
        <v>254</v>
      </c>
      <c r="C16" s="9" t="s">
        <v>255</v>
      </c>
      <c r="D16" s="9" t="s">
        <v>256</v>
      </c>
      <c r="E16" s="9" t="s">
        <v>257</v>
      </c>
      <c r="F16" s="9" t="s">
        <v>258</v>
      </c>
    </row>
    <row r="17">
      <c r="B17" s="9" t="s">
        <v>259</v>
      </c>
      <c r="C17" s="9">
        <v>2.07</v>
      </c>
      <c r="D17" s="9">
        <v>2.31</v>
      </c>
      <c r="E17" s="9">
        <v>2.18</v>
      </c>
      <c r="F17" s="9">
        <v>2.29</v>
      </c>
    </row>
    <row r="18">
      <c r="B18" s="9" t="s">
        <v>260</v>
      </c>
      <c r="C18" s="9">
        <v>2.27</v>
      </c>
      <c r="D18" s="9">
        <v>2.48</v>
      </c>
      <c r="E18" s="9">
        <v>2.22</v>
      </c>
      <c r="F18" s="9">
        <v>2.23</v>
      </c>
    </row>
    <row r="19">
      <c r="B19" s="9" t="s">
        <v>261</v>
      </c>
      <c r="C19" s="9">
        <v>0.2</v>
      </c>
      <c r="D19" s="9">
        <v>0.17</v>
      </c>
      <c r="E19" s="9">
        <v>0.04</v>
      </c>
      <c r="F19" s="9">
        <v>-0.06</v>
      </c>
    </row>
    <row r="20">
      <c r="B20" s="9" t="s">
        <v>262</v>
      </c>
      <c r="C20" s="17">
        <v>0.097</v>
      </c>
      <c r="D20" s="17">
        <v>0.074</v>
      </c>
      <c r="E20" s="17">
        <v>0.018</v>
      </c>
      <c r="F20" s="17">
        <v>-0.026</v>
      </c>
    </row>
    <row r="21">
      <c r="B21" s="15" t="s">
        <v>263</v>
      </c>
      <c r="C21" s="9" t="s">
        <v>230</v>
      </c>
      <c r="D21" s="9" t="s">
        <v>231</v>
      </c>
      <c r="E21" s="9" t="s">
        <v>232</v>
      </c>
      <c r="F21" s="9" t="s">
        <v>233</v>
      </c>
    </row>
    <row r="22">
      <c r="B22" s="9" t="s">
        <v>264</v>
      </c>
      <c r="C22" s="9">
        <v>2.34</v>
      </c>
      <c r="D22" s="9">
        <v>2.59</v>
      </c>
      <c r="E22" s="9">
        <v>10.34</v>
      </c>
      <c r="F22" s="9">
        <v>12.11</v>
      </c>
    </row>
    <row r="23">
      <c r="B23" s="9" t="s">
        <v>265</v>
      </c>
      <c r="C23" s="9">
        <v>2.34</v>
      </c>
      <c r="D23" s="9">
        <v>2.59</v>
      </c>
      <c r="E23" s="9">
        <v>10.34</v>
      </c>
      <c r="F23" s="9">
        <v>12.11</v>
      </c>
    </row>
    <row r="24">
      <c r="B24" s="9" t="s">
        <v>266</v>
      </c>
      <c r="C24" s="9">
        <v>2.49</v>
      </c>
      <c r="D24" s="9">
        <v>2.75</v>
      </c>
      <c r="E24" s="9">
        <v>10.73</v>
      </c>
      <c r="F24" s="9">
        <v>12.5</v>
      </c>
    </row>
    <row r="25">
      <c r="B25" s="9" t="s">
        <v>267</v>
      </c>
      <c r="C25" s="9">
        <v>2.5</v>
      </c>
      <c r="D25" s="9">
        <v>2.76</v>
      </c>
      <c r="E25" s="9">
        <v>10.75</v>
      </c>
      <c r="F25" s="9">
        <v>12.53</v>
      </c>
    </row>
    <row r="26">
      <c r="B26" s="9" t="s">
        <v>268</v>
      </c>
      <c r="C26" s="9">
        <v>2.51</v>
      </c>
      <c r="D26" s="9">
        <v>2.76</v>
      </c>
      <c r="E26" s="9">
        <v>10.78</v>
      </c>
      <c r="F26" s="9">
        <v>12.55</v>
      </c>
    </row>
    <row r="27">
      <c r="B27" s="15" t="s">
        <v>269</v>
      </c>
      <c r="C27" s="9" t="s">
        <v>230</v>
      </c>
      <c r="D27" s="9" t="s">
        <v>231</v>
      </c>
      <c r="E27" s="9" t="s">
        <v>232</v>
      </c>
      <c r="F27" s="9" t="s">
        <v>233</v>
      </c>
    </row>
    <row r="28">
      <c r="B28" s="9" t="s">
        <v>270</v>
      </c>
      <c r="C28" s="9">
        <v>1.0</v>
      </c>
      <c r="D28" s="9">
        <v>1.0</v>
      </c>
      <c r="E28" s="9">
        <v>1.0</v>
      </c>
      <c r="F28" s="9">
        <v>1.0</v>
      </c>
    </row>
    <row r="29">
      <c r="B29" s="9" t="s">
        <v>271</v>
      </c>
      <c r="C29" s="9">
        <v>1.0</v>
      </c>
      <c r="D29" s="9">
        <v>1.0</v>
      </c>
      <c r="E29" s="9">
        <v>2.0</v>
      </c>
      <c r="F29" s="9">
        <v>2.0</v>
      </c>
    </row>
    <row r="30">
      <c r="B30" s="9" t="s">
        <v>272</v>
      </c>
      <c r="C30" s="9" t="s">
        <v>199</v>
      </c>
      <c r="D30" s="9" t="s">
        <v>199</v>
      </c>
      <c r="E30" s="9" t="s">
        <v>199</v>
      </c>
      <c r="F30" s="9" t="s">
        <v>199</v>
      </c>
    </row>
    <row r="31">
      <c r="B31" s="9" t="s">
        <v>273</v>
      </c>
      <c r="C31" s="9">
        <v>23.0</v>
      </c>
      <c r="D31" s="9">
        <v>23.0</v>
      </c>
      <c r="E31" s="9">
        <v>30.0</v>
      </c>
      <c r="F31" s="9">
        <v>22.0</v>
      </c>
    </row>
    <row r="32">
      <c r="B32" s="15" t="s">
        <v>274</v>
      </c>
      <c r="C32" s="9" t="s">
        <v>275</v>
      </c>
      <c r="D32" s="9" t="s">
        <v>276</v>
      </c>
      <c r="E32" s="9" t="s">
        <v>277</v>
      </c>
      <c r="F32" s="9" t="s">
        <v>278</v>
      </c>
    </row>
    <row r="33">
      <c r="B33" s="9" t="s">
        <v>279</v>
      </c>
      <c r="C33" s="17">
        <v>0.031</v>
      </c>
      <c r="D33" s="9" t="s">
        <v>199</v>
      </c>
      <c r="E33" s="9" t="s">
        <v>199</v>
      </c>
      <c r="F33" s="9" t="s">
        <v>199</v>
      </c>
    </row>
    <row r="34">
      <c r="B34" s="9" t="s">
        <v>280</v>
      </c>
      <c r="C34" s="17">
        <v>0.044</v>
      </c>
      <c r="D34" s="9" t="s">
        <v>199</v>
      </c>
      <c r="E34" s="9" t="s">
        <v>199</v>
      </c>
      <c r="F34" s="9" t="s">
        <v>199</v>
      </c>
    </row>
    <row r="35">
      <c r="B35" s="9" t="s">
        <v>281</v>
      </c>
      <c r="C35" s="17">
        <v>0.123</v>
      </c>
      <c r="D35" s="9" t="s">
        <v>199</v>
      </c>
      <c r="E35" s="9" t="s">
        <v>199</v>
      </c>
      <c r="F35" s="9" t="s">
        <v>199</v>
      </c>
    </row>
    <row r="36">
      <c r="B36" s="9" t="s">
        <v>282</v>
      </c>
      <c r="C36" s="17">
        <v>0.171</v>
      </c>
      <c r="D36" s="9" t="s">
        <v>199</v>
      </c>
      <c r="E36" s="9" t="s">
        <v>199</v>
      </c>
      <c r="F36" s="9" t="s">
        <v>199</v>
      </c>
    </row>
    <row r="37">
      <c r="B37" s="9" t="s">
        <v>283</v>
      </c>
      <c r="C37" s="17">
        <v>0.1541</v>
      </c>
      <c r="D37" s="9" t="s">
        <v>199</v>
      </c>
      <c r="E37" s="9" t="s">
        <v>199</v>
      </c>
      <c r="F37" s="9" t="s">
        <v>199</v>
      </c>
    </row>
    <row r="38">
      <c r="B38" s="9" t="s">
        <v>284</v>
      </c>
      <c r="C38" s="17">
        <v>0.239</v>
      </c>
      <c r="D38" s="9" t="s">
        <v>199</v>
      </c>
      <c r="E38" s="9" t="s">
        <v>199</v>
      </c>
      <c r="F38" s="9" t="s">
        <v>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63"/>
    <col customWidth="1" min="3" max="3" width="21.0"/>
    <col customWidth="1" min="4" max="4" width="17.88"/>
    <col customWidth="1" min="5" max="5" width="20.63"/>
    <col customWidth="1" min="15" max="15" width="24.0"/>
  </cols>
  <sheetData>
    <row r="4">
      <c r="B4" s="29" t="s">
        <v>285</v>
      </c>
    </row>
    <row r="5">
      <c r="B5" s="30"/>
    </row>
    <row r="6">
      <c r="B6" s="31"/>
      <c r="C6" s="32" t="s">
        <v>286</v>
      </c>
      <c r="D6" s="33"/>
      <c r="E6" s="33"/>
    </row>
    <row r="7">
      <c r="B7" s="34" t="s">
        <v>287</v>
      </c>
      <c r="C7" s="35" t="s">
        <v>288</v>
      </c>
      <c r="D7" s="36" t="s">
        <v>289</v>
      </c>
      <c r="E7" s="36" t="s">
        <v>290</v>
      </c>
    </row>
    <row r="8">
      <c r="B8" s="37" t="s">
        <v>291</v>
      </c>
      <c r="C8" s="38">
        <v>14691.0</v>
      </c>
      <c r="D8" s="38">
        <v>17375.0</v>
      </c>
      <c r="E8" s="38">
        <v>14086.0</v>
      </c>
    </row>
    <row r="9">
      <c r="B9" s="37" t="s">
        <v>292</v>
      </c>
      <c r="C9" s="38">
        <v>16600.0</v>
      </c>
      <c r="D9" s="38">
        <v>20909.0</v>
      </c>
      <c r="E9" s="38">
        <v>14356.0</v>
      </c>
    </row>
    <row r="10">
      <c r="B10" s="39" t="s">
        <v>293</v>
      </c>
      <c r="C10" s="40">
        <v>0.13</v>
      </c>
      <c r="D10" s="40">
        <v>0.2</v>
      </c>
      <c r="E10" s="40">
        <v>0.02</v>
      </c>
      <c r="W10" s="41"/>
      <c r="X10" s="41"/>
      <c r="Y10" s="41"/>
    </row>
    <row r="11">
      <c r="B11" s="37" t="s">
        <v>294</v>
      </c>
      <c r="C11" s="38">
        <v>-584.0</v>
      </c>
      <c r="D11" s="38">
        <v>-728.0</v>
      </c>
      <c r="E11" s="38">
        <v>-373.0</v>
      </c>
    </row>
    <row r="15">
      <c r="B15" s="42" t="s">
        <v>295</v>
      </c>
      <c r="C15" s="43" t="s">
        <v>296</v>
      </c>
      <c r="D15" s="43" t="s">
        <v>297</v>
      </c>
      <c r="E15" s="43" t="s">
        <v>298</v>
      </c>
      <c r="F15" s="43" t="s">
        <v>299</v>
      </c>
      <c r="G15" s="43" t="s">
        <v>300</v>
      </c>
      <c r="H15" s="44"/>
      <c r="I15" s="43" t="s">
        <v>301</v>
      </c>
      <c r="J15" s="43" t="s">
        <v>302</v>
      </c>
      <c r="K15" s="43" t="s">
        <v>303</v>
      </c>
      <c r="L15" s="43" t="s">
        <v>304</v>
      </c>
      <c r="M15" s="43" t="s">
        <v>305</v>
      </c>
      <c r="O15" s="42" t="s">
        <v>295</v>
      </c>
      <c r="P15" s="45" t="s">
        <v>306</v>
      </c>
      <c r="Q15" s="45" t="s">
        <v>307</v>
      </c>
      <c r="R15" s="45" t="s">
        <v>308</v>
      </c>
      <c r="S15" s="45" t="s">
        <v>309</v>
      </c>
      <c r="T15" s="46" t="s">
        <v>310</v>
      </c>
      <c r="V15" s="47" t="s">
        <v>156</v>
      </c>
      <c r="W15" s="48" t="s">
        <v>311</v>
      </c>
      <c r="X15" s="48" t="s">
        <v>312</v>
      </c>
      <c r="Y15" s="49" t="s">
        <v>306</v>
      </c>
      <c r="Z15" s="49" t="s">
        <v>307</v>
      </c>
      <c r="AA15" s="49" t="s">
        <v>308</v>
      </c>
      <c r="AB15" s="49" t="s">
        <v>309</v>
      </c>
      <c r="AC15" s="49" t="s">
        <v>310</v>
      </c>
    </row>
    <row r="16">
      <c r="B16" s="42" t="s">
        <v>288</v>
      </c>
      <c r="C16" s="50">
        <v>12319.0</v>
      </c>
      <c r="D16" s="50">
        <v>13353.0</v>
      </c>
      <c r="E16" s="50">
        <v>13552.0</v>
      </c>
      <c r="F16" s="50">
        <v>14691.0</v>
      </c>
      <c r="G16" s="50">
        <v>53915.0</v>
      </c>
      <c r="H16" s="51"/>
      <c r="I16" s="50">
        <v>15039.0</v>
      </c>
      <c r="J16" s="50">
        <v>15936.0</v>
      </c>
      <c r="K16" s="50">
        <v>15789.0</v>
      </c>
      <c r="L16" s="50">
        <v>16600.0</v>
      </c>
      <c r="M16" s="50">
        <v>63364.0</v>
      </c>
      <c r="O16" s="52" t="s">
        <v>288</v>
      </c>
      <c r="P16" s="50"/>
      <c r="Q16" s="50"/>
      <c r="R16" s="50"/>
      <c r="S16" s="50"/>
      <c r="T16" s="53"/>
      <c r="V16" s="54" t="s">
        <v>313</v>
      </c>
      <c r="W16" s="55">
        <v>168088.0</v>
      </c>
      <c r="X16" s="55">
        <v>198270.0</v>
      </c>
      <c r="Y16" s="56">
        <f t="shared" ref="Y16:AC16" si="1">P30</f>
        <v>221198.71</v>
      </c>
      <c r="Z16" s="56">
        <f t="shared" si="1"/>
        <v>256144.6468</v>
      </c>
      <c r="AA16" s="56">
        <f t="shared" si="1"/>
        <v>295119.7257</v>
      </c>
      <c r="AB16" s="56">
        <f t="shared" si="1"/>
        <v>337186.6764</v>
      </c>
      <c r="AC16" s="56">
        <f t="shared" si="1"/>
        <v>381374.4307</v>
      </c>
    </row>
    <row r="17">
      <c r="B17" s="57" t="s">
        <v>314</v>
      </c>
      <c r="C17" s="41"/>
      <c r="D17" s="41"/>
      <c r="E17" s="41"/>
      <c r="F17" s="41"/>
      <c r="G17" s="41"/>
      <c r="H17" s="51"/>
      <c r="I17" s="41"/>
      <c r="J17" s="41"/>
      <c r="K17" s="41"/>
      <c r="L17" s="41"/>
      <c r="M17" s="50">
        <v>63364.0</v>
      </c>
      <c r="O17" s="58" t="s">
        <v>314</v>
      </c>
      <c r="P17" s="41">
        <f t="shared" ref="P17:P19" si="5">(P44*M16)/100 + M16</f>
        <v>68749.94</v>
      </c>
      <c r="Q17" s="41">
        <f t="shared" ref="Q17:R17" si="2">(P17*Q44)/100 + P17</f>
        <v>76312.4334</v>
      </c>
      <c r="R17" s="41">
        <f t="shared" si="2"/>
        <v>86233.04974</v>
      </c>
      <c r="S17" s="41">
        <f t="shared" ref="S17:T17" si="3">R17*S44/100 + R17</f>
        <v>96581.01571</v>
      </c>
      <c r="T17" s="59">
        <f t="shared" si="3"/>
        <v>108170.7376</v>
      </c>
      <c r="V17" s="60" t="s">
        <v>293</v>
      </c>
      <c r="W17" s="61">
        <v>0.1753</v>
      </c>
      <c r="X17" s="61">
        <v>0.1795</v>
      </c>
      <c r="Y17" s="62">
        <f>(Y16-198270)/198270</f>
        <v>0.1156438695</v>
      </c>
      <c r="Z17" s="62">
        <f t="shared" ref="Z17:AC17" si="4">(Z16-Y16)/Y16</f>
        <v>0.1579843608</v>
      </c>
      <c r="AA17" s="62">
        <f t="shared" si="4"/>
        <v>0.1521604273</v>
      </c>
      <c r="AB17" s="62">
        <f t="shared" si="4"/>
        <v>0.1425419823</v>
      </c>
      <c r="AC17" s="62">
        <f t="shared" si="4"/>
        <v>0.13104834</v>
      </c>
    </row>
    <row r="18">
      <c r="B18" s="63" t="s">
        <v>315</v>
      </c>
      <c r="C18" s="41"/>
      <c r="D18" s="41"/>
      <c r="E18" s="41"/>
      <c r="F18" s="41"/>
      <c r="G18" s="41"/>
      <c r="H18" s="51"/>
      <c r="I18" s="41"/>
      <c r="J18" s="41"/>
      <c r="K18" s="41"/>
      <c r="L18" s="41"/>
      <c r="M18" s="50">
        <v>63364.0</v>
      </c>
      <c r="O18" s="64" t="s">
        <v>315</v>
      </c>
      <c r="P18" s="41">
        <f t="shared" si="5"/>
        <v>70334.04</v>
      </c>
      <c r="Q18" s="41">
        <f t="shared" ref="Q18:R18" si="6">(P18*Q45)/100 + P18</f>
        <v>80884.146</v>
      </c>
      <c r="R18" s="41">
        <f t="shared" si="6"/>
        <v>94634.45082</v>
      </c>
      <c r="S18" s="41">
        <f t="shared" ref="S18:T18" si="7">R18*S45/100 + R18</f>
        <v>108829.6184</v>
      </c>
      <c r="T18" s="59">
        <f t="shared" si="7"/>
        <v>124065.765</v>
      </c>
      <c r="V18" s="65"/>
      <c r="W18" s="65"/>
      <c r="X18" s="65"/>
      <c r="Y18" s="65"/>
      <c r="Z18" s="65"/>
      <c r="AA18" s="65"/>
      <c r="AB18" s="65"/>
      <c r="AC18" s="65"/>
    </row>
    <row r="19">
      <c r="B19" s="66" t="s">
        <v>316</v>
      </c>
      <c r="C19" s="41"/>
      <c r="D19" s="41"/>
      <c r="E19" s="41"/>
      <c r="F19" s="41"/>
      <c r="G19" s="41"/>
      <c r="H19" s="51"/>
      <c r="I19" s="41"/>
      <c r="J19" s="41"/>
      <c r="K19" s="41"/>
      <c r="L19" s="41"/>
      <c r="M19" s="50"/>
      <c r="O19" s="67" t="s">
        <v>316</v>
      </c>
      <c r="P19" s="41">
        <f t="shared" si="5"/>
        <v>71918.14</v>
      </c>
      <c r="Q19" s="41">
        <f t="shared" ref="Q19:R19" si="8">(P19*Q46)/100 + P19</f>
        <v>83425.0424</v>
      </c>
      <c r="R19" s="41">
        <f t="shared" si="8"/>
        <v>98441.55003</v>
      </c>
      <c r="S19" s="41">
        <f t="shared" ref="S19:T19" si="9">R19*S46/100 + R19</f>
        <v>114192.198</v>
      </c>
      <c r="T19" s="59">
        <f t="shared" si="9"/>
        <v>131321.0277</v>
      </c>
      <c r="V19" s="54" t="s">
        <v>45</v>
      </c>
      <c r="W19" s="68">
        <v>69916.0</v>
      </c>
      <c r="X19" s="68">
        <v>83383.0</v>
      </c>
      <c r="Y19" s="56">
        <f t="shared" ref="Y19:AC19" si="10">Y16*Y20</f>
        <v>94009.45175</v>
      </c>
      <c r="Z19" s="56">
        <f t="shared" si="10"/>
        <v>110142.1981</v>
      </c>
      <c r="AA19" s="56">
        <f t="shared" si="10"/>
        <v>126901.4821</v>
      </c>
      <c r="AB19" s="56">
        <f t="shared" si="10"/>
        <v>144990.2709</v>
      </c>
      <c r="AC19" s="56">
        <f t="shared" si="10"/>
        <v>167804.7495</v>
      </c>
    </row>
    <row r="20">
      <c r="B20" s="42" t="s">
        <v>289</v>
      </c>
      <c r="C20" s="41">
        <v>12986.0</v>
      </c>
      <c r="D20" s="41">
        <v>14601.0</v>
      </c>
      <c r="E20" s="41">
        <v>15118.0</v>
      </c>
      <c r="F20" s="41">
        <v>17375.0</v>
      </c>
      <c r="G20" s="41">
        <v>60080.0</v>
      </c>
      <c r="H20" s="51"/>
      <c r="I20" s="41">
        <v>16964.0</v>
      </c>
      <c r="J20" s="41">
        <v>18327.0</v>
      </c>
      <c r="K20" s="41">
        <v>19051.0</v>
      </c>
      <c r="L20" s="41">
        <v>20909.0</v>
      </c>
      <c r="M20" s="41">
        <v>75251.0</v>
      </c>
      <c r="O20" s="52" t="s">
        <v>289</v>
      </c>
      <c r="P20" s="41"/>
      <c r="Q20" s="41">
        <f t="shared" ref="Q20:R20" si="11">(P20*Q47)/100 + P20</f>
        <v>0</v>
      </c>
      <c r="R20" s="41">
        <f t="shared" si="11"/>
        <v>0</v>
      </c>
      <c r="S20" s="41">
        <f t="shared" ref="S20:T20" si="12">R20*S47/100 + R20</f>
        <v>0</v>
      </c>
      <c r="T20" s="59">
        <f t="shared" si="12"/>
        <v>0</v>
      </c>
      <c r="V20" s="69" t="s">
        <v>317</v>
      </c>
      <c r="W20" s="62">
        <f t="shared" ref="W20:X20" si="13">W19/W16</f>
        <v>0.4159487887</v>
      </c>
      <c r="X20" s="62">
        <f t="shared" si="13"/>
        <v>0.4205527816</v>
      </c>
      <c r="Y20" s="61">
        <v>0.425</v>
      </c>
      <c r="Z20" s="61">
        <v>0.43</v>
      </c>
      <c r="AA20" s="61">
        <v>0.43</v>
      </c>
      <c r="AB20" s="61">
        <v>0.43</v>
      </c>
      <c r="AC20" s="61">
        <v>0.44</v>
      </c>
    </row>
    <row r="21">
      <c r="B21" s="57" t="s">
        <v>314</v>
      </c>
      <c r="C21" s="41"/>
      <c r="D21" s="41"/>
      <c r="E21" s="41"/>
      <c r="F21" s="41"/>
      <c r="G21" s="41"/>
      <c r="H21" s="51"/>
      <c r="I21" s="41"/>
      <c r="J21" s="41"/>
      <c r="K21" s="41"/>
      <c r="L21" s="41"/>
      <c r="M21" s="41">
        <v>75251.0</v>
      </c>
      <c r="O21" s="58" t="s">
        <v>314</v>
      </c>
      <c r="P21" s="41">
        <f t="shared" ref="P21:P23" si="16">(P48*M20)/100 + M20</f>
        <v>89924.945</v>
      </c>
      <c r="Q21" s="41">
        <f t="shared" ref="Q21:R21" si="14">(P21*Q48)/100 + P21</f>
        <v>107909.934</v>
      </c>
      <c r="R21" s="41">
        <f t="shared" si="14"/>
        <v>128412.8215</v>
      </c>
      <c r="S21" s="41">
        <f t="shared" ref="S21:T21" si="15">R21*S48/100 + R21</f>
        <v>148958.8729</v>
      </c>
      <c r="T21" s="59">
        <f t="shared" si="15"/>
        <v>171302.7038</v>
      </c>
      <c r="V21" s="65"/>
      <c r="W21" s="65"/>
      <c r="X21" s="65"/>
      <c r="Y21" s="65"/>
      <c r="Z21" s="65"/>
      <c r="AA21" s="65"/>
      <c r="AB21" s="65"/>
      <c r="AC21" s="65"/>
    </row>
    <row r="22">
      <c r="B22" s="63" t="s">
        <v>315</v>
      </c>
      <c r="C22" s="41"/>
      <c r="D22" s="41"/>
      <c r="E22" s="41"/>
      <c r="F22" s="41"/>
      <c r="G22" s="41"/>
      <c r="H22" s="51"/>
      <c r="I22" s="41"/>
      <c r="J22" s="41"/>
      <c r="K22" s="41"/>
      <c r="L22" s="41"/>
      <c r="M22" s="41">
        <v>75251.0</v>
      </c>
      <c r="O22" s="64" t="s">
        <v>315</v>
      </c>
      <c r="P22" s="41">
        <f t="shared" si="16"/>
        <v>91806.22</v>
      </c>
      <c r="Q22" s="41">
        <f t="shared" ref="Q22:R22" si="17">(P22*Q49)/100 + P22</f>
        <v>113839.7128</v>
      </c>
      <c r="R22" s="41">
        <f t="shared" si="17"/>
        <v>136607.6554</v>
      </c>
      <c r="S22" s="41">
        <f t="shared" ref="S22:T22" si="18">R22*S49/100 + R22</f>
        <v>162563.1099</v>
      </c>
      <c r="T22" s="59">
        <f t="shared" si="18"/>
        <v>190198.8386</v>
      </c>
      <c r="V22" s="54" t="s">
        <v>318</v>
      </c>
      <c r="W22" s="70">
        <v>9831.0</v>
      </c>
      <c r="X22" s="70">
        <v>10978.0</v>
      </c>
      <c r="Y22" s="71">
        <f t="shared" ref="Y22:AA22" si="19">Y19*Y23</f>
        <v>13161.32325</v>
      </c>
      <c r="Z22" s="71">
        <f t="shared" si="19"/>
        <v>15419.90774</v>
      </c>
      <c r="AA22" s="71">
        <f t="shared" si="19"/>
        <v>17766.20749</v>
      </c>
      <c r="AB22" s="71">
        <f t="shared" ref="AB22:AC22" si="20">AB19* AB23</f>
        <v>20298.63792</v>
      </c>
      <c r="AC22" s="71">
        <f t="shared" si="20"/>
        <v>23492.66493</v>
      </c>
    </row>
    <row r="23">
      <c r="B23" s="66" t="s">
        <v>316</v>
      </c>
      <c r="C23" s="41"/>
      <c r="D23" s="41"/>
      <c r="E23" s="41"/>
      <c r="F23" s="41"/>
      <c r="G23" s="41"/>
      <c r="H23" s="51"/>
      <c r="I23" s="41"/>
      <c r="J23" s="41"/>
      <c r="K23" s="41"/>
      <c r="L23" s="41"/>
      <c r="M23" s="41"/>
      <c r="O23" s="67" t="s">
        <v>316</v>
      </c>
      <c r="P23" s="41">
        <f t="shared" si="16"/>
        <v>92558.73</v>
      </c>
      <c r="Q23" s="41">
        <f t="shared" ref="Q23:R23" si="21">(P23*Q50)/100 + P23</f>
        <v>116623.9998</v>
      </c>
      <c r="R23" s="41">
        <f t="shared" si="21"/>
        <v>143447.5198</v>
      </c>
      <c r="S23" s="41">
        <f t="shared" ref="S23:T23" si="22">R23*S50/100 + R23</f>
        <v>175005.9741</v>
      </c>
      <c r="T23" s="59">
        <f t="shared" si="22"/>
        <v>210007.1689</v>
      </c>
      <c r="V23" s="69" t="s">
        <v>319</v>
      </c>
      <c r="W23" s="62">
        <f t="shared" ref="W23:X23" si="23">W22/W19</f>
        <v>0.1406115911</v>
      </c>
      <c r="X23" s="62">
        <f t="shared" si="23"/>
        <v>0.1316575321</v>
      </c>
      <c r="Y23" s="61">
        <v>0.14</v>
      </c>
      <c r="Z23" s="61">
        <v>0.14</v>
      </c>
      <c r="AA23" s="61">
        <v>0.14</v>
      </c>
      <c r="AB23" s="61">
        <v>0.14</v>
      </c>
      <c r="AC23" s="61">
        <v>0.14</v>
      </c>
    </row>
    <row r="24">
      <c r="B24" s="42" t="s">
        <v>290</v>
      </c>
      <c r="C24" s="41">
        <v>11849.0</v>
      </c>
      <c r="D24" s="41">
        <v>15122.0</v>
      </c>
      <c r="E24" s="41">
        <v>13036.0</v>
      </c>
      <c r="F24" s="41">
        <v>14086.0</v>
      </c>
      <c r="G24" s="41">
        <v>54093.0</v>
      </c>
      <c r="H24" s="51"/>
      <c r="I24" s="41">
        <v>13314.0</v>
      </c>
      <c r="J24" s="41">
        <v>17465.0</v>
      </c>
      <c r="K24" s="41">
        <v>14520.0</v>
      </c>
      <c r="L24" s="41">
        <v>14356.0</v>
      </c>
      <c r="M24" s="41">
        <v>59655.0</v>
      </c>
      <c r="O24" s="52" t="s">
        <v>290</v>
      </c>
      <c r="P24" s="41"/>
      <c r="Q24" s="41">
        <f t="shared" ref="Q24:R24" si="24">(P24*Q51)/100 + P24</f>
        <v>0</v>
      </c>
      <c r="R24" s="41">
        <f t="shared" si="24"/>
        <v>0</v>
      </c>
      <c r="S24" s="41">
        <f t="shared" ref="S24:T24" si="25">R24*S51/100 + R24</f>
        <v>0</v>
      </c>
      <c r="T24" s="59">
        <f t="shared" si="25"/>
        <v>0</v>
      </c>
      <c r="V24" s="65"/>
      <c r="W24" s="65"/>
      <c r="X24" s="65"/>
      <c r="Y24" s="65"/>
      <c r="Z24" s="65"/>
      <c r="AA24" s="65"/>
      <c r="AB24" s="65"/>
      <c r="AC24" s="65"/>
    </row>
    <row r="25">
      <c r="B25" s="57" t="s">
        <v>314</v>
      </c>
      <c r="C25" s="50"/>
      <c r="D25" s="50"/>
      <c r="E25" s="50"/>
      <c r="F25" s="50"/>
      <c r="G25" s="50"/>
      <c r="H25" s="72"/>
      <c r="I25" s="50"/>
      <c r="J25" s="50"/>
      <c r="K25" s="50"/>
      <c r="L25" s="50"/>
      <c r="M25" s="41">
        <v>59655.0</v>
      </c>
      <c r="O25" s="58" t="s">
        <v>314</v>
      </c>
      <c r="P25" s="41">
        <f t="shared" ref="P25:P27" si="28">(P52*M24)/100 + M24</f>
        <v>58461.9</v>
      </c>
      <c r="Q25" s="41">
        <f t="shared" ref="Q25:R25" si="26">(P25*Q52)/100 + P25</f>
        <v>58461.9</v>
      </c>
      <c r="R25" s="41">
        <f t="shared" si="26"/>
        <v>59046.519</v>
      </c>
      <c r="S25" s="41">
        <f t="shared" ref="S25:T25" si="27">R25*S52/100 + R25</f>
        <v>60227.44938</v>
      </c>
      <c r="T25" s="59">
        <f t="shared" si="27"/>
        <v>60829.72387</v>
      </c>
      <c r="V25" s="65"/>
      <c r="W25" s="65"/>
      <c r="X25" s="65"/>
      <c r="Y25" s="65"/>
      <c r="Z25" s="65"/>
      <c r="AA25" s="65"/>
      <c r="AB25" s="65"/>
      <c r="AC25" s="65"/>
    </row>
    <row r="26">
      <c r="B26" s="63" t="s">
        <v>315</v>
      </c>
      <c r="C26" s="50"/>
      <c r="D26" s="50"/>
      <c r="E26" s="50"/>
      <c r="F26" s="50"/>
      <c r="G26" s="50"/>
      <c r="H26" s="72"/>
      <c r="I26" s="50"/>
      <c r="J26" s="50"/>
      <c r="K26" s="50"/>
      <c r="L26" s="50"/>
      <c r="M26" s="41">
        <v>59655.0</v>
      </c>
      <c r="O26" s="64" t="s">
        <v>315</v>
      </c>
      <c r="P26" s="41">
        <f t="shared" si="28"/>
        <v>59058.45</v>
      </c>
      <c r="Q26" s="41">
        <f t="shared" ref="Q26:R26" si="29">(P26*Q53)/100 + P26</f>
        <v>61420.788</v>
      </c>
      <c r="R26" s="41">
        <f t="shared" si="29"/>
        <v>63877.61952</v>
      </c>
      <c r="S26" s="41">
        <f t="shared" ref="S26:T26" si="30">R26*S53/100 + R26</f>
        <v>65793.94811</v>
      </c>
      <c r="T26" s="59">
        <f t="shared" si="30"/>
        <v>67109.82707</v>
      </c>
      <c r="V26" s="73" t="s">
        <v>197</v>
      </c>
      <c r="W26" s="49" t="s">
        <v>311</v>
      </c>
      <c r="X26" s="49" t="s">
        <v>312</v>
      </c>
      <c r="Y26" s="49" t="s">
        <v>306</v>
      </c>
      <c r="Z26" s="49" t="s">
        <v>307</v>
      </c>
      <c r="AA26" s="49" t="s">
        <v>308</v>
      </c>
      <c r="AB26" s="49" t="s">
        <v>309</v>
      </c>
      <c r="AC26" s="49" t="s">
        <v>310</v>
      </c>
    </row>
    <row r="27">
      <c r="B27" s="66" t="s">
        <v>316</v>
      </c>
      <c r="C27" s="50"/>
      <c r="D27" s="50"/>
      <c r="E27" s="50"/>
      <c r="F27" s="50"/>
      <c r="G27" s="50"/>
      <c r="H27" s="72"/>
      <c r="I27" s="50"/>
      <c r="J27" s="50"/>
      <c r="K27" s="50"/>
      <c r="L27" s="50"/>
      <c r="M27" s="41">
        <v>59655.0</v>
      </c>
      <c r="O27" s="67" t="s">
        <v>316</v>
      </c>
      <c r="P27" s="41">
        <f t="shared" si="28"/>
        <v>60251.55</v>
      </c>
      <c r="Q27" s="41">
        <f t="shared" ref="Q27:R27" si="31">(P27*Q54)/100 + P27</f>
        <v>63264.1275</v>
      </c>
      <c r="R27" s="41">
        <f t="shared" si="31"/>
        <v>67059.97515</v>
      </c>
      <c r="S27" s="41">
        <f t="shared" ref="S27:T27" si="32">R27*S54/100 + R27</f>
        <v>70412.97391</v>
      </c>
      <c r="T27" s="59">
        <f t="shared" si="32"/>
        <v>73933.6226</v>
      </c>
      <c r="V27" s="54" t="s">
        <v>320</v>
      </c>
      <c r="W27" s="74">
        <v>11686.0</v>
      </c>
      <c r="X27" s="74">
        <v>14460.0</v>
      </c>
      <c r="Y27" s="74">
        <f t="shared" ref="Y27:AC27" si="33">Y28*Y16</f>
        <v>16509.10474</v>
      </c>
      <c r="Z27" s="71">
        <f t="shared" si="33"/>
        <v>19335.50401</v>
      </c>
      <c r="AA27" s="71">
        <f t="shared" si="33"/>
        <v>22403.31415</v>
      </c>
      <c r="AB27" s="71">
        <f t="shared" si="33"/>
        <v>26974.93411</v>
      </c>
      <c r="AC27" s="71">
        <f t="shared" si="33"/>
        <v>31272.70331</v>
      </c>
    </row>
    <row r="28">
      <c r="B28" s="75" t="s">
        <v>321</v>
      </c>
      <c r="C28" s="76">
        <v>37154.0</v>
      </c>
      <c r="D28" s="76">
        <v>43076.0</v>
      </c>
      <c r="E28" s="76">
        <v>41706.0</v>
      </c>
      <c r="F28" s="76">
        <v>46152.0</v>
      </c>
      <c r="G28" s="76">
        <v>168088.0</v>
      </c>
      <c r="H28" s="72"/>
      <c r="I28" s="76">
        <v>45317.0</v>
      </c>
      <c r="J28" s="76">
        <v>51728.0</v>
      </c>
      <c r="K28" s="76">
        <v>49360.0</v>
      </c>
      <c r="L28" s="76">
        <v>51865.0</v>
      </c>
      <c r="M28" s="77">
        <v>198270.0</v>
      </c>
      <c r="O28" s="78" t="s">
        <v>321</v>
      </c>
      <c r="P28" s="76"/>
      <c r="Q28" s="76"/>
      <c r="R28" s="76"/>
      <c r="S28" s="76"/>
      <c r="T28" s="79"/>
      <c r="V28" s="54" t="s">
        <v>322</v>
      </c>
      <c r="W28" s="62">
        <f t="shared" ref="W28:X28" si="34">W27/W16</f>
        <v>0.06952310694</v>
      </c>
      <c r="X28" s="62">
        <f t="shared" si="34"/>
        <v>0.07293085187</v>
      </c>
      <c r="Y28" s="62">
        <f>(-W28+X28)/2+X28</f>
        <v>0.07463472433</v>
      </c>
      <c r="Z28" s="62">
        <f>(Y28-X28)/2 + Y28</f>
        <v>0.07548666056</v>
      </c>
      <c r="AA28" s="62">
        <f>(Z28-Y28)/2+Z28</f>
        <v>0.07591262868</v>
      </c>
      <c r="AB28" s="61">
        <v>0.08</v>
      </c>
      <c r="AC28" s="61">
        <v>0.082</v>
      </c>
    </row>
    <row r="29">
      <c r="B29" s="72"/>
      <c r="C29" s="72"/>
      <c r="D29" s="80"/>
      <c r="E29" s="72"/>
      <c r="F29" s="80"/>
      <c r="G29" s="80"/>
      <c r="H29" s="80"/>
      <c r="I29" s="80"/>
      <c r="J29" s="80"/>
      <c r="K29" s="72"/>
      <c r="L29" s="72"/>
      <c r="M29" s="72"/>
      <c r="O29" s="81" t="s">
        <v>314</v>
      </c>
      <c r="P29" s="82">
        <f t="shared" ref="P29:T29" si="35">P17+P21+P25</f>
        <v>217136.785</v>
      </c>
      <c r="Q29" s="82">
        <f t="shared" si="35"/>
        <v>242684.2674</v>
      </c>
      <c r="R29" s="82">
        <f t="shared" si="35"/>
        <v>273692.3902</v>
      </c>
      <c r="S29" s="82">
        <f t="shared" si="35"/>
        <v>305767.338</v>
      </c>
      <c r="T29" s="83">
        <f t="shared" si="35"/>
        <v>340303.1653</v>
      </c>
      <c r="V29" s="65"/>
      <c r="W29" s="65"/>
      <c r="X29" s="65"/>
      <c r="Y29" s="65"/>
      <c r="Z29" s="65"/>
      <c r="AA29" s="65"/>
      <c r="AB29" s="65"/>
      <c r="AC29" s="65"/>
    </row>
    <row r="30">
      <c r="B30" s="72"/>
      <c r="C30" s="84"/>
      <c r="D30" s="33"/>
      <c r="E30" s="33"/>
      <c r="F30" s="33"/>
      <c r="G30" s="85"/>
      <c r="H30" s="72"/>
      <c r="I30" s="84"/>
      <c r="J30" s="33"/>
      <c r="K30" s="33"/>
      <c r="L30" s="33"/>
      <c r="M30" s="85"/>
      <c r="O30" s="86" t="s">
        <v>315</v>
      </c>
      <c r="P30" s="82">
        <f t="shared" ref="P30:T30" si="36">P18+P22+P26</f>
        <v>221198.71</v>
      </c>
      <c r="Q30" s="82">
        <f t="shared" si="36"/>
        <v>256144.6468</v>
      </c>
      <c r="R30" s="82">
        <f t="shared" si="36"/>
        <v>295119.7257</v>
      </c>
      <c r="S30" s="82">
        <f t="shared" si="36"/>
        <v>337186.6764</v>
      </c>
      <c r="T30" s="83">
        <f t="shared" si="36"/>
        <v>381374.4307</v>
      </c>
      <c r="V30" s="54" t="s">
        <v>131</v>
      </c>
      <c r="W30" s="74">
        <v>20622.0</v>
      </c>
      <c r="X30" s="74">
        <v>23886.0</v>
      </c>
      <c r="Y30" s="74">
        <f t="shared" ref="Y30:AC30" si="37">Y31*Y16</f>
        <v>26543.8452</v>
      </c>
      <c r="Z30" s="71">
        <f t="shared" si="37"/>
        <v>30737.35762</v>
      </c>
      <c r="AA30" s="71">
        <f t="shared" si="37"/>
        <v>35414.36708</v>
      </c>
      <c r="AB30" s="71">
        <f t="shared" si="37"/>
        <v>40462.40117</v>
      </c>
      <c r="AC30" s="71">
        <f t="shared" si="37"/>
        <v>45764.93168</v>
      </c>
    </row>
    <row r="31">
      <c r="B31" s="42" t="s">
        <v>16</v>
      </c>
      <c r="C31" s="43" t="s">
        <v>296</v>
      </c>
      <c r="D31" s="43" t="s">
        <v>297</v>
      </c>
      <c r="E31" s="43" t="s">
        <v>298</v>
      </c>
      <c r="F31" s="43" t="s">
        <v>299</v>
      </c>
      <c r="G31" s="43" t="s">
        <v>300</v>
      </c>
      <c r="H31" s="87"/>
      <c r="I31" s="43" t="s">
        <v>301</v>
      </c>
      <c r="J31" s="43" t="s">
        <v>302</v>
      </c>
      <c r="K31" s="43" t="s">
        <v>303</v>
      </c>
      <c r="L31" s="43" t="s">
        <v>304</v>
      </c>
      <c r="M31" s="43" t="s">
        <v>305</v>
      </c>
      <c r="O31" s="88" t="s">
        <v>316</v>
      </c>
      <c r="P31" s="82">
        <f t="shared" ref="P31:T31" si="38">P19+P23+P27</f>
        <v>224728.42</v>
      </c>
      <c r="Q31" s="82">
        <f t="shared" si="38"/>
        <v>263313.1697</v>
      </c>
      <c r="R31" s="82">
        <f t="shared" si="38"/>
        <v>308949.0449</v>
      </c>
      <c r="S31" s="82">
        <f t="shared" si="38"/>
        <v>359611.146</v>
      </c>
      <c r="T31" s="83">
        <f t="shared" si="38"/>
        <v>415261.8193</v>
      </c>
      <c r="V31" s="65"/>
      <c r="W31" s="62">
        <f t="shared" ref="W31:X31" si="39">W30/W16</f>
        <v>0.122685736</v>
      </c>
      <c r="X31" s="62">
        <f t="shared" si="39"/>
        <v>0.1204720835</v>
      </c>
      <c r="Y31" s="61">
        <v>0.12</v>
      </c>
      <c r="Z31" s="61">
        <v>0.12</v>
      </c>
      <c r="AA31" s="61">
        <v>0.12</v>
      </c>
      <c r="AB31" s="61">
        <v>0.12</v>
      </c>
      <c r="AC31" s="61">
        <v>0.12</v>
      </c>
    </row>
    <row r="32">
      <c r="B32" s="89" t="s">
        <v>288</v>
      </c>
      <c r="C32" s="50">
        <v>5706.0</v>
      </c>
      <c r="D32" s="50">
        <v>6181.0</v>
      </c>
      <c r="E32" s="50">
        <v>6029.0</v>
      </c>
      <c r="F32" s="50">
        <v>6435.0</v>
      </c>
      <c r="G32" s="50">
        <v>24351.0</v>
      </c>
      <c r="H32" s="51"/>
      <c r="I32" s="50">
        <v>7581.0</v>
      </c>
      <c r="J32" s="50">
        <v>7688.0</v>
      </c>
      <c r="K32" s="50">
        <v>7184.0</v>
      </c>
      <c r="L32" s="50">
        <v>7234.0</v>
      </c>
      <c r="M32" s="50">
        <v>29687.0</v>
      </c>
      <c r="O32" s="90" t="s">
        <v>293</v>
      </c>
      <c r="T32" s="91"/>
      <c r="V32" s="65"/>
      <c r="W32" s="65"/>
      <c r="X32" s="65"/>
      <c r="Y32" s="65"/>
      <c r="Z32" s="65"/>
      <c r="AA32" s="65"/>
      <c r="AB32" s="65"/>
      <c r="AC32" s="65"/>
    </row>
    <row r="33">
      <c r="B33" s="89" t="s">
        <v>289</v>
      </c>
      <c r="C33" s="41">
        <v>5422.0</v>
      </c>
      <c r="D33" s="41">
        <v>6492.0</v>
      </c>
      <c r="E33" s="41">
        <v>6425.0</v>
      </c>
      <c r="F33" s="41">
        <v>7787.0</v>
      </c>
      <c r="G33" s="41">
        <v>26126.0</v>
      </c>
      <c r="H33" s="51"/>
      <c r="I33" s="41">
        <v>7562.0</v>
      </c>
      <c r="J33" s="41">
        <v>8197.0</v>
      </c>
      <c r="K33" s="41">
        <v>8281.0</v>
      </c>
      <c r="L33" s="41">
        <v>8681.0</v>
      </c>
      <c r="M33" s="41">
        <v>32721.0</v>
      </c>
      <c r="O33" s="58" t="s">
        <v>314</v>
      </c>
      <c r="P33" s="92">
        <f t="shared" ref="P33:P35" si="42">(P29-198270)/198270</f>
        <v>0.09515703334</v>
      </c>
      <c r="Q33" s="92">
        <f t="shared" ref="Q33:T33" si="40">(Q29-P29)/P29</f>
        <v>0.1176561696</v>
      </c>
      <c r="R33" s="92">
        <f t="shared" si="40"/>
        <v>0.1277714585</v>
      </c>
      <c r="S33" s="92">
        <f t="shared" si="40"/>
        <v>0.117193422</v>
      </c>
      <c r="T33" s="91">
        <f t="shared" si="40"/>
        <v>0.1129480589</v>
      </c>
      <c r="V33" s="73" t="s">
        <v>323</v>
      </c>
      <c r="W33" s="54">
        <v>-922.0</v>
      </c>
      <c r="X33" s="54">
        <v>-2825.0</v>
      </c>
      <c r="Y33" s="65">
        <f t="shared" ref="Y33:AC33" si="41">Y34*Y16</f>
        <v>-2182.508984</v>
      </c>
      <c r="Z33" s="65">
        <f t="shared" si="41"/>
        <v>-2527.31127</v>
      </c>
      <c r="AA33" s="65">
        <f t="shared" si="41"/>
        <v>-2911.868033</v>
      </c>
      <c r="AB33" s="65">
        <f t="shared" si="41"/>
        <v>-3326.931475</v>
      </c>
      <c r="AC33" s="65">
        <f t="shared" si="41"/>
        <v>-3762.920322</v>
      </c>
    </row>
    <row r="34">
      <c r="B34" s="89" t="s">
        <v>290</v>
      </c>
      <c r="C34" s="41">
        <v>4748.0</v>
      </c>
      <c r="D34" s="41">
        <v>5224.0</v>
      </c>
      <c r="E34" s="41">
        <v>4594.0</v>
      </c>
      <c r="F34" s="41">
        <v>4873.0</v>
      </c>
      <c r="G34" s="41">
        <v>19439.0</v>
      </c>
      <c r="H34" s="51"/>
      <c r="I34" s="41">
        <v>5095.0</v>
      </c>
      <c r="J34" s="41">
        <v>6362.0</v>
      </c>
      <c r="K34" s="41">
        <v>4899.0</v>
      </c>
      <c r="L34" s="41">
        <v>4619.0</v>
      </c>
      <c r="M34" s="41">
        <v>20975.0</v>
      </c>
      <c r="O34" s="64" t="s">
        <v>315</v>
      </c>
      <c r="P34" s="92">
        <f t="shared" si="42"/>
        <v>0.1156438695</v>
      </c>
      <c r="Q34" s="92">
        <f t="shared" ref="Q34:T34" si="43">(Q30-P30)/P30</f>
        <v>0.1579843608</v>
      </c>
      <c r="R34" s="92">
        <f t="shared" si="43"/>
        <v>0.1521604273</v>
      </c>
      <c r="S34" s="92">
        <f t="shared" si="43"/>
        <v>0.1425419823</v>
      </c>
      <c r="T34" s="91">
        <f t="shared" si="43"/>
        <v>0.13104834</v>
      </c>
      <c r="V34" s="65"/>
      <c r="W34" s="62">
        <f t="shared" ref="W34:X34" si="44">W33/W16</f>
        <v>-0.005485222027</v>
      </c>
      <c r="X34" s="62">
        <f t="shared" si="44"/>
        <v>-0.01424824734</v>
      </c>
      <c r="Y34" s="61">
        <f>(W34+X34)/2</f>
        <v>-0.009866734683</v>
      </c>
      <c r="Z34" s="61">
        <f t="shared" ref="Z34:AB34" si="45">Y34</f>
        <v>-0.009866734683</v>
      </c>
      <c r="AA34" s="61">
        <f t="shared" si="45"/>
        <v>-0.009866734683</v>
      </c>
      <c r="AB34" s="61">
        <f t="shared" si="45"/>
        <v>-0.009866734683</v>
      </c>
      <c r="AC34" s="61">
        <f>Y34</f>
        <v>-0.009866734683</v>
      </c>
    </row>
    <row r="35">
      <c r="B35" s="75" t="s">
        <v>321</v>
      </c>
      <c r="C35" s="76">
        <v>15876.0</v>
      </c>
      <c r="D35" s="76">
        <v>17897.0</v>
      </c>
      <c r="E35" s="76">
        <v>17048.0</v>
      </c>
      <c r="F35" s="76">
        <v>19095.0</v>
      </c>
      <c r="G35" s="76">
        <v>69916.0</v>
      </c>
      <c r="H35" s="72"/>
      <c r="I35" s="76">
        <v>20238.0</v>
      </c>
      <c r="J35" s="76">
        <v>22247.0</v>
      </c>
      <c r="K35" s="76">
        <v>20364.0</v>
      </c>
      <c r="L35" s="76">
        <v>20534.0</v>
      </c>
      <c r="M35" s="76">
        <v>83383.0</v>
      </c>
      <c r="O35" s="93" t="s">
        <v>316</v>
      </c>
      <c r="P35" s="84">
        <f t="shared" si="42"/>
        <v>0.1334464115</v>
      </c>
      <c r="Q35" s="84">
        <f t="shared" ref="Q35:T35" si="46">(Q31-P31)/P31</f>
        <v>0.1716950161</v>
      </c>
      <c r="R35" s="84">
        <f t="shared" si="46"/>
        <v>0.1733140628</v>
      </c>
      <c r="S35" s="84">
        <f t="shared" si="46"/>
        <v>0.1639820609</v>
      </c>
      <c r="T35" s="94">
        <f t="shared" si="46"/>
        <v>0.1547523591</v>
      </c>
      <c r="W35" s="95"/>
      <c r="X35" s="96"/>
      <c r="Y35" s="97"/>
    </row>
    <row r="36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</row>
    <row r="37">
      <c r="B37" s="98"/>
      <c r="C37" s="99" t="s">
        <v>324</v>
      </c>
      <c r="D37" s="98">
        <f t="shared" ref="D37:F37" si="47">((D16-C16)/C16)*100</f>
        <v>8.393538437</v>
      </c>
      <c r="E37" s="98">
        <f t="shared" si="47"/>
        <v>1.490301805</v>
      </c>
      <c r="F37" s="98">
        <f t="shared" si="47"/>
        <v>8.404663518</v>
      </c>
      <c r="G37" s="98"/>
      <c r="H37" s="98"/>
      <c r="I37" s="99" t="s">
        <v>325</v>
      </c>
      <c r="J37" s="98">
        <f t="shared" ref="J37:L37" si="48">((J16-I16)/I16)*100</f>
        <v>5.96449232</v>
      </c>
      <c r="K37" s="98">
        <f t="shared" si="48"/>
        <v>-0.922439759</v>
      </c>
      <c r="L37" s="98">
        <f t="shared" si="48"/>
        <v>5.136487428</v>
      </c>
      <c r="M37" s="98"/>
      <c r="V37" s="54" t="s">
        <v>326</v>
      </c>
      <c r="W37" s="48" t="s">
        <v>311</v>
      </c>
      <c r="X37" s="48" t="s">
        <v>312</v>
      </c>
      <c r="Y37" s="49" t="s">
        <v>306</v>
      </c>
      <c r="Z37" s="49" t="s">
        <v>307</v>
      </c>
      <c r="AA37" s="49" t="s">
        <v>308</v>
      </c>
      <c r="AB37" s="49" t="s">
        <v>309</v>
      </c>
      <c r="AC37" s="49" t="s">
        <v>310</v>
      </c>
    </row>
    <row r="38">
      <c r="D38" s="98">
        <f t="shared" ref="D38:F38" si="49">((D20-C20)/C20)*100</f>
        <v>12.43647004</v>
      </c>
      <c r="E38" s="98">
        <f t="shared" si="49"/>
        <v>3.540853366</v>
      </c>
      <c r="F38" s="98">
        <f t="shared" si="49"/>
        <v>14.92922344</v>
      </c>
      <c r="J38" s="98">
        <f t="shared" ref="J38:L38" si="50">((J20-I20)/I20)*100</f>
        <v>8.034661636</v>
      </c>
      <c r="K38" s="98">
        <f t="shared" si="50"/>
        <v>3.950455612</v>
      </c>
      <c r="L38" s="98">
        <f t="shared" si="50"/>
        <v>9.752768884</v>
      </c>
      <c r="V38" s="54" t="s">
        <v>327</v>
      </c>
      <c r="W38" s="56">
        <f t="shared" ref="W38:AC38" si="51">W19-W22</f>
        <v>60085</v>
      </c>
      <c r="X38" s="56">
        <f t="shared" si="51"/>
        <v>72405</v>
      </c>
      <c r="Y38" s="56">
        <f t="shared" si="51"/>
        <v>80848.12851</v>
      </c>
      <c r="Z38" s="56">
        <f t="shared" si="51"/>
        <v>94722.29039</v>
      </c>
      <c r="AA38" s="56">
        <f t="shared" si="51"/>
        <v>109135.2746</v>
      </c>
      <c r="AB38" s="56">
        <f t="shared" si="51"/>
        <v>124691.6329</v>
      </c>
      <c r="AC38" s="56">
        <f t="shared" si="51"/>
        <v>144312.0846</v>
      </c>
    </row>
    <row r="39">
      <c r="D39" s="98">
        <f t="shared" ref="D39:F39" si="52">((D24-C24)/C24)*100</f>
        <v>27.62258418</v>
      </c>
      <c r="E39" s="98">
        <f t="shared" si="52"/>
        <v>-13.79447163</v>
      </c>
      <c r="F39" s="98">
        <f t="shared" si="52"/>
        <v>8.054617981</v>
      </c>
      <c r="J39" s="98">
        <f t="shared" ref="J39:L39" si="53">((J24-I24)/I24)*100</f>
        <v>31.17770768</v>
      </c>
      <c r="K39" s="98">
        <f t="shared" si="53"/>
        <v>-16.86229602</v>
      </c>
      <c r="L39" s="98">
        <f t="shared" si="53"/>
        <v>-1.129476584</v>
      </c>
      <c r="V39" s="54" t="s">
        <v>320</v>
      </c>
      <c r="W39" s="74">
        <v>11686.0</v>
      </c>
      <c r="X39" s="74">
        <v>14460.0</v>
      </c>
      <c r="Y39" s="74">
        <f t="shared" ref="Y39:AC39" si="54">Y27</f>
        <v>16509.10474</v>
      </c>
      <c r="Z39" s="71">
        <f t="shared" si="54"/>
        <v>19335.50401</v>
      </c>
      <c r="AA39" s="71">
        <f t="shared" si="54"/>
        <v>22403.31415</v>
      </c>
      <c r="AB39" s="71">
        <f t="shared" si="54"/>
        <v>26974.93411</v>
      </c>
      <c r="AC39" s="71">
        <f t="shared" si="54"/>
        <v>31272.70331</v>
      </c>
    </row>
    <row r="40">
      <c r="D40" s="98">
        <f t="shared" ref="D40:F40" si="55">((D28-C28)/C28)*100</f>
        <v>15.93906443</v>
      </c>
      <c r="E40" s="98">
        <f t="shared" si="55"/>
        <v>-3.180425295</v>
      </c>
      <c r="F40" s="98">
        <f t="shared" si="55"/>
        <v>10.66033664</v>
      </c>
      <c r="J40" s="98">
        <f t="shared" ref="J40:L40" si="56">((J28-I28)/I28)*100</f>
        <v>14.14700885</v>
      </c>
      <c r="K40" s="98">
        <f t="shared" si="56"/>
        <v>-4.577791525</v>
      </c>
      <c r="L40" s="98">
        <f t="shared" si="56"/>
        <v>5.074959481</v>
      </c>
      <c r="V40" s="65" t="str">
        <f t="shared" ref="V40:W40" si="57">V30</f>
        <v>Capital Expenditure</v>
      </c>
      <c r="W40" s="71">
        <f t="shared" si="57"/>
        <v>20622</v>
      </c>
      <c r="X40" s="71">
        <f>X30:AC30</f>
        <v>23886</v>
      </c>
      <c r="Y40" s="71">
        <f t="shared" ref="Y40:AC40" si="58">Y30</f>
        <v>26543.8452</v>
      </c>
      <c r="Z40" s="71">
        <f t="shared" si="58"/>
        <v>30737.35762</v>
      </c>
      <c r="AA40" s="71">
        <f t="shared" si="58"/>
        <v>35414.36708</v>
      </c>
      <c r="AB40" s="71">
        <f t="shared" si="58"/>
        <v>40462.40117</v>
      </c>
      <c r="AC40" s="71">
        <f t="shared" si="58"/>
        <v>45764.93168</v>
      </c>
    </row>
    <row r="41">
      <c r="V41" s="73" t="s">
        <v>328</v>
      </c>
      <c r="W41" s="65">
        <f t="shared" ref="W41:AC41" si="59">W33</f>
        <v>-922</v>
      </c>
      <c r="X41" s="65">
        <f t="shared" si="59"/>
        <v>-2825</v>
      </c>
      <c r="Y41" s="65">
        <f t="shared" si="59"/>
        <v>-2182.508984</v>
      </c>
      <c r="Z41" s="65">
        <f t="shared" si="59"/>
        <v>-2527.31127</v>
      </c>
      <c r="AA41" s="65">
        <f t="shared" si="59"/>
        <v>-2911.868033</v>
      </c>
      <c r="AB41" s="65">
        <f t="shared" si="59"/>
        <v>-3326.931475</v>
      </c>
      <c r="AC41" s="65">
        <f t="shared" si="59"/>
        <v>-3762.920322</v>
      </c>
    </row>
    <row r="42">
      <c r="I42" s="100" t="s">
        <v>293</v>
      </c>
      <c r="J42" s="92">
        <f>((L16-F16)/F16)*100</f>
        <v>12.99435028</v>
      </c>
      <c r="K42" s="92">
        <f>(L20-F20)/F20*100</f>
        <v>20.33956835</v>
      </c>
      <c r="L42" s="92">
        <f>(L24-F24)/F24*100</f>
        <v>1.91679682</v>
      </c>
      <c r="M42" s="12" t="s">
        <v>329</v>
      </c>
      <c r="O42" s="101" t="s">
        <v>330</v>
      </c>
      <c r="P42" s="84" t="str">
        <f t="shared" ref="P42:T42" si="60">P15</f>
        <v>FY23E</v>
      </c>
      <c r="Q42" s="84" t="str">
        <f t="shared" si="60"/>
        <v>FY24E</v>
      </c>
      <c r="R42" s="84" t="str">
        <f t="shared" si="60"/>
        <v>FY25E</v>
      </c>
      <c r="S42" s="84" t="str">
        <f t="shared" si="60"/>
        <v>FY26E</v>
      </c>
      <c r="T42" s="84" t="str">
        <f t="shared" si="60"/>
        <v>FY27E</v>
      </c>
      <c r="V42" s="54" t="s">
        <v>136</v>
      </c>
      <c r="W42" s="56">
        <f t="shared" ref="W42:AB42" si="61">W38+W39-W40+W41</f>
        <v>50227</v>
      </c>
      <c r="X42" s="56">
        <f t="shared" si="61"/>
        <v>60154</v>
      </c>
      <c r="Y42" s="56">
        <f t="shared" si="61"/>
        <v>68630.87906</v>
      </c>
      <c r="Z42" s="56">
        <f t="shared" si="61"/>
        <v>80793.12551</v>
      </c>
      <c r="AA42" s="56">
        <f t="shared" si="61"/>
        <v>93212.3536</v>
      </c>
      <c r="AB42" s="56">
        <f t="shared" si="61"/>
        <v>107877.2344</v>
      </c>
      <c r="AC42" s="56">
        <f>AC38+AC39-AC40-AC41</f>
        <v>133582.7765</v>
      </c>
    </row>
    <row r="43">
      <c r="M43" s="12" t="s">
        <v>331</v>
      </c>
      <c r="O43" s="102" t="s">
        <v>288</v>
      </c>
      <c r="V43" s="54" t="s">
        <v>332</v>
      </c>
      <c r="W43" s="61">
        <v>0.04</v>
      </c>
      <c r="X43" s="65"/>
      <c r="Y43" s="65"/>
      <c r="Z43" s="65"/>
      <c r="AA43" s="65"/>
      <c r="AB43" s="65"/>
      <c r="AC43" s="65"/>
    </row>
    <row r="44">
      <c r="M44" s="12" t="s">
        <v>333</v>
      </c>
      <c r="O44" s="103" t="s">
        <v>314</v>
      </c>
      <c r="P44" s="104">
        <f>P45-2.5</f>
        <v>8.5</v>
      </c>
      <c r="Q44" s="105">
        <v>11.0</v>
      </c>
      <c r="R44" s="105">
        <v>13.0</v>
      </c>
      <c r="S44" s="105">
        <v>12.0</v>
      </c>
      <c r="T44" s="105">
        <v>12.0</v>
      </c>
      <c r="V44" s="54" t="s">
        <v>334</v>
      </c>
      <c r="W44" s="61">
        <v>0.0787</v>
      </c>
      <c r="X44" s="61">
        <v>0.0787</v>
      </c>
      <c r="Y44" s="61">
        <v>0.0787</v>
      </c>
      <c r="Z44" s="61">
        <v>0.0787</v>
      </c>
      <c r="AA44" s="61">
        <v>0.0787</v>
      </c>
      <c r="AB44" s="61">
        <v>0.0787</v>
      </c>
      <c r="AC44" s="61">
        <v>0.0787</v>
      </c>
    </row>
    <row r="45">
      <c r="M45" s="12" t="s">
        <v>335</v>
      </c>
      <c r="O45" s="106" t="s">
        <v>315</v>
      </c>
      <c r="P45" s="105">
        <v>11.0</v>
      </c>
      <c r="Q45" s="105">
        <v>15.0</v>
      </c>
      <c r="R45" s="105">
        <v>17.0</v>
      </c>
      <c r="S45" s="105">
        <v>15.0</v>
      </c>
      <c r="T45" s="105">
        <v>14.0</v>
      </c>
      <c r="V45" s="54" t="s">
        <v>336</v>
      </c>
      <c r="W45" s="65"/>
      <c r="X45" s="65"/>
      <c r="Y45" s="54">
        <v>1.0</v>
      </c>
      <c r="Z45" s="54">
        <v>2.0</v>
      </c>
      <c r="AA45" s="54">
        <v>3.0</v>
      </c>
      <c r="AB45" s="54">
        <v>4.0</v>
      </c>
      <c r="AC45" s="54">
        <v>5.0</v>
      </c>
    </row>
    <row r="46">
      <c r="A46" s="9"/>
      <c r="B46" s="9"/>
      <c r="C46" s="16" t="s">
        <v>337</v>
      </c>
      <c r="M46" s="12" t="s">
        <v>338</v>
      </c>
      <c r="O46" s="107" t="s">
        <v>316</v>
      </c>
      <c r="P46" s="104">
        <f>P45+2.5</f>
        <v>13.5</v>
      </c>
      <c r="Q46" s="105">
        <v>16.0</v>
      </c>
      <c r="R46" s="105">
        <v>18.0</v>
      </c>
      <c r="S46" s="105">
        <v>16.0</v>
      </c>
      <c r="T46" s="105">
        <v>15.0</v>
      </c>
      <c r="V46" s="12" t="s">
        <v>339</v>
      </c>
      <c r="Y46" s="108">
        <f t="shared" ref="Y46:AC46" si="62">Y42/(1+W44)^Y45</f>
        <v>63623.69432</v>
      </c>
      <c r="Z46" s="108">
        <f t="shared" si="62"/>
        <v>69434.13857</v>
      </c>
      <c r="AA46" s="108">
        <f t="shared" si="62"/>
        <v>74262.82017</v>
      </c>
      <c r="AB46" s="108">
        <f t="shared" si="62"/>
        <v>79675.92043</v>
      </c>
      <c r="AC46" s="108">
        <f t="shared" si="62"/>
        <v>91463.34331</v>
      </c>
    </row>
    <row r="47">
      <c r="C47" s="12" t="s">
        <v>340</v>
      </c>
      <c r="D47" s="109">
        <v>2186000.0</v>
      </c>
      <c r="M47" s="12" t="s">
        <v>341</v>
      </c>
      <c r="O47" s="102" t="s">
        <v>289</v>
      </c>
      <c r="P47" s="104"/>
      <c r="Q47" s="104"/>
      <c r="R47" s="104"/>
      <c r="S47" s="104"/>
      <c r="T47" s="104"/>
      <c r="V47" s="12" t="s">
        <v>342</v>
      </c>
      <c r="W47" s="110">
        <v>104750.0</v>
      </c>
    </row>
    <row r="48">
      <c r="C48" s="12" t="s">
        <v>343</v>
      </c>
      <c r="D48" s="111">
        <f>D52+D49*D50</f>
        <v>0.07994</v>
      </c>
      <c r="O48" s="103" t="s">
        <v>314</v>
      </c>
      <c r="P48" s="104">
        <f>P49-2.5</f>
        <v>19.5</v>
      </c>
      <c r="Q48" s="105">
        <v>20.0</v>
      </c>
      <c r="R48" s="105">
        <v>19.0</v>
      </c>
      <c r="S48" s="105">
        <v>16.0</v>
      </c>
      <c r="T48" s="105">
        <v>15.0</v>
      </c>
      <c r="V48" s="12" t="s">
        <v>344</v>
      </c>
      <c r="W48" s="108">
        <f>(AC46*(1+W43))/(W44-W43)</f>
        <v>2457929.639</v>
      </c>
    </row>
    <row r="49">
      <c r="C49" s="12" t="s">
        <v>345</v>
      </c>
      <c r="D49" s="112">
        <v>0.93</v>
      </c>
      <c r="O49" s="106" t="s">
        <v>315</v>
      </c>
      <c r="P49" s="105">
        <v>22.0</v>
      </c>
      <c r="Q49" s="105">
        <v>24.0</v>
      </c>
      <c r="R49" s="105">
        <v>20.0</v>
      </c>
      <c r="S49" s="105">
        <v>19.0</v>
      </c>
      <c r="T49" s="105">
        <v>17.0</v>
      </c>
      <c r="V49" s="12" t="s">
        <v>143</v>
      </c>
      <c r="W49" s="108">
        <f>SUM(Y46:AC46,W48)</f>
        <v>2836389.556</v>
      </c>
    </row>
    <row r="50">
      <c r="C50" s="12" t="s">
        <v>346</v>
      </c>
      <c r="D50" s="28">
        <v>0.056</v>
      </c>
      <c r="O50" s="107" t="s">
        <v>316</v>
      </c>
      <c r="P50" s="105">
        <v>23.0</v>
      </c>
      <c r="Q50" s="105">
        <v>26.0</v>
      </c>
      <c r="R50" s="105">
        <v>23.0</v>
      </c>
      <c r="S50" s="105">
        <v>22.0</v>
      </c>
      <c r="T50" s="105">
        <v>20.0</v>
      </c>
      <c r="V50" s="12" t="s">
        <v>347</v>
      </c>
      <c r="W50" s="108">
        <f>W49+W47-D51</f>
        <v>2891358.556</v>
      </c>
    </row>
    <row r="51">
      <c r="C51" s="12" t="s">
        <v>348</v>
      </c>
      <c r="D51" s="109">
        <f>2749+47032</f>
        <v>49781</v>
      </c>
      <c r="O51" s="102" t="s">
        <v>290</v>
      </c>
      <c r="P51" s="104"/>
      <c r="Q51" s="104"/>
      <c r="R51" s="104"/>
      <c r="S51" s="104"/>
      <c r="T51" s="104"/>
      <c r="V51" s="12" t="s">
        <v>349</v>
      </c>
      <c r="W51" s="113">
        <v>7460.0</v>
      </c>
    </row>
    <row r="52">
      <c r="C52" s="12" t="s">
        <v>350</v>
      </c>
      <c r="D52" s="28">
        <v>0.02786</v>
      </c>
      <c r="O52" s="103" t="s">
        <v>314</v>
      </c>
      <c r="P52" s="105">
        <v>-2.0</v>
      </c>
      <c r="Q52" s="105">
        <v>0.0</v>
      </c>
      <c r="R52" s="105">
        <v>1.0</v>
      </c>
      <c r="S52" s="105">
        <v>2.0</v>
      </c>
      <c r="T52" s="105">
        <v>1.0</v>
      </c>
      <c r="V52" s="12" t="s">
        <v>351</v>
      </c>
      <c r="W52" s="92">
        <f>W50/W51</f>
        <v>387.5815759</v>
      </c>
    </row>
    <row r="53">
      <c r="C53" s="12" t="s">
        <v>352</v>
      </c>
      <c r="D53" s="28">
        <v>0.033</v>
      </c>
      <c r="O53" s="106" t="s">
        <v>315</v>
      </c>
      <c r="P53" s="105">
        <v>-1.0</v>
      </c>
      <c r="Q53" s="105">
        <v>4.0</v>
      </c>
      <c r="R53" s="105">
        <v>4.0</v>
      </c>
      <c r="S53" s="105">
        <v>3.0</v>
      </c>
      <c r="T53" s="105">
        <v>2.0</v>
      </c>
      <c r="V53" s="12" t="s">
        <v>353</v>
      </c>
      <c r="W53" s="12">
        <v>293.71</v>
      </c>
    </row>
    <row r="54">
      <c r="C54" s="12" t="s">
        <v>354</v>
      </c>
      <c r="D54" s="92">
        <f>1-0.14</f>
        <v>0.86</v>
      </c>
      <c r="O54" s="107" t="s">
        <v>316</v>
      </c>
      <c r="P54" s="105">
        <v>1.0</v>
      </c>
      <c r="Q54" s="105">
        <v>5.0</v>
      </c>
      <c r="R54" s="105">
        <v>6.0</v>
      </c>
      <c r="S54" s="105">
        <v>5.0</v>
      </c>
      <c r="T54" s="105">
        <v>5.0</v>
      </c>
      <c r="V54" s="12" t="s">
        <v>355</v>
      </c>
    </row>
    <row r="55">
      <c r="C55" s="114" t="s">
        <v>334</v>
      </c>
      <c r="D55" s="115">
        <f>(D47)/(D51+D47) * D48 + D51/(D47+D51)*D54*D52</f>
        <v>0.07869356294</v>
      </c>
    </row>
  </sheetData>
  <mergeCells count="3">
    <mergeCell ref="C6:E6"/>
    <mergeCell ref="C30:F30"/>
    <mergeCell ref="I30:L3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0.38"/>
    <col customWidth="1" min="3" max="3" width="29.13"/>
  </cols>
  <sheetData>
    <row r="4">
      <c r="C4" s="116" t="s">
        <v>356</v>
      </c>
      <c r="D4" s="117" t="s">
        <v>306</v>
      </c>
      <c r="E4" s="117" t="s">
        <v>307</v>
      </c>
      <c r="F4" s="117" t="s">
        <v>308</v>
      </c>
      <c r="G4" s="117" t="s">
        <v>309</v>
      </c>
      <c r="H4" s="117" t="s">
        <v>310</v>
      </c>
    </row>
    <row r="5" ht="30.75" customHeight="1">
      <c r="C5" s="118" t="s">
        <v>288</v>
      </c>
      <c r="D5" s="119"/>
      <c r="E5" s="119"/>
      <c r="F5" s="119"/>
      <c r="G5" s="119"/>
      <c r="H5" s="119"/>
    </row>
    <row r="6">
      <c r="C6" s="120" t="s">
        <v>314</v>
      </c>
      <c r="D6" s="121">
        <v>68749.94</v>
      </c>
      <c r="E6" s="121">
        <v>76312.43340000001</v>
      </c>
      <c r="F6" s="121">
        <v>86233.049742</v>
      </c>
      <c r="G6" s="121">
        <v>96581.01571104</v>
      </c>
      <c r="H6" s="121">
        <v>108170.73759636481</v>
      </c>
    </row>
    <row r="7">
      <c r="C7" s="122" t="s">
        <v>315</v>
      </c>
      <c r="D7" s="121">
        <v>70334.04</v>
      </c>
      <c r="E7" s="121">
        <v>80884.146</v>
      </c>
      <c r="F7" s="121">
        <v>94634.45082</v>
      </c>
      <c r="G7" s="121">
        <v>108829.618443</v>
      </c>
      <c r="H7" s="121">
        <v>124065.76502502</v>
      </c>
    </row>
    <row r="8">
      <c r="C8" s="123" t="s">
        <v>316</v>
      </c>
      <c r="D8" s="121">
        <v>71918.14</v>
      </c>
      <c r="E8" s="121">
        <v>83425.0424</v>
      </c>
      <c r="F8" s="121">
        <v>98441.550032</v>
      </c>
      <c r="G8" s="121">
        <v>114192.19803712</v>
      </c>
      <c r="H8" s="121">
        <v>131321.02774268802</v>
      </c>
      <c r="I8" s="124"/>
    </row>
    <row r="9" ht="28.5" customHeight="1">
      <c r="C9" s="125" t="s">
        <v>289</v>
      </c>
      <c r="D9" s="121"/>
      <c r="E9" s="126"/>
      <c r="F9" s="126"/>
      <c r="G9" s="126"/>
      <c r="H9" s="126"/>
    </row>
    <row r="10">
      <c r="C10" s="120" t="s">
        <v>314</v>
      </c>
      <c r="D10" s="121">
        <v>89924.945</v>
      </c>
      <c r="E10" s="121">
        <v>107909.93400000001</v>
      </c>
      <c r="F10" s="121">
        <v>128412.82146</v>
      </c>
      <c r="G10" s="121">
        <v>148958.8728936</v>
      </c>
      <c r="H10" s="121">
        <v>171302.70382763998</v>
      </c>
    </row>
    <row r="11">
      <c r="C11" s="122" t="s">
        <v>315</v>
      </c>
      <c r="D11" s="121">
        <v>91806.22</v>
      </c>
      <c r="E11" s="121">
        <v>113839.71280000001</v>
      </c>
      <c r="F11" s="121">
        <v>136607.65536</v>
      </c>
      <c r="G11" s="121">
        <v>162563.1098784</v>
      </c>
      <c r="H11" s="121">
        <v>190198.83855772798</v>
      </c>
    </row>
    <row r="12">
      <c r="C12" s="123" t="s">
        <v>316</v>
      </c>
      <c r="D12" s="121">
        <v>92558.73</v>
      </c>
      <c r="E12" s="121">
        <v>116623.99979999999</v>
      </c>
      <c r="F12" s="121">
        <v>143447.51975399998</v>
      </c>
      <c r="G12" s="121">
        <v>175005.97409987997</v>
      </c>
      <c r="H12" s="121">
        <v>210007.16891985596</v>
      </c>
    </row>
    <row r="13" ht="24.75" customHeight="1">
      <c r="C13" s="125" t="s">
        <v>290</v>
      </c>
      <c r="D13" s="121"/>
      <c r="E13" s="126"/>
      <c r="F13" s="126"/>
      <c r="G13" s="126"/>
      <c r="H13" s="126"/>
    </row>
    <row r="14">
      <c r="C14" s="120" t="s">
        <v>314</v>
      </c>
      <c r="D14" s="121">
        <v>58461.9</v>
      </c>
      <c r="E14" s="121">
        <v>58461.9</v>
      </c>
      <c r="F14" s="121">
        <v>59046.519</v>
      </c>
      <c r="G14" s="121">
        <v>60227.44938</v>
      </c>
      <c r="H14" s="121">
        <v>60829.7238738</v>
      </c>
    </row>
    <row r="15">
      <c r="C15" s="122" t="s">
        <v>315</v>
      </c>
      <c r="D15" s="121">
        <v>59058.45</v>
      </c>
      <c r="E15" s="121">
        <v>61420.788</v>
      </c>
      <c r="F15" s="121">
        <v>63877.61952</v>
      </c>
      <c r="G15" s="121">
        <v>65793.9481056</v>
      </c>
      <c r="H15" s="121">
        <v>67109.82706771199</v>
      </c>
    </row>
    <row r="16">
      <c r="C16" s="123" t="s">
        <v>316</v>
      </c>
      <c r="D16" s="121">
        <v>60251.55</v>
      </c>
      <c r="E16" s="121">
        <v>63264.1275</v>
      </c>
      <c r="F16" s="121">
        <v>67059.97515</v>
      </c>
      <c r="G16" s="121">
        <v>70412.9739075</v>
      </c>
      <c r="H16" s="121">
        <v>73933.622602875</v>
      </c>
    </row>
    <row r="17">
      <c r="C17" s="118" t="s">
        <v>321</v>
      </c>
      <c r="D17" s="127"/>
      <c r="E17" s="127"/>
      <c r="F17" s="127"/>
      <c r="G17" s="127"/>
      <c r="H17" s="127"/>
    </row>
    <row r="18">
      <c r="C18" s="120" t="s">
        <v>314</v>
      </c>
      <c r="D18" s="126">
        <v>217136.785</v>
      </c>
      <c r="E18" s="126">
        <v>242684.2674</v>
      </c>
      <c r="F18" s="126">
        <v>273692.39020200004</v>
      </c>
      <c r="G18" s="126">
        <v>305767.33798464</v>
      </c>
      <c r="H18" s="126">
        <v>340303.1652978048</v>
      </c>
    </row>
    <row r="19">
      <c r="C19" s="122" t="s">
        <v>315</v>
      </c>
      <c r="D19" s="126">
        <v>221198.71000000002</v>
      </c>
      <c r="E19" s="126">
        <v>256144.6468</v>
      </c>
      <c r="F19" s="126">
        <v>295119.7257</v>
      </c>
      <c r="G19" s="126">
        <v>337186.67642699997</v>
      </c>
      <c r="H19" s="126">
        <v>381374.43065045995</v>
      </c>
    </row>
    <row r="20">
      <c r="C20" s="123" t="s">
        <v>316</v>
      </c>
      <c r="D20" s="126">
        <v>224728.41999999998</v>
      </c>
      <c r="E20" s="126">
        <v>263313.16969999997</v>
      </c>
      <c r="F20" s="126">
        <v>308949.04493599996</v>
      </c>
      <c r="G20" s="126">
        <v>359611.14604449994</v>
      </c>
      <c r="H20" s="126">
        <v>415261.819265419</v>
      </c>
    </row>
    <row r="21">
      <c r="C21" s="125" t="s">
        <v>293</v>
      </c>
      <c r="D21" s="128"/>
      <c r="E21" s="128"/>
      <c r="F21" s="128"/>
      <c r="G21" s="128"/>
      <c r="H21" s="128"/>
    </row>
    <row r="22">
      <c r="C22" s="120" t="s">
        <v>314</v>
      </c>
      <c r="D22" s="129">
        <v>0.09515703333837698</v>
      </c>
      <c r="E22" s="129">
        <v>0.11765616958913713</v>
      </c>
      <c r="F22" s="129">
        <v>0.1277714585053486</v>
      </c>
      <c r="G22" s="129">
        <v>0.11719342199820339</v>
      </c>
      <c r="H22" s="129">
        <v>0.11294805894179488</v>
      </c>
    </row>
    <row r="23">
      <c r="C23" s="122" t="s">
        <v>315</v>
      </c>
      <c r="D23" s="129">
        <v>0.11564386947092359</v>
      </c>
      <c r="E23" s="129">
        <v>0.1579843607587041</v>
      </c>
      <c r="F23" s="129">
        <v>0.1521604272699562</v>
      </c>
      <c r="G23" s="129">
        <v>0.1425419823335108</v>
      </c>
      <c r="H23" s="129">
        <v>0.1310483400224935</v>
      </c>
    </row>
    <row r="24">
      <c r="C24" s="130" t="s">
        <v>316</v>
      </c>
      <c r="D24" s="131">
        <v>0.1334464114591213</v>
      </c>
      <c r="E24" s="131">
        <v>0.17169501614437546</v>
      </c>
      <c r="F24" s="131">
        <v>0.17331406282486447</v>
      </c>
      <c r="G24" s="131">
        <v>0.163982060922036</v>
      </c>
      <c r="H24" s="131">
        <v>0.15475235913303023</v>
      </c>
    </row>
    <row r="28">
      <c r="G28" s="132" t="s">
        <v>357</v>
      </c>
    </row>
    <row r="29">
      <c r="G29" s="132" t="s">
        <v>339</v>
      </c>
      <c r="H29" s="133">
        <v>62455.35715266185</v>
      </c>
      <c r="I29" s="134">
        <v>65785.38049251943</v>
      </c>
      <c r="J29" s="134">
        <v>68870.92588750481</v>
      </c>
      <c r="K29" s="134">
        <v>72251.65107281397</v>
      </c>
      <c r="L29" s="134">
        <v>81613.403356824</v>
      </c>
    </row>
    <row r="30">
      <c r="G30" s="135" t="s">
        <v>342</v>
      </c>
      <c r="H30" s="136">
        <v>104750.0</v>
      </c>
      <c r="I30" s="137"/>
      <c r="J30" s="137"/>
      <c r="K30" s="137"/>
      <c r="L30" s="137"/>
    </row>
    <row r="31">
      <c r="G31" s="135" t="s">
        <v>344</v>
      </c>
      <c r="H31" s="138">
        <v>2193228.41062266</v>
      </c>
    </row>
    <row r="32">
      <c r="G32" s="135" t="s">
        <v>143</v>
      </c>
      <c r="H32" s="138">
        <v>2544205.128584984</v>
      </c>
    </row>
    <row r="33">
      <c r="G33" s="135" t="s">
        <v>347</v>
      </c>
      <c r="H33" s="138">
        <v>2599174.128584984</v>
      </c>
    </row>
    <row r="34">
      <c r="G34" s="135" t="s">
        <v>349</v>
      </c>
      <c r="H34" s="136">
        <v>7460.0</v>
      </c>
    </row>
    <row r="35">
      <c r="G35" s="135" t="s">
        <v>351</v>
      </c>
      <c r="H35" s="138">
        <v>348.4147625449041</v>
      </c>
    </row>
    <row r="36">
      <c r="G36" s="135" t="s">
        <v>353</v>
      </c>
      <c r="H36" s="136">
        <v>293.71</v>
      </c>
    </row>
    <row r="38">
      <c r="G38" s="132" t="s">
        <v>358</v>
      </c>
    </row>
    <row r="39">
      <c r="G39" s="135" t="s">
        <v>339</v>
      </c>
      <c r="H39" s="133">
        <v>64638.949745218844</v>
      </c>
      <c r="I39" s="133">
        <v>71377.33831280831</v>
      </c>
      <c r="J39" s="133">
        <v>77742.77816456133</v>
      </c>
      <c r="K39" s="133">
        <v>84974.73673007927</v>
      </c>
      <c r="L39" s="133">
        <v>99590.4058804116</v>
      </c>
    </row>
    <row r="40">
      <c r="G40" s="135" t="s">
        <v>342</v>
      </c>
      <c r="H40" s="135">
        <v>104750.0</v>
      </c>
    </row>
    <row r="41">
      <c r="G41" s="135" t="s">
        <v>344</v>
      </c>
      <c r="H41" s="133">
        <v>2676331.3208172624</v>
      </c>
    </row>
    <row r="42">
      <c r="G42" s="135" t="s">
        <v>143</v>
      </c>
      <c r="H42" s="133">
        <v>3074655.5296503417</v>
      </c>
    </row>
    <row r="43">
      <c r="G43" s="135" t="s">
        <v>347</v>
      </c>
      <c r="H43" s="133">
        <v>3129624.5296503417</v>
      </c>
    </row>
    <row r="44">
      <c r="G44" s="135" t="s">
        <v>349</v>
      </c>
      <c r="H44" s="135">
        <v>7460.0</v>
      </c>
    </row>
    <row r="45">
      <c r="G45" s="135" t="s">
        <v>351</v>
      </c>
      <c r="H45" s="133">
        <v>419.5207144303407</v>
      </c>
    </row>
    <row r="46">
      <c r="G46" s="135" t="s">
        <v>353</v>
      </c>
      <c r="H46" s="135">
        <v>293.71</v>
      </c>
    </row>
    <row r="49">
      <c r="G49" s="132" t="s">
        <v>359</v>
      </c>
    </row>
    <row r="50">
      <c r="G50" s="135" t="s">
        <v>339</v>
      </c>
      <c r="H50" s="133">
        <v>63623.6943213379</v>
      </c>
      <c r="I50" s="133">
        <v>69434.13856773147</v>
      </c>
      <c r="J50" s="133">
        <v>74262.82017422684</v>
      </c>
      <c r="K50" s="133">
        <v>79675.92043081216</v>
      </c>
      <c r="L50" s="133">
        <v>91463.3433145321</v>
      </c>
    </row>
    <row r="51">
      <c r="G51" s="135" t="s">
        <v>342</v>
      </c>
      <c r="H51" s="135">
        <v>104750.0</v>
      </c>
    </row>
    <row r="52">
      <c r="G52" s="135" t="s">
        <v>344</v>
      </c>
      <c r="H52" s="133">
        <v>2457929.639460294</v>
      </c>
    </row>
    <row r="53">
      <c r="G53" s="135" t="s">
        <v>143</v>
      </c>
      <c r="H53" s="133">
        <v>2836389.5562689346</v>
      </c>
    </row>
    <row r="54">
      <c r="G54" s="135" t="s">
        <v>347</v>
      </c>
      <c r="H54" s="133">
        <v>2891358.5562689346</v>
      </c>
    </row>
    <row r="55">
      <c r="G55" s="135" t="s">
        <v>349</v>
      </c>
      <c r="H55" s="135">
        <v>7460.0</v>
      </c>
    </row>
    <row r="56">
      <c r="G56" s="135" t="s">
        <v>351</v>
      </c>
      <c r="H56" s="133">
        <v>387.5815759073639</v>
      </c>
    </row>
    <row r="57">
      <c r="G57" s="135" t="s">
        <v>353</v>
      </c>
      <c r="H57" s="135">
        <v>293.71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9.5"/>
    <col customWidth="1" min="13" max="13" width="17.13"/>
    <col customWidth="1" min="15" max="15" width="17.25"/>
  </cols>
  <sheetData>
    <row r="4">
      <c r="B4" s="139">
        <v>2023.0</v>
      </c>
      <c r="C4" s="12">
        <v>62455.35715</v>
      </c>
      <c r="D4" s="12">
        <v>64638.94975</v>
      </c>
      <c r="E4" s="12">
        <v>63623.69432</v>
      </c>
    </row>
    <row r="5">
      <c r="B5" s="139">
        <v>2024.0</v>
      </c>
      <c r="C5" s="12">
        <v>65785.38049</v>
      </c>
      <c r="D5" s="12">
        <v>71377.33831</v>
      </c>
      <c r="E5" s="12">
        <v>69434.13857</v>
      </c>
    </row>
    <row r="6">
      <c r="B6" s="139">
        <v>2025.0</v>
      </c>
      <c r="C6" s="12">
        <v>68870.92589</v>
      </c>
      <c r="D6" s="12">
        <v>77742.77816</v>
      </c>
      <c r="E6" s="12">
        <v>74262.82017</v>
      </c>
    </row>
    <row r="7">
      <c r="B7" s="139">
        <v>2026.0</v>
      </c>
      <c r="C7" s="12">
        <v>72251.65107</v>
      </c>
      <c r="D7" s="12">
        <v>84974.73673</v>
      </c>
      <c r="E7" s="12">
        <v>79675.92043</v>
      </c>
    </row>
    <row r="8">
      <c r="B8" s="139">
        <v>2027.0</v>
      </c>
      <c r="C8" s="12">
        <v>81613.40336</v>
      </c>
      <c r="D8" s="12">
        <v>99590.40588</v>
      </c>
      <c r="E8" s="12">
        <v>91463.34331</v>
      </c>
    </row>
    <row r="11">
      <c r="K11" s="140" t="s">
        <v>360</v>
      </c>
      <c r="L11" s="141"/>
      <c r="M11" s="140" t="s">
        <v>361</v>
      </c>
      <c r="N11" s="141"/>
      <c r="O11" s="140" t="s">
        <v>362</v>
      </c>
      <c r="P11" s="141"/>
    </row>
    <row r="12">
      <c r="K12" s="142" t="s">
        <v>347</v>
      </c>
      <c r="L12" s="143">
        <v>2599174.128584984</v>
      </c>
      <c r="M12" s="142" t="s">
        <v>347</v>
      </c>
      <c r="N12" s="143">
        <v>2891358.5562689346</v>
      </c>
      <c r="O12" s="142" t="s">
        <v>347</v>
      </c>
      <c r="P12" s="144">
        <v>3129624.5296503417</v>
      </c>
    </row>
    <row r="13">
      <c r="C13" s="12" t="s">
        <v>357</v>
      </c>
      <c r="K13" s="145" t="s">
        <v>353</v>
      </c>
      <c r="L13" s="146">
        <v>293.71</v>
      </c>
      <c r="M13" s="147" t="s">
        <v>353</v>
      </c>
      <c r="N13" s="146">
        <v>293.71</v>
      </c>
      <c r="O13" s="147" t="s">
        <v>353</v>
      </c>
      <c r="P13" s="148">
        <v>293.71</v>
      </c>
    </row>
    <row r="14">
      <c r="C14" s="12" t="s">
        <v>339</v>
      </c>
      <c r="D14" s="92">
        <v>62455.35715266185</v>
      </c>
      <c r="E14" s="92">
        <v>65785.38049251943</v>
      </c>
      <c r="F14" s="92">
        <v>68870.92588750481</v>
      </c>
      <c r="G14" s="92">
        <v>72251.65107281397</v>
      </c>
      <c r="H14" s="92">
        <v>81613.403356824</v>
      </c>
      <c r="K14" s="149" t="s">
        <v>363</v>
      </c>
      <c r="L14" s="150">
        <v>30.7</v>
      </c>
      <c r="M14" s="149" t="s">
        <v>363</v>
      </c>
      <c r="N14" s="151">
        <f>N13/9.52</f>
        <v>30.85189076</v>
      </c>
      <c r="O14" s="149" t="s">
        <v>363</v>
      </c>
      <c r="P14" s="152">
        <f>P13/9.66</f>
        <v>30.4047619</v>
      </c>
    </row>
    <row r="15">
      <c r="C15" s="153" t="s">
        <v>342</v>
      </c>
      <c r="D15" s="153">
        <v>104750.0</v>
      </c>
      <c r="K15" s="149" t="s">
        <v>364</v>
      </c>
      <c r="L15" s="151">
        <f>L13/L17 </f>
        <v>31.81424631</v>
      </c>
      <c r="M15" s="149" t="s">
        <v>364</v>
      </c>
      <c r="N15" s="151">
        <f>N13/N17 </f>
        <v>29.50435487</v>
      </c>
      <c r="O15" s="149" t="s">
        <v>364</v>
      </c>
      <c r="P15" s="152">
        <f>P13/P17 </f>
        <v>28.18366737</v>
      </c>
    </row>
    <row r="16">
      <c r="C16" s="153" t="s">
        <v>344</v>
      </c>
      <c r="D16" s="92">
        <v>2193228.41062266</v>
      </c>
      <c r="K16" s="149" t="s">
        <v>365</v>
      </c>
      <c r="L16" s="151">
        <f>L13/L18 </f>
        <v>26.84701912</v>
      </c>
      <c r="M16" s="149" t="s">
        <v>365</v>
      </c>
      <c r="N16" s="151">
        <f>N13/N18 </f>
        <v>23.95578951</v>
      </c>
      <c r="O16" s="149" t="s">
        <v>365</v>
      </c>
      <c r="P16" s="152">
        <f>P13/P18 </f>
        <v>22.00088031</v>
      </c>
    </row>
    <row r="17">
      <c r="C17" s="153" t="s">
        <v>143</v>
      </c>
      <c r="D17" s="92">
        <v>2544205.128584984</v>
      </c>
      <c r="K17" s="149" t="s">
        <v>366</v>
      </c>
      <c r="L17" s="150">
        <f>F14/D19 </f>
        <v>9.232027599</v>
      </c>
      <c r="M17" s="149" t="s">
        <v>366</v>
      </c>
      <c r="N17" s="150">
        <f>F35/D29 </f>
        <v>9.954801632</v>
      </c>
      <c r="O17" s="149" t="s">
        <v>366</v>
      </c>
      <c r="P17" s="154">
        <f>F24/D29 </f>
        <v>10.42128394</v>
      </c>
    </row>
    <row r="18">
      <c r="C18" s="153" t="s">
        <v>347</v>
      </c>
      <c r="D18" s="92">
        <v>2599174.128584984</v>
      </c>
      <c r="I18" s="12" t="s">
        <v>367</v>
      </c>
      <c r="K18" s="149" t="s">
        <v>368</v>
      </c>
      <c r="L18" s="150">
        <f>H14/D19 </f>
        <v>10.9401345</v>
      </c>
      <c r="M18" s="149" t="s">
        <v>368</v>
      </c>
      <c r="N18" s="150">
        <f>H35/D29 </f>
        <v>12.26050178</v>
      </c>
      <c r="O18" s="149" t="s">
        <v>368</v>
      </c>
      <c r="P18" s="154">
        <f>H24/D29 </f>
        <v>13.34992036</v>
      </c>
    </row>
    <row r="19">
      <c r="C19" s="153" t="s">
        <v>349</v>
      </c>
      <c r="D19" s="153">
        <v>7460.0</v>
      </c>
      <c r="I19" s="92">
        <f>D14/D19 </f>
        <v>8.37203179</v>
      </c>
      <c r="K19" s="149" t="s">
        <v>369</v>
      </c>
      <c r="L19" s="150">
        <v>1.5</v>
      </c>
      <c r="M19" s="149" t="s">
        <v>369</v>
      </c>
      <c r="N19" s="150">
        <v>1.7</v>
      </c>
      <c r="O19" s="149" t="s">
        <v>369</v>
      </c>
      <c r="P19" s="154">
        <v>1.8</v>
      </c>
    </row>
    <row r="20">
      <c r="C20" s="153" t="s">
        <v>351</v>
      </c>
      <c r="D20" s="92">
        <v>348.4147625449041</v>
      </c>
      <c r="K20" s="149" t="s">
        <v>370</v>
      </c>
      <c r="L20" s="150">
        <v>1.7</v>
      </c>
      <c r="M20" s="149" t="s">
        <v>370</v>
      </c>
      <c r="N20" s="150">
        <v>2.2</v>
      </c>
      <c r="O20" s="149" t="s">
        <v>370</v>
      </c>
      <c r="P20" s="154">
        <v>2.5</v>
      </c>
    </row>
    <row r="21">
      <c r="C21" s="153" t="s">
        <v>353</v>
      </c>
      <c r="D21" s="153">
        <v>293.71</v>
      </c>
      <c r="K21" s="149" t="s">
        <v>371</v>
      </c>
      <c r="L21" s="155">
        <v>1.78</v>
      </c>
      <c r="M21" s="149" t="s">
        <v>372</v>
      </c>
      <c r="N21" s="155">
        <v>1.78</v>
      </c>
      <c r="O21" s="149" t="s">
        <v>372</v>
      </c>
      <c r="P21" s="156">
        <v>1.78</v>
      </c>
    </row>
    <row r="22">
      <c r="F22" s="92">
        <f>D24/D29 </f>
        <v>8.664738572</v>
      </c>
      <c r="K22" s="157" t="s">
        <v>373</v>
      </c>
      <c r="L22" s="158">
        <v>0.2508</v>
      </c>
      <c r="M22" s="157" t="s">
        <v>373</v>
      </c>
      <c r="N22" s="158">
        <v>0.2508</v>
      </c>
      <c r="O22" s="157" t="s">
        <v>373</v>
      </c>
      <c r="P22" s="159">
        <v>0.2508</v>
      </c>
    </row>
    <row r="23">
      <c r="C23" s="12" t="s">
        <v>358</v>
      </c>
      <c r="K23" s="145" t="s">
        <v>347</v>
      </c>
      <c r="L23" s="108">
        <v>2599174.128584984</v>
      </c>
      <c r="M23" s="145" t="s">
        <v>347</v>
      </c>
      <c r="N23" s="108">
        <v>2891358.5562689346</v>
      </c>
      <c r="O23" s="145" t="s">
        <v>347</v>
      </c>
      <c r="P23" s="160">
        <v>3129624.5296503417</v>
      </c>
    </row>
    <row r="24">
      <c r="C24" s="153" t="s">
        <v>339</v>
      </c>
      <c r="D24" s="92">
        <v>64638.949745218844</v>
      </c>
      <c r="E24" s="92">
        <v>71377.33831280831</v>
      </c>
      <c r="F24" s="92">
        <v>77742.77816456133</v>
      </c>
      <c r="G24" s="92">
        <v>84974.73673007927</v>
      </c>
      <c r="H24" s="92">
        <v>99590.4058804116</v>
      </c>
      <c r="K24" s="161" t="s">
        <v>351</v>
      </c>
      <c r="L24" s="162">
        <v>348.4147625449041</v>
      </c>
      <c r="M24" s="161" t="s">
        <v>351</v>
      </c>
      <c r="N24" s="162">
        <v>387.5815759073639</v>
      </c>
      <c r="O24" s="161" t="s">
        <v>351</v>
      </c>
      <c r="P24" s="163">
        <v>419.0</v>
      </c>
    </row>
    <row r="25">
      <c r="C25" s="153" t="s">
        <v>342</v>
      </c>
      <c r="D25" s="153">
        <v>104750.0</v>
      </c>
    </row>
    <row r="26">
      <c r="C26" s="153" t="s">
        <v>344</v>
      </c>
      <c r="D26" s="92">
        <v>2676331.3208172624</v>
      </c>
    </row>
    <row r="27">
      <c r="C27" s="153" t="s">
        <v>143</v>
      </c>
      <c r="D27" s="92">
        <v>3074655.5296503417</v>
      </c>
    </row>
    <row r="28">
      <c r="C28" s="153" t="s">
        <v>347</v>
      </c>
      <c r="D28" s="92">
        <v>3129624.5296503417</v>
      </c>
      <c r="O28" s="92">
        <v>144312.08455813403</v>
      </c>
    </row>
    <row r="29">
      <c r="C29" s="153" t="s">
        <v>349</v>
      </c>
      <c r="D29" s="153">
        <v>7460.0</v>
      </c>
    </row>
    <row r="30">
      <c r="C30" s="153" t="s">
        <v>351</v>
      </c>
      <c r="D30" s="92">
        <v>419.5207144303407</v>
      </c>
    </row>
    <row r="31">
      <c r="C31" s="153" t="s">
        <v>353</v>
      </c>
      <c r="D31" s="153">
        <v>293.71</v>
      </c>
    </row>
    <row r="32">
      <c r="C32" s="153" t="s">
        <v>355</v>
      </c>
    </row>
    <row r="34">
      <c r="C34" s="12" t="s">
        <v>359</v>
      </c>
    </row>
    <row r="35">
      <c r="C35" s="153" t="s">
        <v>339</v>
      </c>
      <c r="D35" s="92">
        <v>63623.6943213379</v>
      </c>
      <c r="E35" s="92">
        <v>69434.13856773147</v>
      </c>
      <c r="F35" s="92">
        <v>74262.82017422684</v>
      </c>
      <c r="G35" s="92">
        <v>79675.92043081216</v>
      </c>
      <c r="H35" s="92">
        <v>91463.3433145321</v>
      </c>
    </row>
    <row r="36">
      <c r="D36" s="92">
        <f>D35/D29 </f>
        <v>8.528645351</v>
      </c>
    </row>
  </sheetData>
  <mergeCells count="3">
    <mergeCell ref="K11:L11"/>
    <mergeCell ref="M11:N11"/>
    <mergeCell ref="O11:P11"/>
  </mergeCells>
  <drawing r:id="rId1"/>
</worksheet>
</file>