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65DBE6DD-0417-4C58-B4CC-D8B28C34FE40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9" i="5" l="1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08" i="5"/>
  <c r="F49" i="5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E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D147" i="4" s="1"/>
  <c r="E147" i="4" s="1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<sst xmlns="http://schemas.openxmlformats.org/spreadsheetml/2006/main" count="428" uniqueCount="298">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</sst>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67" fontId="0" fillId="0" borderId="0" xfId="0" applyNumberFormat="1">
      <alignment vertical="center"/>
    </xf>
    <xf numFmtId="167" fontId="0" fillId="3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68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73" fontId="0" fillId="4" borderId="0" xfId="0" applyNumberFormat="1" applyFill="1">
      <alignment vertical="center"/>
    </xf>
    <xf numFmtId="174" fontId="0" fillId="4" borderId="0" xfId="0" applyNumberFormat="1" applyFill="1">
      <alignment vertical="center"/>
    </xf>
    <xf numFmtId="168" fontId="0" fillId="2" borderId="0" xfId="1" applyNumberFormat="1" applyFont="1" applyFill="1">
      <alignment vertical="center"/>
    </xf>
    <xf numFmtId="174" fontId="0" fillId="2" borderId="0" xfId="0" applyNumberFormat="1" applyFill="1">
      <alignment vertical="center"/>
    </xf>
    <xf numFmtId="175" fontId="0" fillId="0" borderId="0" xfId="0" applyNumberFormat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0" fontId="0" fillId="0" borderId="0" xfId="2" applyNumberFormat="1" applyFont="1">
      <alignment vertical="center"/>
    </xf>
    <xf numFmtId="14" fontId="0" fillId="0" borderId="2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182033</xdr:colOff>
      <xdr:row>46</xdr:row>
      <xdr:rowOff>198966</xdr:rowOff>
    </xdr:from>
    <xdr:to>
      <xdr:col>16</xdr:col>
      <xdr:colOff>338666</xdr:colOff>
      <xdr:row>63</xdr:row>
      <xdr:rowOff>118533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444499</xdr:colOff>
      <xdr:row>104</xdr:row>
      <xdr:rowOff>178855</xdr:rowOff>
    </xdr:from>
    <xdr:to>
      <xdr:col>20</xdr:col>
      <xdr:colOff>116416</xdr:colOff>
      <xdr:row>123</xdr:row>
      <xdr:rowOff>84664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5"/>
  <cols>
    <col min="2" max="2" width="23.28515625" customWidth="1"/>
    <col min="4" max="4" width="9.85546875" bestFit="1" customWidth="1"/>
    <col min="8" max="8" width="24.140625" bestFit="1" customWidth="1"/>
  </cols>
  <sheetData>
    <row r="2" spans="2:4" ht="33.75">
      <c r="B2" s="15" t="s">
        <v>292</v>
      </c>
    </row>
    <row r="4" spans="2:4">
      <c r="B4" s="21" t="s">
        <v>295</v>
      </c>
      <c r="C4">
        <v>6.25E-2</v>
      </c>
    </row>
    <row r="5" spans="2:4">
      <c r="B5" s="21"/>
    </row>
    <row r="6" spans="2:4">
      <c r="B6" s="21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.7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.7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/>
        <v>1220.9983991771542</v>
      </c>
      <c r="O30">
        <v>0.01</v>
      </c>
      <c r="P30">
        <f t="dataTable" ref="P30:P52" dt2D="0" dtr="0" r1="I30" ca="1"/>
        <v>1854.4338616001187</v>
      </c>
    </row>
    <row r="31" spans="2:16" ht="15.7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.7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5"/>
  <cols>
    <col min="2" max="2" width="24.140625" bestFit="1" customWidth="1"/>
    <col min="5" max="5" width="16.140625" bestFit="1" customWidth="1"/>
    <col min="6" max="6" width="15.140625" customWidth="1"/>
    <col min="7" max="7" width="13.28515625" bestFit="1" customWidth="1"/>
    <col min="8" max="10" width="13.28515625" customWidth="1"/>
    <col min="12" max="12" width="11.140625" customWidth="1"/>
  </cols>
  <sheetData>
    <row r="1" spans="2:12" ht="15.7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5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.7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.7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.7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309" zoomScale="90" zoomScaleNormal="90" workbookViewId="0">
      <selection activeCell="G267" sqref="G267"/>
    </sheetView>
  </sheetViews>
  <sheetFormatPr defaultRowHeight="15"/>
  <cols>
    <col min="2" max="2" width="13.85546875" customWidth="1"/>
    <col min="3" max="3" width="12.28515625" customWidth="1"/>
    <col min="4" max="4" width="16.140625" customWidth="1"/>
    <col min="5" max="5" width="15.7109375" customWidth="1"/>
    <col min="6" max="6" width="14" customWidth="1"/>
    <col min="7" max="7" width="15.42578125" customWidth="1"/>
    <col min="8" max="8" width="18" customWidth="1"/>
    <col min="9" max="10" width="19" customWidth="1"/>
    <col min="11" max="11" width="18.28515625" customWidth="1"/>
    <col min="12" max="12" width="15.28515625" customWidth="1"/>
  </cols>
  <sheetData>
    <row r="2" spans="2:10" ht="33.75">
      <c r="B2" s="15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13">
        <f>G9</f>
        <v>-3.2925993309618207E-7</v>
      </c>
    </row>
    <row r="8" spans="2:10">
      <c r="B8">
        <v>1</v>
      </c>
      <c r="C8">
        <v>100</v>
      </c>
      <c r="D8" s="1">
        <f>C8/(1+$G$7)^B8</f>
        <v>90.090019158687696</v>
      </c>
      <c r="F8" t="s">
        <v>26</v>
      </c>
      <c r="G8">
        <v>903.1</v>
      </c>
      <c r="I8">
        <v>0.01</v>
      </c>
      <c r="J8" s="1">
        <f t="dataTable" ref="J8:J27" dt2D="0" dtr="0" r1="G7"/>
        <v>351.97886520637178</v>
      </c>
    </row>
    <row r="9" spans="2:10">
      <c r="B9">
        <v>2</v>
      </c>
      <c r="C9">
        <v>100</v>
      </c>
      <c r="D9" s="1">
        <f>C9/(1+$G$7)^B9</f>
        <v>81.162115520127145</v>
      </c>
      <c r="F9" t="s">
        <v>28</v>
      </c>
      <c r="G9" s="14">
        <f>D12-G8</f>
        <v>-3.2925993309618207E-7</v>
      </c>
      <c r="I9">
        <v>0.02</v>
      </c>
      <c r="J9" s="1">
        <v>309.13375329129178</v>
      </c>
    </row>
    <row r="10" spans="2:10">
      <c r="B10">
        <v>3</v>
      </c>
      <c r="C10">
        <v>100</v>
      </c>
      <c r="D10" s="1">
        <f>C10/(1+$G$7)^B10</f>
        <v>73.11896542167878</v>
      </c>
      <c r="I10">
        <v>0.03</v>
      </c>
      <c r="J10" s="1">
        <v>268.24818340515719</v>
      </c>
    </row>
    <row r="11" spans="2:10">
      <c r="B11">
        <v>4</v>
      </c>
      <c r="C11">
        <v>1000</v>
      </c>
      <c r="D11" s="1">
        <f>C11/(1+$G$7)^B11</f>
        <v>658.72889957024643</v>
      </c>
      <c r="I11">
        <v>0.04</v>
      </c>
      <c r="J11" s="1">
        <v>229.21329435243831</v>
      </c>
    </row>
    <row r="12" spans="2:10">
      <c r="C12" s="11" t="s">
        <v>27</v>
      </c>
      <c r="D12" s="12">
        <f>SUM(D8:D11)</f>
        <v>903.09999967074009</v>
      </c>
      <c r="I12">
        <v>0.05</v>
      </c>
      <c r="J12" s="1">
        <v>191.92727772892965</v>
      </c>
    </row>
    <row r="13" spans="2:10">
      <c r="I13">
        <v>0.06</v>
      </c>
      <c r="J13" s="1">
        <v>156.29485818418414</v>
      </c>
    </row>
    <row r="14" spans="2:10">
      <c r="I14">
        <v>7.0000000000000007E-2</v>
      </c>
      <c r="J14" s="1">
        <v>122.22681648916512</v>
      </c>
    </row>
    <row r="15" spans="2:10">
      <c r="I15">
        <v>0.08</v>
      </c>
      <c r="J15" s="1">
        <v>89.63955152124106</v>
      </c>
    </row>
    <row r="16" spans="2:10">
      <c r="I16">
        <v>0.09</v>
      </c>
      <c r="J16" s="1">
        <v>58.454677664013843</v>
      </c>
    </row>
    <row r="17" spans="2:10">
      <c r="I17">
        <v>0.1</v>
      </c>
      <c r="J17" s="1">
        <v>28.598654463492721</v>
      </c>
    </row>
    <row r="18" spans="2:10">
      <c r="I18">
        <v>0.11</v>
      </c>
      <c r="J18" s="1">
        <v>2.445689590672373E-3</v>
      </c>
    </row>
    <row r="19" spans="2:10">
      <c r="I19">
        <v>0.12</v>
      </c>
      <c r="J19" s="1">
        <v>-27.398794773011446</v>
      </c>
    </row>
    <row r="20" spans="2:10">
      <c r="I20">
        <v>0.13</v>
      </c>
      <c r="J20" s="1">
        <v>-53.666012534235051</v>
      </c>
    </row>
    <row r="21" spans="2:10">
      <c r="I21">
        <v>0.14000000000000001</v>
      </c>
      <c r="J21" s="1">
        <v>-78.856519916965112</v>
      </c>
    </row>
    <row r="22" spans="2:10">
      <c r="I22">
        <v>0.15</v>
      </c>
      <c r="J22" s="1">
        <v>-103.02424269495873</v>
      </c>
    </row>
    <row r="23" spans="2:10">
      <c r="I23">
        <v>0.16</v>
      </c>
      <c r="J23" s="1">
        <v>-126.21994808286934</v>
      </c>
    </row>
    <row r="24" spans="2:10">
      <c r="I24">
        <v>0.17</v>
      </c>
      <c r="J24" s="1">
        <v>-148.49145555083851</v>
      </c>
    </row>
    <row r="25" spans="2:10">
      <c r="I25">
        <v>0.18</v>
      </c>
      <c r="J25" s="1">
        <v>-169.88383189210913</v>
      </c>
    </row>
    <row r="26" spans="2:10">
      <c r="I26">
        <v>0.19</v>
      </c>
      <c r="J26" s="1">
        <v>-190.43957184231192</v>
      </c>
    </row>
    <row r="27" spans="2:10">
      <c r="I27">
        <v>0.2</v>
      </c>
      <c r="J27" s="1">
        <v>-210.19876543209875</v>
      </c>
    </row>
    <row r="30" spans="2:10" ht="33.75">
      <c r="B30" s="15" t="s">
        <v>30</v>
      </c>
    </row>
    <row r="33" spans="2:8" ht="45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6">
        <v>1000000</v>
      </c>
      <c r="D34" s="16">
        <f>C34</f>
        <v>1000000</v>
      </c>
      <c r="E34" s="17">
        <f>D34*$H$33/12</f>
        <v>8333.3333333333339</v>
      </c>
    </row>
    <row r="35" spans="2:8">
      <c r="B35">
        <v>2</v>
      </c>
      <c r="C35" s="16">
        <v>1000000</v>
      </c>
      <c r="D35" s="16">
        <f>D34+C35+E34</f>
        <v>2008333.3333333333</v>
      </c>
      <c r="E35" s="17">
        <f t="shared" ref="E35:E45" si="0">D35*$H$33/12</f>
        <v>16736.111111111113</v>
      </c>
      <c r="H35" s="1"/>
    </row>
    <row r="36" spans="2:8">
      <c r="B36">
        <v>3</v>
      </c>
      <c r="C36" s="16">
        <v>1000000</v>
      </c>
      <c r="D36" s="16">
        <f t="shared" ref="D36:D45" si="1">D35+C36+E35</f>
        <v>3025069.444444444</v>
      </c>
      <c r="E36" s="17">
        <f t="shared" si="0"/>
        <v>25208.912037037036</v>
      </c>
    </row>
    <row r="37" spans="2:8">
      <c r="B37">
        <v>4</v>
      </c>
      <c r="C37" s="16">
        <v>1000000</v>
      </c>
      <c r="D37" s="16">
        <f t="shared" si="1"/>
        <v>4050278.3564814809</v>
      </c>
      <c r="E37" s="17">
        <f t="shared" si="0"/>
        <v>33752.319637345674</v>
      </c>
    </row>
    <row r="38" spans="2:8">
      <c r="B38">
        <v>5</v>
      </c>
      <c r="C38" s="16">
        <v>1000000</v>
      </c>
      <c r="D38" s="16">
        <f t="shared" si="1"/>
        <v>5084030.6761188274</v>
      </c>
      <c r="E38" s="17">
        <f t="shared" si="0"/>
        <v>42366.922300990227</v>
      </c>
    </row>
    <row r="39" spans="2:8">
      <c r="B39">
        <v>6</v>
      </c>
      <c r="C39" s="16">
        <v>1000000</v>
      </c>
      <c r="D39" s="16">
        <f t="shared" si="1"/>
        <v>6126397.5984198181</v>
      </c>
      <c r="E39" s="17">
        <f t="shared" si="0"/>
        <v>51053.313320165151</v>
      </c>
    </row>
    <row r="40" spans="2:8">
      <c r="B40">
        <v>7</v>
      </c>
      <c r="C40" s="16"/>
      <c r="D40" s="16">
        <f t="shared" si="1"/>
        <v>6177450.9117399836</v>
      </c>
      <c r="E40" s="17">
        <f t="shared" si="0"/>
        <v>51478.757597833202</v>
      </c>
    </row>
    <row r="41" spans="2:8">
      <c r="B41">
        <v>8</v>
      </c>
      <c r="C41" s="16"/>
      <c r="D41" s="16">
        <f t="shared" si="1"/>
        <v>6228929.6693378165</v>
      </c>
      <c r="E41" s="17">
        <f t="shared" si="0"/>
        <v>51907.747244481805</v>
      </c>
    </row>
    <row r="42" spans="2:8">
      <c r="B42">
        <v>9</v>
      </c>
      <c r="C42" s="16"/>
      <c r="D42" s="16">
        <f t="shared" si="1"/>
        <v>6280837.4165822985</v>
      </c>
      <c r="E42" s="17">
        <f t="shared" si="0"/>
        <v>52340.311804852485</v>
      </c>
    </row>
    <row r="43" spans="2:8">
      <c r="B43">
        <v>10</v>
      </c>
      <c r="C43" s="16"/>
      <c r="D43" s="16">
        <f t="shared" si="1"/>
        <v>6333177.7283871509</v>
      </c>
      <c r="E43" s="17">
        <f t="shared" si="0"/>
        <v>52776.481069892929</v>
      </c>
    </row>
    <row r="44" spans="2:8">
      <c r="B44">
        <v>11</v>
      </c>
      <c r="C44" s="16"/>
      <c r="D44" s="16">
        <f t="shared" si="1"/>
        <v>6385954.2094570436</v>
      </c>
      <c r="E44" s="17">
        <f t="shared" si="0"/>
        <v>53216.285078808702</v>
      </c>
    </row>
    <row r="45" spans="2:8">
      <c r="B45">
        <v>12</v>
      </c>
      <c r="C45" s="16"/>
      <c r="D45" s="16">
        <f t="shared" si="1"/>
        <v>6439170.4945358522</v>
      </c>
      <c r="E45" s="17">
        <f t="shared" si="0"/>
        <v>53659.754121132108</v>
      </c>
    </row>
    <row r="46" spans="2:8">
      <c r="D46" s="11" t="s">
        <v>36</v>
      </c>
      <c r="E46" s="18">
        <f>SUM(E34:E45)</f>
        <v>492830.24865698384</v>
      </c>
    </row>
    <row r="47" spans="2:8">
      <c r="D47" s="11" t="s">
        <v>37</v>
      </c>
      <c r="E47" s="18">
        <f>D45+E45</f>
        <v>6492830.2486569844</v>
      </c>
    </row>
    <row r="51" spans="2:12" ht="33.75">
      <c r="B51" s="15" t="s">
        <v>40</v>
      </c>
    </row>
    <row r="54" spans="2:12">
      <c r="B54" t="s">
        <v>38</v>
      </c>
      <c r="C54" t="s">
        <v>39</v>
      </c>
      <c r="D54" t="s">
        <v>41</v>
      </c>
      <c r="F54" s="21" t="s">
        <v>47</v>
      </c>
      <c r="G54" s="16">
        <v>1000</v>
      </c>
      <c r="I54" t="s">
        <v>45</v>
      </c>
      <c r="J54" s="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20">
        <f t="shared" ref="C55:C83" si="2">$G$54*$G$55/2</f>
        <v>35</v>
      </c>
      <c r="D55" s="1">
        <f t="shared" ref="D55:D84" si="3">C55/(1+$G$56/$G$58)^B55</f>
        <v>33.816425120772948</v>
      </c>
      <c r="F55" s="21" t="s">
        <v>48</v>
      </c>
      <c r="G55">
        <v>7.0000000000000007E-2</v>
      </c>
      <c r="I55">
        <v>0.01</v>
      </c>
      <c r="J55" s="1">
        <f t="dataTable" ref="J55:J83" dt2D="0" dtr="0" r1="G56"/>
        <v>1833.8216189531172</v>
      </c>
      <c r="K55" s="22">
        <f>$G$54*$G$55/J55</f>
        <v>3.8171651635321678E-2</v>
      </c>
      <c r="L55" s="23">
        <f>I55-K55</f>
        <v>-2.8171651635321676E-2</v>
      </c>
    </row>
    <row r="56" spans="2:12">
      <c r="B56">
        <v>2</v>
      </c>
      <c r="C56" s="20">
        <f t="shared" si="2"/>
        <v>35</v>
      </c>
      <c r="D56" s="1">
        <f t="shared" si="3"/>
        <v>32.672874512824109</v>
      </c>
      <c r="F56" s="21" t="s">
        <v>45</v>
      </c>
      <c r="G56">
        <v>7.0000000000000007E-2</v>
      </c>
      <c r="I56">
        <v>1.4999999999999999E-2</v>
      </c>
      <c r="J56" s="1">
        <v>1736.3147058240854</v>
      </c>
      <c r="K56" s="22">
        <f t="shared" ref="K56:K83" si="4">$G$54*$G$55/J56</f>
        <v>4.0315272205666643E-2</v>
      </c>
      <c r="L56" s="23">
        <f t="shared" ref="L56:L83" si="5">I56-K56</f>
        <v>-2.5315272205666643E-2</v>
      </c>
    </row>
    <row r="57" spans="2:12">
      <c r="B57">
        <v>3</v>
      </c>
      <c r="C57" s="20">
        <f t="shared" si="2"/>
        <v>35</v>
      </c>
      <c r="D57" s="1">
        <f t="shared" si="3"/>
        <v>31.567994698380783</v>
      </c>
      <c r="F57" s="21" t="s">
        <v>42</v>
      </c>
      <c r="G57">
        <v>15</v>
      </c>
      <c r="I57">
        <v>0.02</v>
      </c>
      <c r="J57" s="1">
        <v>1645.1927055321889</v>
      </c>
      <c r="K57" s="22">
        <f t="shared" si="4"/>
        <v>4.2548207127721442E-2</v>
      </c>
      <c r="L57" s="23">
        <f t="shared" si="5"/>
        <v>-2.2548207127721442E-2</v>
      </c>
    </row>
    <row r="58" spans="2:12">
      <c r="B58">
        <v>4</v>
      </c>
      <c r="C58" s="20">
        <f t="shared" si="2"/>
        <v>35</v>
      </c>
      <c r="D58" s="1">
        <f t="shared" si="3"/>
        <v>30.500477969450035</v>
      </c>
      <c r="F58" s="21" t="s">
        <v>43</v>
      </c>
      <c r="G58">
        <v>2</v>
      </c>
      <c r="I58">
        <v>2.5000000000000001E-2</v>
      </c>
      <c r="J58" s="1">
        <v>1560.0003901926498</v>
      </c>
      <c r="K58" s="22">
        <f t="shared" si="4"/>
        <v>4.4871783648307587E-2</v>
      </c>
      <c r="L58" s="23">
        <f t="shared" si="5"/>
        <v>-1.9871783648307585E-2</v>
      </c>
    </row>
    <row r="59" spans="2:12">
      <c r="B59">
        <v>5</v>
      </c>
      <c r="C59" s="20">
        <f t="shared" si="2"/>
        <v>35</v>
      </c>
      <c r="D59" s="1">
        <f t="shared" si="3"/>
        <v>29.469060840048346</v>
      </c>
      <c r="F59" s="21"/>
      <c r="I59">
        <v>0.03</v>
      </c>
      <c r="J59" s="1">
        <v>1480.3167601246862</v>
      </c>
      <c r="K59" s="22">
        <f t="shared" si="4"/>
        <v>4.7287176559497941E-2</v>
      </c>
      <c r="L59" s="23">
        <f t="shared" si="5"/>
        <v>-1.7287176559497942E-2</v>
      </c>
    </row>
    <row r="60" spans="2:12">
      <c r="B60">
        <v>6</v>
      </c>
      <c r="C60" s="20">
        <f t="shared" si="2"/>
        <v>35</v>
      </c>
      <c r="D60" s="1">
        <f t="shared" si="3"/>
        <v>28.472522550771348</v>
      </c>
      <c r="I60">
        <v>3.5000000000000003E-2</v>
      </c>
      <c r="J60" s="1">
        <v>1405.752363503776</v>
      </c>
      <c r="K60" s="22">
        <f t="shared" si="4"/>
        <v>4.9795399116760564E-2</v>
      </c>
      <c r="L60" s="23">
        <f t="shared" si="5"/>
        <v>-1.479539911676056E-2</v>
      </c>
    </row>
    <row r="61" spans="2:12">
      <c r="B61">
        <v>7</v>
      </c>
      <c r="C61" s="20">
        <f t="shared" si="2"/>
        <v>35</v>
      </c>
      <c r="D61" s="1">
        <f t="shared" si="3"/>
        <v>27.509683623933672</v>
      </c>
      <c r="I61">
        <v>0.04</v>
      </c>
      <c r="J61" s="1">
        <v>1335.9468332650663</v>
      </c>
      <c r="K61" s="22">
        <f t="shared" si="4"/>
        <v>5.2397294755300521E-2</v>
      </c>
      <c r="L61" s="23">
        <f t="shared" si="5"/>
        <v>-1.239729475530052E-2</v>
      </c>
    </row>
    <row r="62" spans="2:12">
      <c r="B62">
        <v>8</v>
      </c>
      <c r="C62" s="20">
        <f t="shared" si="2"/>
        <v>35</v>
      </c>
      <c r="D62" s="1">
        <f t="shared" si="3"/>
        <v>26.579404467568768</v>
      </c>
      <c r="I62">
        <v>4.4999999999999998E-2</v>
      </c>
      <c r="J62" s="1">
        <v>1270.5666230971251</v>
      </c>
      <c r="K62" s="22">
        <f t="shared" si="4"/>
        <v>5.5093529711467193E-2</v>
      </c>
      <c r="L62" s="23">
        <f t="shared" si="5"/>
        <v>-1.0093529711467195E-2</v>
      </c>
    </row>
    <row r="63" spans="2:12">
      <c r="B63">
        <v>9</v>
      </c>
      <c r="C63" s="20">
        <f t="shared" si="2"/>
        <v>35</v>
      </c>
      <c r="D63" s="1">
        <f t="shared" si="3"/>
        <v>25.680584026636495</v>
      </c>
      <c r="I63">
        <v>0.05</v>
      </c>
      <c r="J63" s="1">
        <v>1209.3029259276134</v>
      </c>
      <c r="K63" s="22">
        <f t="shared" si="4"/>
        <v>5.7884586648382981E-2</v>
      </c>
      <c r="L63" s="23">
        <f t="shared" si="5"/>
        <v>-7.8845866483829782E-3</v>
      </c>
    </row>
    <row r="64" spans="2:12">
      <c r="B64">
        <v>10</v>
      </c>
      <c r="C64" s="20">
        <f t="shared" si="2"/>
        <v>35</v>
      </c>
      <c r="D64" s="1">
        <f t="shared" si="3"/>
        <v>24.812158479842026</v>
      </c>
      <c r="I64">
        <v>5.5E-2</v>
      </c>
      <c r="J64" s="1">
        <v>1151.8697597260239</v>
      </c>
      <c r="K64" s="22">
        <f t="shared" si="4"/>
        <v>6.0770759375304496E-2</v>
      </c>
      <c r="L64" s="23">
        <f t="shared" si="5"/>
        <v>-5.7707593753044961E-3</v>
      </c>
    </row>
    <row r="65" spans="2:12">
      <c r="B65">
        <v>11</v>
      </c>
      <c r="C65" s="20">
        <f t="shared" si="2"/>
        <v>35</v>
      </c>
      <c r="D65" s="1">
        <f t="shared" si="3"/>
        <v>23.973099980523696</v>
      </c>
      <c r="I65">
        <v>0.06</v>
      </c>
      <c r="J65" s="1">
        <v>1098.0022067473492</v>
      </c>
      <c r="K65" s="22">
        <f t="shared" si="4"/>
        <v>6.3752148738720191E-2</v>
      </c>
      <c r="L65" s="23">
        <f t="shared" si="5"/>
        <v>-3.7521487387201929E-3</v>
      </c>
    </row>
    <row r="66" spans="2:12">
      <c r="B66">
        <v>12</v>
      </c>
      <c r="C66" s="20">
        <f t="shared" si="2"/>
        <v>35</v>
      </c>
      <c r="D66" s="1">
        <f t="shared" si="3"/>
        <v>23.162415440119513</v>
      </c>
      <c r="I66">
        <v>6.5000000000000002E-2</v>
      </c>
      <c r="J66" s="1">
        <v>1047.454793524761</v>
      </c>
      <c r="K66" s="22">
        <f t="shared" si="4"/>
        <v>6.6828659750026012E-2</v>
      </c>
      <c r="L66" s="23">
        <f t="shared" si="5"/>
        <v>-1.8286597500260099E-3</v>
      </c>
    </row>
    <row r="67" spans="2:12">
      <c r="B67">
        <v>13</v>
      </c>
      <c r="C67" s="20">
        <f t="shared" si="2"/>
        <v>35</v>
      </c>
      <c r="D67" s="1">
        <f t="shared" si="3"/>
        <v>22.379145352772483</v>
      </c>
      <c r="I67">
        <v>7.0000000000000007E-2</v>
      </c>
      <c r="J67" s="1">
        <v>1000.0000000000017</v>
      </c>
      <c r="K67" s="22">
        <f t="shared" si="4"/>
        <v>6.9999999999999882E-2</v>
      </c>
      <c r="L67" s="23">
        <f t="shared" si="5"/>
        <v>1.2490009027033011E-16</v>
      </c>
    </row>
    <row r="68" spans="2:12">
      <c r="B68">
        <v>14</v>
      </c>
      <c r="C68" s="20">
        <f t="shared" si="2"/>
        <v>35</v>
      </c>
      <c r="D68" s="1">
        <f t="shared" si="3"/>
        <v>21.622362659683557</v>
      </c>
      <c r="I68">
        <v>7.4999999999999997E-2</v>
      </c>
      <c r="J68" s="1">
        <v>955.42688716604039</v>
      </c>
      <c r="K68" s="22">
        <f t="shared" si="4"/>
        <v>7.3265679394508121E-2</v>
      </c>
      <c r="L68" s="23">
        <f t="shared" si="5"/>
        <v>1.7343206054918764E-3</v>
      </c>
    </row>
    <row r="69" spans="2:12">
      <c r="B69">
        <v>15</v>
      </c>
      <c r="C69" s="20">
        <f t="shared" si="2"/>
        <v>35</v>
      </c>
      <c r="D69" s="1">
        <f t="shared" si="3"/>
        <v>20.891171651868174</v>
      </c>
      <c r="I69">
        <v>0.08</v>
      </c>
      <c r="J69" s="1">
        <v>913.53983349667669</v>
      </c>
      <c r="K69" s="22">
        <f t="shared" si="4"/>
        <v>7.6625011229195239E-2</v>
      </c>
      <c r="L69" s="23">
        <f t="shared" si="5"/>
        <v>3.3749887708047627E-3</v>
      </c>
    </row>
    <row r="70" spans="2:12">
      <c r="B70">
        <v>16</v>
      </c>
      <c r="C70" s="20">
        <f t="shared" si="2"/>
        <v>35</v>
      </c>
      <c r="D70" s="1">
        <f t="shared" si="3"/>
        <v>20.184706910017564</v>
      </c>
      <c r="I70">
        <v>8.5000000000000006E-2</v>
      </c>
      <c r="J70" s="1">
        <v>874.1573712592467</v>
      </c>
      <c r="K70" s="22">
        <f t="shared" si="4"/>
        <v>8.0077114603704772E-2</v>
      </c>
      <c r="L70" s="23">
        <f t="shared" si="5"/>
        <v>4.9228853962952346E-3</v>
      </c>
    </row>
    <row r="71" spans="2:12">
      <c r="B71">
        <v>17</v>
      </c>
      <c r="C71" s="20">
        <f t="shared" si="2"/>
        <v>35</v>
      </c>
      <c r="D71" s="1">
        <f t="shared" si="3"/>
        <v>19.502132280210205</v>
      </c>
      <c r="I71">
        <v>0.09</v>
      </c>
      <c r="J71" s="1">
        <v>837.11111455711318</v>
      </c>
      <c r="K71" s="22">
        <f t="shared" si="4"/>
        <v>8.3620918158558447E-2</v>
      </c>
      <c r="L71" s="23">
        <f t="shared" si="5"/>
        <v>6.3790818414415501E-3</v>
      </c>
    </row>
    <row r="72" spans="2:12">
      <c r="B72">
        <v>18</v>
      </c>
      <c r="C72" s="20">
        <f t="shared" si="2"/>
        <v>35</v>
      </c>
      <c r="D72" s="1">
        <f t="shared" si="3"/>
        <v>18.842639884261072</v>
      </c>
      <c r="I72">
        <v>9.5000000000000001E-2</v>
      </c>
      <c r="J72" s="1">
        <v>802.24477163378197</v>
      </c>
      <c r="K72" s="22">
        <f t="shared" si="4"/>
        <v>8.7255165100601509E-2</v>
      </c>
      <c r="L72" s="23">
        <f t="shared" si="5"/>
        <v>7.7448348993984922E-3</v>
      </c>
    </row>
    <row r="73" spans="2:12">
      <c r="B73">
        <v>19</v>
      </c>
      <c r="C73" s="20">
        <f t="shared" si="2"/>
        <v>35</v>
      </c>
      <c r="D73" s="1">
        <f t="shared" si="3"/>
        <v>18.205449163537267</v>
      </c>
      <c r="I73">
        <v>0.1</v>
      </c>
      <c r="J73" s="1">
        <v>769.41323459675755</v>
      </c>
      <c r="K73" s="22">
        <f t="shared" si="4"/>
        <v>9.0978419466213573E-2</v>
      </c>
      <c r="L73" s="23">
        <f t="shared" si="5"/>
        <v>9.021580533786433E-3</v>
      </c>
    </row>
    <row r="74" spans="2:12">
      <c r="B74">
        <v>20</v>
      </c>
      <c r="C74" s="20">
        <f t="shared" si="2"/>
        <v>35</v>
      </c>
      <c r="D74" s="1">
        <f t="shared" si="3"/>
        <v>17.589805955108474</v>
      </c>
      <c r="I74">
        <v>0.105</v>
      </c>
      <c r="J74" s="1">
        <v>738.48174029131746</v>
      </c>
      <c r="K74" s="22">
        <f t="shared" si="4"/>
        <v>9.4789073555679643E-2</v>
      </c>
      <c r="L74" s="23">
        <f t="shared" si="5"/>
        <v>1.0210926444320353E-2</v>
      </c>
    </row>
    <row r="75" spans="2:12">
      <c r="B75">
        <v>21</v>
      </c>
      <c r="C75" s="20">
        <f t="shared" si="2"/>
        <v>35</v>
      </c>
      <c r="D75" s="1">
        <f t="shared" si="3"/>
        <v>16.994981599138622</v>
      </c>
      <c r="I75">
        <v>0.11</v>
      </c>
      <c r="J75" s="1">
        <v>709.32509657755918</v>
      </c>
      <c r="K75" s="22">
        <f t="shared" si="4"/>
        <v>9.8685356457490075E-2</v>
      </c>
      <c r="L75" s="23">
        <f t="shared" si="5"/>
        <v>1.1314643542509925E-2</v>
      </c>
    </row>
    <row r="76" spans="2:12">
      <c r="B76">
        <v>22</v>
      </c>
      <c r="C76" s="20">
        <f t="shared" si="2"/>
        <v>35</v>
      </c>
      <c r="D76" s="1">
        <f t="shared" si="3"/>
        <v>16.420272076462439</v>
      </c>
      <c r="I76">
        <v>0.115</v>
      </c>
      <c r="J76" s="1">
        <v>681.82696874204225</v>
      </c>
      <c r="K76" s="22">
        <f t="shared" si="4"/>
        <v>0.10266534356824968</v>
      </c>
      <c r="L76" s="23">
        <f t="shared" si="5"/>
        <v>1.2334656431750329E-2</v>
      </c>
    </row>
    <row r="77" spans="2:12">
      <c r="B77">
        <v>23</v>
      </c>
      <c r="C77" s="20">
        <f t="shared" si="2"/>
        <v>35</v>
      </c>
      <c r="D77" s="1">
        <f t="shared" si="3"/>
        <v>15.864997175326026</v>
      </c>
      <c r="I77">
        <v>0.12</v>
      </c>
      <c r="J77" s="1">
        <v>655.8792212127637</v>
      </c>
      <c r="K77" s="22">
        <f t="shared" si="4"/>
        <v>0.10672696700249995</v>
      </c>
      <c r="L77" s="23">
        <f t="shared" si="5"/>
        <v>1.3273032997500045E-2</v>
      </c>
    </row>
    <row r="78" spans="2:12">
      <c r="B78">
        <v>24</v>
      </c>
      <c r="C78" s="20">
        <f t="shared" si="2"/>
        <v>35</v>
      </c>
      <c r="D78" s="1">
        <f t="shared" si="3"/>
        <v>15.328499686305344</v>
      </c>
      <c r="I78">
        <v>0.125</v>
      </c>
      <c r="J78" s="1">
        <v>631.38131014604369</v>
      </c>
      <c r="K78" s="22">
        <f t="shared" si="4"/>
        <v>0.110868026777366</v>
      </c>
      <c r="L78" s="23">
        <f t="shared" si="5"/>
        <v>1.4131973222634001E-2</v>
      </c>
    </row>
    <row r="79" spans="2:12">
      <c r="B79">
        <v>25</v>
      </c>
      <c r="C79" s="20">
        <f t="shared" si="2"/>
        <v>35</v>
      </c>
      <c r="D79" s="1">
        <f t="shared" si="3"/>
        <v>14.81014462444961</v>
      </c>
      <c r="I79">
        <v>0.13</v>
      </c>
      <c r="J79" s="1">
        <v>608.23972281991416</v>
      </c>
      <c r="K79" s="22">
        <f t="shared" si="4"/>
        <v>0.1150862026496178</v>
      </c>
      <c r="L79" s="23">
        <f t="shared" si="5"/>
        <v>1.4913797350382202E-2</v>
      </c>
    </row>
    <row r="80" spans="2:12">
      <c r="B80">
        <v>26</v>
      </c>
      <c r="C80" s="20">
        <f t="shared" si="2"/>
        <v>35</v>
      </c>
      <c r="D80" s="1">
        <f t="shared" si="3"/>
        <v>14.309318477729091</v>
      </c>
      <c r="I80">
        <v>0.13500000000000001</v>
      </c>
      <c r="J80" s="1">
        <v>586.36746010335878</v>
      </c>
      <c r="K80" s="22">
        <f t="shared" si="4"/>
        <v>0.11937906647763354</v>
      </c>
      <c r="L80" s="23">
        <f t="shared" si="5"/>
        <v>1.5620933522366473E-2</v>
      </c>
    </row>
    <row r="81" spans="2:12">
      <c r="B81">
        <v>27</v>
      </c>
      <c r="C81" s="20">
        <f t="shared" si="2"/>
        <v>35</v>
      </c>
      <c r="D81" s="1">
        <f t="shared" si="3"/>
        <v>13.825428480897672</v>
      </c>
      <c r="I81">
        <v>0.14000000000000001</v>
      </c>
      <c r="J81" s="1">
        <v>565.68355857729478</v>
      </c>
      <c r="K81" s="22">
        <f t="shared" si="4"/>
        <v>0.12374409497785541</v>
      </c>
      <c r="L81" s="23">
        <f t="shared" si="5"/>
        <v>1.6255905022144607E-2</v>
      </c>
    </row>
    <row r="82" spans="2:12">
      <c r="B82">
        <v>28</v>
      </c>
      <c r="C82" s="20">
        <f t="shared" si="2"/>
        <v>35</v>
      </c>
      <c r="D82" s="1">
        <f t="shared" si="3"/>
        <v>13.357901913910794</v>
      </c>
      <c r="I82">
        <v>0.14499999999999999</v>
      </c>
      <c r="J82" s="1">
        <v>546.11264916376149</v>
      </c>
      <c r="K82" s="22">
        <f t="shared" si="4"/>
        <v>0.12817868274464608</v>
      </c>
      <c r="L82" s="23">
        <f t="shared" si="5"/>
        <v>1.6821317255353907E-2</v>
      </c>
    </row>
    <row r="83" spans="2:12">
      <c r="B83">
        <v>29</v>
      </c>
      <c r="C83" s="20">
        <f t="shared" si="2"/>
        <v>35</v>
      </c>
      <c r="D83" s="1">
        <f t="shared" si="3"/>
        <v>12.906185424068404</v>
      </c>
      <c r="I83">
        <v>0.15</v>
      </c>
      <c r="J83" s="1">
        <v>527.58454937671468</v>
      </c>
      <c r="K83" s="22">
        <f t="shared" si="4"/>
        <v>0.13268015540390179</v>
      </c>
      <c r="L83" s="23">
        <f t="shared" si="5"/>
        <v>1.7319844596098199E-2</v>
      </c>
    </row>
    <row r="84" spans="2:12">
      <c r="B84">
        <v>30</v>
      </c>
      <c r="C84" s="20">
        <f>$G$54*$G$55/2 + G54</f>
        <v>1035</v>
      </c>
      <c r="D84" s="1">
        <f t="shared" si="3"/>
        <v>368.74815497338295</v>
      </c>
    </row>
    <row r="85" spans="2:12">
      <c r="C85" s="11" t="s">
        <v>44</v>
      </c>
      <c r="D85" s="12">
        <f>SUM(D55:D84)</f>
        <v>1000.0000000000017</v>
      </c>
    </row>
    <row r="86" spans="2:12">
      <c r="D86" s="19"/>
    </row>
    <row r="89" spans="2:12" ht="33.75">
      <c r="B89" s="15" t="s">
        <v>50</v>
      </c>
    </row>
    <row r="92" spans="2:12">
      <c r="B92" t="s">
        <v>22</v>
      </c>
      <c r="C92" t="s">
        <v>23</v>
      </c>
      <c r="D92" t="s">
        <v>24</v>
      </c>
      <c r="F92" s="21" t="s">
        <v>53</v>
      </c>
      <c r="G92" s="16">
        <v>1000</v>
      </c>
    </row>
    <row r="93" spans="2:12">
      <c r="B93">
        <v>1</v>
      </c>
      <c r="C93" s="20">
        <f>$G$92*$G$94/2</f>
        <v>55</v>
      </c>
      <c r="D93" s="1">
        <f>C93/(1+$G$95/$G$97)^B93</f>
        <v>52.748923068121243</v>
      </c>
      <c r="F93" s="21" t="s">
        <v>52</v>
      </c>
      <c r="G93" s="16">
        <v>1055</v>
      </c>
    </row>
    <row r="94" spans="2:12">
      <c r="B94">
        <v>2</v>
      </c>
      <c r="C94" s="20">
        <f t="shared" ref="C94:C107" si="6">$G$92*$G$94/2</f>
        <v>55</v>
      </c>
      <c r="D94" s="1">
        <f t="shared" ref="D94:D108" si="7">C94/(1+$G$95/$G$97)^B94</f>
        <v>50.58997972448315</v>
      </c>
      <c r="F94" s="21" t="s">
        <v>48</v>
      </c>
      <c r="G94">
        <v>0.11</v>
      </c>
    </row>
    <row r="95" spans="2:12">
      <c r="B95">
        <v>3</v>
      </c>
      <c r="C95" s="20">
        <f t="shared" si="6"/>
        <v>55</v>
      </c>
      <c r="D95" s="1">
        <f t="shared" si="7"/>
        <v>48.519399063719547</v>
      </c>
      <c r="F95" s="21" t="s">
        <v>45</v>
      </c>
      <c r="G95" s="24">
        <v>8.5350630911332992E-2</v>
      </c>
    </row>
    <row r="96" spans="2:12">
      <c r="B96">
        <v>4</v>
      </c>
      <c r="C96" s="20">
        <f t="shared" si="6"/>
        <v>55</v>
      </c>
      <c r="D96" s="1">
        <f t="shared" si="7"/>
        <v>46.533564518611207</v>
      </c>
      <c r="F96" s="21" t="s">
        <v>51</v>
      </c>
      <c r="G96">
        <v>8</v>
      </c>
    </row>
    <row r="97" spans="2:7">
      <c r="B97">
        <v>5</v>
      </c>
      <c r="C97" s="20">
        <f t="shared" si="6"/>
        <v>55</v>
      </c>
      <c r="D97" s="1">
        <f t="shared" si="7"/>
        <v>44.629007543230529</v>
      </c>
      <c r="F97" s="21" t="s">
        <v>43</v>
      </c>
      <c r="G97">
        <v>2</v>
      </c>
    </row>
    <row r="98" spans="2:7">
      <c r="B98">
        <v>6</v>
      </c>
      <c r="C98" s="20">
        <f t="shared" si="6"/>
        <v>55</v>
      </c>
      <c r="D98" s="1">
        <f t="shared" si="7"/>
        <v>42.802401554626719</v>
      </c>
      <c r="F98" s="21" t="s">
        <v>54</v>
      </c>
      <c r="G98" s="16">
        <v>1169</v>
      </c>
    </row>
    <row r="99" spans="2:7">
      <c r="B99">
        <v>7</v>
      </c>
      <c r="C99" s="20">
        <f t="shared" si="6"/>
        <v>55</v>
      </c>
      <c r="D99" s="1">
        <f t="shared" si="7"/>
        <v>41.050556122469771</v>
      </c>
    </row>
    <row r="100" spans="2:7">
      <c r="B100">
        <v>8</v>
      </c>
      <c r="C100" s="20">
        <f t="shared" si="6"/>
        <v>55</v>
      </c>
      <c r="D100" s="1">
        <f t="shared" si="7"/>
        <v>39.370411396504579</v>
      </c>
    </row>
    <row r="101" spans="2:7">
      <c r="B101">
        <v>9</v>
      </c>
      <c r="C101" s="20">
        <f t="shared" si="6"/>
        <v>55</v>
      </c>
      <c r="D101" s="1">
        <f t="shared" si="7"/>
        <v>37.759032762081894</v>
      </c>
    </row>
    <row r="102" spans="2:7">
      <c r="B102">
        <v>10</v>
      </c>
      <c r="C102" s="20">
        <f t="shared" si="6"/>
        <v>55</v>
      </c>
      <c r="D102" s="1">
        <f t="shared" si="7"/>
        <v>36.213605714431402</v>
      </c>
    </row>
    <row r="103" spans="2:7">
      <c r="B103">
        <v>11</v>
      </c>
      <c r="C103" s="20">
        <f t="shared" si="6"/>
        <v>55</v>
      </c>
      <c r="D103" s="1">
        <f t="shared" si="7"/>
        <v>34.731430942723961</v>
      </c>
    </row>
    <row r="104" spans="2:7">
      <c r="B104">
        <v>12</v>
      </c>
      <c r="C104" s="20">
        <f t="shared" si="6"/>
        <v>55</v>
      </c>
      <c r="D104" s="1">
        <f t="shared" si="7"/>
        <v>33.309919615336582</v>
      </c>
    </row>
    <row r="105" spans="2:7">
      <c r="B105">
        <v>13</v>
      </c>
      <c r="C105" s="20">
        <f t="shared" si="6"/>
        <v>55</v>
      </c>
      <c r="D105" s="1">
        <f t="shared" si="7"/>
        <v>31.94658885808531</v>
      </c>
    </row>
    <row r="106" spans="2:7">
      <c r="B106">
        <v>14</v>
      </c>
      <c r="C106" s="20">
        <f t="shared" si="6"/>
        <v>55</v>
      </c>
      <c r="D106" s="1">
        <f t="shared" si="7"/>
        <v>30.639057417528019</v>
      </c>
    </row>
    <row r="107" spans="2:7">
      <c r="B107">
        <v>15</v>
      </c>
      <c r="C107" s="20">
        <f t="shared" si="6"/>
        <v>55</v>
      </c>
      <c r="D107" s="1">
        <f t="shared" si="7"/>
        <v>29.385041501762451</v>
      </c>
    </row>
    <row r="108" spans="2:7">
      <c r="B108">
        <v>16</v>
      </c>
      <c r="C108" s="20">
        <f>$G$92*$G$94/2+G93</f>
        <v>1110</v>
      </c>
      <c r="D108" s="1">
        <f t="shared" si="7"/>
        <v>568.77107960936189</v>
      </c>
    </row>
    <row r="109" spans="2:7">
      <c r="C109" s="11" t="s">
        <v>44</v>
      </c>
      <c r="D109" s="12">
        <f>SUM(D93:D108)</f>
        <v>1168.9999994130781</v>
      </c>
    </row>
    <row r="110" spans="2:7">
      <c r="C110" t="s">
        <v>55</v>
      </c>
      <c r="D110" s="19">
        <f>D109-G98</f>
        <v>-5.8692194215836935E-7</v>
      </c>
    </row>
    <row r="113" spans="2:11" ht="33.75">
      <c r="B113" s="15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21" t="s">
        <v>67</v>
      </c>
      <c r="H116" s="26">
        <v>7225000</v>
      </c>
      <c r="J116" s="28"/>
      <c r="K116" t="s">
        <v>61</v>
      </c>
    </row>
    <row r="117" spans="2:11">
      <c r="B117" s="25">
        <v>40603</v>
      </c>
      <c r="C117">
        <v>1</v>
      </c>
      <c r="D117" s="31">
        <f>100*$H$118/2</f>
        <v>2.25</v>
      </c>
      <c r="E117" s="1">
        <f>D117/(1+$H$119/$H$122)^(C117-1+$H$134)</f>
        <v>2.2175139318676411</v>
      </c>
      <c r="G117" s="21" t="s">
        <v>60</v>
      </c>
      <c r="H117" s="27">
        <v>49919</v>
      </c>
    </row>
    <row r="118" spans="2:11">
      <c r="B118" s="25">
        <v>40787</v>
      </c>
      <c r="C118">
        <v>2</v>
      </c>
      <c r="D118" s="31">
        <f t="shared" ref="D118:D161" si="8">100*$H$118/2</f>
        <v>2.25</v>
      </c>
      <c r="E118" s="1">
        <f t="shared" ref="E118:E162" si="9">D118/(1+$H$119/$H$122)^(C118-1+$H$134)</f>
        <v>2.1677588491700295</v>
      </c>
      <c r="G118" s="21" t="s">
        <v>48</v>
      </c>
      <c r="H118" s="32">
        <v>4.4999999999999998E-2</v>
      </c>
    </row>
    <row r="119" spans="2:11">
      <c r="B119" s="25">
        <v>40969</v>
      </c>
      <c r="C119">
        <v>3</v>
      </c>
      <c r="D119" s="31">
        <f t="shared" si="8"/>
        <v>2.25</v>
      </c>
      <c r="E119" s="1">
        <f t="shared" si="9"/>
        <v>2.1191201374763025</v>
      </c>
      <c r="G119" s="21" t="s">
        <v>45</v>
      </c>
      <c r="H119" s="24">
        <v>4.5904628844357961E-2</v>
      </c>
    </row>
    <row r="120" spans="2:11">
      <c r="B120" s="25">
        <v>41153</v>
      </c>
      <c r="C120">
        <v>4</v>
      </c>
      <c r="D120" s="31">
        <f t="shared" si="8"/>
        <v>2.25</v>
      </c>
      <c r="E120" s="1">
        <f t="shared" si="9"/>
        <v>2.0715727484064597</v>
      </c>
      <c r="G120" s="21" t="s">
        <v>52</v>
      </c>
      <c r="H120" s="26">
        <v>100</v>
      </c>
      <c r="I120" t="s">
        <v>57</v>
      </c>
    </row>
    <row r="121" spans="2:11">
      <c r="B121" s="25">
        <v>41334</v>
      </c>
      <c r="C121">
        <v>5</v>
      </c>
      <c r="D121" s="31">
        <f t="shared" si="8"/>
        <v>2.25</v>
      </c>
      <c r="E121" s="1">
        <f t="shared" si="9"/>
        <v>2.025092195599167</v>
      </c>
      <c r="G121" s="21" t="s">
        <v>58</v>
      </c>
      <c r="H121" s="27">
        <v>44075</v>
      </c>
    </row>
    <row r="122" spans="2:11">
      <c r="B122" s="25">
        <v>41518</v>
      </c>
      <c r="C122">
        <v>6</v>
      </c>
      <c r="D122" s="31">
        <f t="shared" si="8"/>
        <v>2.25</v>
      </c>
      <c r="E122" s="1">
        <f t="shared" si="9"/>
        <v>1.979654542101557</v>
      </c>
      <c r="G122" s="21" t="s">
        <v>43</v>
      </c>
      <c r="H122" s="28">
        <v>2</v>
      </c>
    </row>
    <row r="123" spans="2:11">
      <c r="B123" s="25">
        <v>41699</v>
      </c>
      <c r="C123">
        <v>7</v>
      </c>
      <c r="D123" s="31">
        <f t="shared" si="8"/>
        <v>2.25</v>
      </c>
      <c r="E123" s="1">
        <f t="shared" si="9"/>
        <v>1.9352363880419754</v>
      </c>
      <c r="G123" s="21" t="s">
        <v>54</v>
      </c>
      <c r="H123" s="29">
        <v>99.531000000000006</v>
      </c>
      <c r="I123" t="s">
        <v>69</v>
      </c>
    </row>
    <row r="124" spans="2:11">
      <c r="B124" s="25">
        <v>41883</v>
      </c>
      <c r="C124">
        <v>8</v>
      </c>
      <c r="D124" s="31">
        <f t="shared" si="8"/>
        <v>2.25</v>
      </c>
      <c r="E124" s="1">
        <f t="shared" si="9"/>
        <v>1.8918148585793129</v>
      </c>
      <c r="G124" s="21" t="s">
        <v>59</v>
      </c>
      <c r="H124" s="27">
        <v>40487</v>
      </c>
      <c r="I124" t="s">
        <v>71</v>
      </c>
    </row>
    <row r="125" spans="2:11">
      <c r="B125" s="25">
        <v>42064</v>
      </c>
      <c r="C125">
        <v>9</v>
      </c>
      <c r="D125" s="31">
        <f t="shared" si="8"/>
        <v>2.25</v>
      </c>
      <c r="E125" s="1">
        <f t="shared" si="9"/>
        <v>1.8493675921227237</v>
      </c>
    </row>
    <row r="126" spans="2:11">
      <c r="B126" s="25">
        <v>42248</v>
      </c>
      <c r="C126">
        <v>10</v>
      </c>
      <c r="D126" s="31">
        <f t="shared" si="8"/>
        <v>2.25</v>
      </c>
      <c r="E126" s="1">
        <f t="shared" si="9"/>
        <v>1.8078727288156642</v>
      </c>
      <c r="G126" s="21" t="s">
        <v>66</v>
      </c>
    </row>
    <row r="127" spans="2:11">
      <c r="B127" s="25">
        <v>42430</v>
      </c>
      <c r="C127">
        <v>11</v>
      </c>
      <c r="D127" s="31">
        <f t="shared" si="8"/>
        <v>2.25</v>
      </c>
      <c r="E127" s="1">
        <f t="shared" si="9"/>
        <v>1.7673088992783133</v>
      </c>
      <c r="G127" s="27">
        <v>48823</v>
      </c>
      <c r="H127" s="26">
        <v>1675000</v>
      </c>
      <c r="I127" t="s">
        <v>65</v>
      </c>
    </row>
    <row r="128" spans="2:11">
      <c r="B128" s="25">
        <v>42614</v>
      </c>
      <c r="C128">
        <v>12</v>
      </c>
      <c r="D128" s="31">
        <f t="shared" si="8"/>
        <v>2.25</v>
      </c>
      <c r="E128" s="1">
        <f t="shared" si="9"/>
        <v>1.7276552136025896</v>
      </c>
      <c r="G128" s="27">
        <v>49188</v>
      </c>
      <c r="H128" s="26">
        <v>1750000</v>
      </c>
      <c r="I128" t="s">
        <v>65</v>
      </c>
    </row>
    <row r="129" spans="2:9">
      <c r="B129" s="25">
        <v>42795</v>
      </c>
      <c r="C129">
        <v>13</v>
      </c>
      <c r="D129" s="31">
        <f t="shared" si="8"/>
        <v>2.25</v>
      </c>
      <c r="E129" s="1">
        <f t="shared" si="9"/>
        <v>1.6888912505940867</v>
      </c>
      <c r="G129" s="27">
        <v>49553</v>
      </c>
      <c r="H129" s="26">
        <v>1850000</v>
      </c>
      <c r="I129" t="s">
        <v>65</v>
      </c>
    </row>
    <row r="130" spans="2:9">
      <c r="B130" s="25">
        <v>42979</v>
      </c>
      <c r="C130">
        <v>14</v>
      </c>
      <c r="D130" s="31">
        <f t="shared" si="8"/>
        <v>2.25</v>
      </c>
      <c r="E130" s="1">
        <f t="shared" si="9"/>
        <v>1.6509970472553919</v>
      </c>
    </row>
    <row r="131" spans="2:9">
      <c r="B131" s="25">
        <v>43160</v>
      </c>
      <c r="C131">
        <v>15</v>
      </c>
      <c r="D131" s="31">
        <f t="shared" si="8"/>
        <v>2.25</v>
      </c>
      <c r="E131" s="1">
        <f t="shared" si="9"/>
        <v>1.6139530885053697</v>
      </c>
      <c r="G131" s="21" t="s">
        <v>68</v>
      </c>
      <c r="H131" s="25">
        <v>40422</v>
      </c>
    </row>
    <row r="132" spans="2:9">
      <c r="B132" s="25">
        <v>43344</v>
      </c>
      <c r="C132">
        <v>16</v>
      </c>
      <c r="D132" s="31">
        <f t="shared" si="8"/>
        <v>2.25</v>
      </c>
      <c r="E132" s="1">
        <f t="shared" si="9"/>
        <v>1.5777402971291199</v>
      </c>
      <c r="G132" s="21" t="s">
        <v>70</v>
      </c>
      <c r="H132">
        <f>B117-H131</f>
        <v>181</v>
      </c>
    </row>
    <row r="133" spans="2:9">
      <c r="B133" s="25">
        <v>43525</v>
      </c>
      <c r="C133">
        <v>17</v>
      </c>
      <c r="D133" s="31">
        <f t="shared" si="8"/>
        <v>2.25</v>
      </c>
      <c r="E133" s="1">
        <f t="shared" si="9"/>
        <v>1.5423400239534295</v>
      </c>
      <c r="G133" s="21" t="s">
        <v>72</v>
      </c>
      <c r="H133">
        <f>B117-H124</f>
        <v>116</v>
      </c>
    </row>
    <row r="134" spans="2:9">
      <c r="B134" s="25">
        <v>43709</v>
      </c>
      <c r="C134">
        <v>18</v>
      </c>
      <c r="D134" s="31">
        <f t="shared" si="8"/>
        <v>2.25</v>
      </c>
      <c r="E134" s="1">
        <f t="shared" si="9"/>
        <v>1.5077340382426623</v>
      </c>
      <c r="G134" s="21" t="s">
        <v>73</v>
      </c>
      <c r="H134" s="30">
        <f>H133/H132</f>
        <v>0.64088397790055252</v>
      </c>
    </row>
    <row r="135" spans="2:9">
      <c r="B135" s="25">
        <v>43891</v>
      </c>
      <c r="C135">
        <v>19</v>
      </c>
      <c r="D135" s="31">
        <f t="shared" si="8"/>
        <v>2.25</v>
      </c>
      <c r="E135" s="1">
        <f t="shared" si="9"/>
        <v>1.4739045183101376</v>
      </c>
      <c r="H135" s="17"/>
    </row>
    <row r="136" spans="2:9">
      <c r="B136" s="25">
        <v>44075</v>
      </c>
      <c r="C136">
        <v>20</v>
      </c>
      <c r="D136" s="31">
        <f t="shared" si="8"/>
        <v>2.25</v>
      </c>
      <c r="E136" s="1">
        <f t="shared" si="9"/>
        <v>1.4408340423401669</v>
      </c>
    </row>
    <row r="137" spans="2:9">
      <c r="B137" s="25">
        <v>44256</v>
      </c>
      <c r="C137">
        <v>21</v>
      </c>
      <c r="D137" s="31">
        <f t="shared" si="8"/>
        <v>2.25</v>
      </c>
      <c r="E137" s="1">
        <f t="shared" si="9"/>
        <v>1.4085055794160171</v>
      </c>
      <c r="G137" s="21"/>
      <c r="H137" s="1"/>
    </row>
    <row r="138" spans="2:9">
      <c r="B138" s="25">
        <v>44440</v>
      </c>
      <c r="C138">
        <v>22</v>
      </c>
      <c r="D138" s="31">
        <f t="shared" si="8"/>
        <v>2.25</v>
      </c>
      <c r="E138" s="1">
        <f t="shared" si="9"/>
        <v>1.3769024807491834</v>
      </c>
    </row>
    <row r="139" spans="2:9">
      <c r="B139" s="25">
        <v>44621</v>
      </c>
      <c r="C139">
        <v>23</v>
      </c>
      <c r="D139" s="31">
        <f t="shared" si="8"/>
        <v>2.25</v>
      </c>
      <c r="E139" s="1">
        <f t="shared" si="9"/>
        <v>1.3460084711054545</v>
      </c>
    </row>
    <row r="140" spans="2:9">
      <c r="B140" s="25">
        <v>44805</v>
      </c>
      <c r="C140">
        <v>24</v>
      </c>
      <c r="D140" s="31">
        <f t="shared" si="8"/>
        <v>2.25</v>
      </c>
      <c r="E140" s="1">
        <f t="shared" si="9"/>
        <v>1.3158076404233523</v>
      </c>
    </row>
    <row r="141" spans="2:9">
      <c r="B141" s="25">
        <v>44986</v>
      </c>
      <c r="C141">
        <v>25</v>
      </c>
      <c r="D141" s="31">
        <f t="shared" si="8"/>
        <v>2.25</v>
      </c>
      <c r="E141" s="1">
        <f t="shared" si="9"/>
        <v>1.2862844356206322</v>
      </c>
    </row>
    <row r="142" spans="2:9">
      <c r="B142" s="25">
        <v>45170</v>
      </c>
      <c r="C142">
        <v>26</v>
      </c>
      <c r="D142" s="31">
        <f t="shared" si="8"/>
        <v>2.25</v>
      </c>
      <c r="E142" s="1">
        <f t="shared" si="9"/>
        <v>1.2574236525846252</v>
      </c>
    </row>
    <row r="143" spans="2:9">
      <c r="B143" s="25">
        <v>45352</v>
      </c>
      <c r="C143">
        <v>27</v>
      </c>
      <c r="D143" s="31">
        <f t="shared" si="8"/>
        <v>2.25</v>
      </c>
      <c r="E143" s="1">
        <f t="shared" si="9"/>
        <v>1.2292104283422916</v>
      </c>
    </row>
    <row r="144" spans="2:9">
      <c r="B144" s="25">
        <v>45536</v>
      </c>
      <c r="C144">
        <v>28</v>
      </c>
      <c r="D144" s="31">
        <f t="shared" si="8"/>
        <v>2.25</v>
      </c>
      <c r="E144" s="1">
        <f t="shared" si="9"/>
        <v>1.2016302334059616</v>
      </c>
    </row>
    <row r="145" spans="2:5">
      <c r="B145" s="25">
        <v>45717</v>
      </c>
      <c r="C145">
        <v>29</v>
      </c>
      <c r="D145" s="31">
        <f t="shared" si="8"/>
        <v>2.25</v>
      </c>
      <c r="E145" s="1">
        <f t="shared" si="9"/>
        <v>1.1746688642908147</v>
      </c>
    </row>
    <row r="146" spans="2:5">
      <c r="B146" s="25">
        <v>45901</v>
      </c>
      <c r="C146">
        <v>30</v>
      </c>
      <c r="D146" s="31">
        <f t="shared" si="8"/>
        <v>2.25</v>
      </c>
      <c r="E146" s="1">
        <f t="shared" si="9"/>
        <v>1.1483124362002484</v>
      </c>
    </row>
    <row r="147" spans="2:5">
      <c r="B147" s="25">
        <v>46082</v>
      </c>
      <c r="C147">
        <v>31</v>
      </c>
      <c r="D147" s="31">
        <f t="shared" si="8"/>
        <v>2.25</v>
      </c>
      <c r="E147" s="1">
        <f t="shared" si="9"/>
        <v>1.1225473758753648</v>
      </c>
    </row>
    <row r="148" spans="2:5">
      <c r="B148" s="25">
        <v>46266</v>
      </c>
      <c r="C148">
        <v>32</v>
      </c>
      <c r="D148" s="31">
        <f t="shared" si="8"/>
        <v>2.25</v>
      </c>
      <c r="E148" s="1">
        <f t="shared" si="9"/>
        <v>1.0973604146049003</v>
      </c>
    </row>
    <row r="149" spans="2:5">
      <c r="B149" s="25">
        <v>46447</v>
      </c>
      <c r="C149">
        <v>33</v>
      </c>
      <c r="D149" s="31">
        <f t="shared" si="8"/>
        <v>2.25</v>
      </c>
      <c r="E149" s="1">
        <f t="shared" si="9"/>
        <v>1.0727385813919892</v>
      </c>
    </row>
    <row r="150" spans="2:5">
      <c r="B150" s="25">
        <v>46631</v>
      </c>
      <c r="C150">
        <v>34</v>
      </c>
      <c r="D150" s="31">
        <f t="shared" si="8"/>
        <v>2.25</v>
      </c>
      <c r="E150" s="1">
        <f t="shared" si="9"/>
        <v>1.0486691962742489</v>
      </c>
    </row>
    <row r="151" spans="2:5">
      <c r="B151" s="25">
        <v>46813</v>
      </c>
      <c r="C151">
        <v>35</v>
      </c>
      <c r="D151" s="31">
        <f t="shared" si="8"/>
        <v>2.25</v>
      </c>
      <c r="E151" s="1">
        <f t="shared" si="9"/>
        <v>1.0251398637937452</v>
      </c>
    </row>
    <row r="152" spans="2:5">
      <c r="B152" s="25">
        <v>46997</v>
      </c>
      <c r="C152">
        <v>36</v>
      </c>
      <c r="D152" s="31">
        <f t="shared" si="8"/>
        <v>2.25</v>
      </c>
      <c r="E152" s="1">
        <f t="shared" si="9"/>
        <v>1.0021384666134723</v>
      </c>
    </row>
    <row r="153" spans="2:5">
      <c r="B153" s="25">
        <v>47178</v>
      </c>
      <c r="C153">
        <v>37</v>
      </c>
      <c r="D153" s="31">
        <f t="shared" si="8"/>
        <v>2.25</v>
      </c>
      <c r="E153" s="1">
        <f t="shared" si="9"/>
        <v>0.9796531592770642</v>
      </c>
    </row>
    <row r="154" spans="2:5">
      <c r="B154" s="25">
        <v>47362</v>
      </c>
      <c r="C154">
        <v>38</v>
      </c>
      <c r="D154" s="31">
        <f t="shared" si="8"/>
        <v>2.25</v>
      </c>
      <c r="E154" s="1">
        <f t="shared" si="9"/>
        <v>0.95767236210851847</v>
      </c>
    </row>
    <row r="155" spans="2:5">
      <c r="B155" s="25">
        <v>47543</v>
      </c>
      <c r="C155">
        <v>39</v>
      </c>
      <c r="D155" s="31">
        <f t="shared" si="8"/>
        <v>2.25</v>
      </c>
      <c r="E155" s="1">
        <f t="shared" si="9"/>
        <v>0.9361847552487973</v>
      </c>
    </row>
    <row r="156" spans="2:5">
      <c r="B156" s="25">
        <v>47727</v>
      </c>
      <c r="C156">
        <v>40</v>
      </c>
      <c r="D156" s="31">
        <f t="shared" si="8"/>
        <v>2.25</v>
      </c>
      <c r="E156" s="1">
        <f t="shared" si="9"/>
        <v>0.91517927282622868</v>
      </c>
    </row>
    <row r="157" spans="2:5">
      <c r="B157" s="25">
        <v>47908</v>
      </c>
      <c r="C157">
        <v>41</v>
      </c>
      <c r="D157" s="31">
        <f t="shared" si="8"/>
        <v>2.25</v>
      </c>
      <c r="E157" s="1">
        <f t="shared" si="9"/>
        <v>0.89464509725770869</v>
      </c>
    </row>
    <row r="158" spans="2:5">
      <c r="B158" s="25">
        <v>48092</v>
      </c>
      <c r="C158">
        <v>42</v>
      </c>
      <c r="D158" s="31">
        <f t="shared" si="8"/>
        <v>2.25</v>
      </c>
      <c r="E158" s="1">
        <f t="shared" si="9"/>
        <v>0.87457165367777134</v>
      </c>
    </row>
    <row r="159" spans="2:5">
      <c r="B159" s="25">
        <v>48274</v>
      </c>
      <c r="C159">
        <v>43</v>
      </c>
      <c r="D159" s="31">
        <f t="shared" si="8"/>
        <v>2.25</v>
      </c>
      <c r="E159" s="1">
        <f t="shared" si="9"/>
        <v>0.85494860449265275</v>
      </c>
    </row>
    <row r="160" spans="2:5">
      <c r="B160" s="25">
        <v>48458</v>
      </c>
      <c r="C160">
        <v>44</v>
      </c>
      <c r="D160" s="31">
        <f t="shared" si="8"/>
        <v>2.25</v>
      </c>
      <c r="E160" s="1">
        <f t="shared" si="9"/>
        <v>0.83576584405654897</v>
      </c>
    </row>
    <row r="161" spans="2:8">
      <c r="B161" s="25">
        <v>48639</v>
      </c>
      <c r="C161">
        <v>45</v>
      </c>
      <c r="D161" s="31">
        <f t="shared" si="8"/>
        <v>2.25</v>
      </c>
      <c r="E161" s="1">
        <f t="shared" si="9"/>
        <v>0.81701349346732421</v>
      </c>
    </row>
    <row r="162" spans="2:8">
      <c r="B162" s="25">
        <v>48823</v>
      </c>
      <c r="C162">
        <v>46</v>
      </c>
      <c r="D162" s="31">
        <f>100*$H$118/2+100</f>
        <v>102.25</v>
      </c>
      <c r="E162" s="1">
        <f t="shared" si="9"/>
        <v>36.295655027878475</v>
      </c>
    </row>
    <row r="163" spans="2:8">
      <c r="B163" s="25"/>
      <c r="D163" s="11" t="s">
        <v>64</v>
      </c>
      <c r="E163" s="12">
        <f>SUM(E117:E162)</f>
        <v>99.53099978237546</v>
      </c>
    </row>
    <row r="164" spans="2:8">
      <c r="B164" s="25"/>
      <c r="D164" t="s">
        <v>55</v>
      </c>
      <c r="E164" s="17">
        <f>E163-H123</f>
        <v>-2.1762454593954317E-7</v>
      </c>
    </row>
    <row r="165" spans="2:8">
      <c r="B165" s="25"/>
      <c r="D165" s="20"/>
      <c r="E165" s="1"/>
    </row>
    <row r="166" spans="2:8">
      <c r="B166" s="25"/>
      <c r="D166" s="20"/>
      <c r="E166" s="1"/>
    </row>
    <row r="167" spans="2:8">
      <c r="B167" s="25"/>
      <c r="D167" s="20"/>
      <c r="E167" s="1"/>
    </row>
    <row r="168" spans="2:8" ht="33.75">
      <c r="B168" s="15" t="s">
        <v>74</v>
      </c>
      <c r="D168" s="20"/>
      <c r="E168" s="1"/>
    </row>
    <row r="169" spans="2:8">
      <c r="B169" s="25"/>
      <c r="D169" s="20"/>
      <c r="E169" s="1"/>
    </row>
    <row r="170" spans="2:8">
      <c r="B170" s="25"/>
      <c r="D170" s="20"/>
      <c r="E170" s="1"/>
    </row>
    <row r="171" spans="2:8">
      <c r="B171" s="25" t="s">
        <v>75</v>
      </c>
      <c r="C171" t="s">
        <v>79</v>
      </c>
      <c r="D171" s="20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5" t="s">
        <v>76</v>
      </c>
      <c r="C172">
        <v>7.0000000000000007E-2</v>
      </c>
      <c r="D172" s="20">
        <v>5</v>
      </c>
      <c r="E172" s="16">
        <v>10000</v>
      </c>
      <c r="F172" s="16">
        <v>9209</v>
      </c>
      <c r="G172">
        <f>F172/E172*100</f>
        <v>92.09</v>
      </c>
      <c r="H172" s="30">
        <f>YIELD($C$176,DATE(YEAR($C$176)+D172,MONTH($C$176),DAY($C$176)),C172,G172,100,2)</f>
        <v>8.9992774458843572E-2</v>
      </c>
    </row>
    <row r="173" spans="2:8">
      <c r="B173" s="25" t="s">
        <v>78</v>
      </c>
      <c r="C173">
        <v>0.105</v>
      </c>
      <c r="D173" s="20">
        <v>7</v>
      </c>
      <c r="E173" s="16">
        <v>20000</v>
      </c>
      <c r="F173" s="16">
        <v>20000</v>
      </c>
      <c r="G173">
        <f t="shared" ref="G173:G174" si="10">F173/E173*100</f>
        <v>100</v>
      </c>
      <c r="H173" s="30">
        <f>YIELD($C$176,DATE(YEAR($C$176)+D173,MONTH($C$176),DAY($C$176)),C173,G173,100,2)</f>
        <v>0.105</v>
      </c>
    </row>
    <row r="174" spans="2:8">
      <c r="B174" s="25" t="s">
        <v>77</v>
      </c>
      <c r="C174">
        <v>0.06</v>
      </c>
      <c r="D174" s="20">
        <v>3</v>
      </c>
      <c r="E174" s="16">
        <v>30000</v>
      </c>
      <c r="F174" s="16">
        <v>28050</v>
      </c>
      <c r="G174">
        <f t="shared" si="10"/>
        <v>93.5</v>
      </c>
      <c r="H174" s="30">
        <f>YIELD($C$176,DATE(YEAR($C$176)+D174,MONTH($C$176),DAY($C$176)),C174,G174,100,2)</f>
        <v>8.5001302866310982E-2</v>
      </c>
    </row>
    <row r="175" spans="2:8">
      <c r="B175" s="25"/>
      <c r="D175" s="20"/>
      <c r="E175" s="1"/>
      <c r="G175" s="34" t="s">
        <v>97</v>
      </c>
      <c r="H175" s="35">
        <f>AVERAGE(H172:H174)</f>
        <v>9.3331359108384845E-2</v>
      </c>
    </row>
    <row r="176" spans="2:8">
      <c r="B176" t="s">
        <v>84</v>
      </c>
      <c r="C176" s="25">
        <v>44927</v>
      </c>
      <c r="D176" s="20"/>
      <c r="E176" s="1"/>
      <c r="G176" s="34" t="s">
        <v>98</v>
      </c>
      <c r="H176" s="36">
        <f>E172/SUM(E172:E174)*H172+E173/SUM(E172:E174)*H173+E174/SUM(E172:E174)*H174</f>
        <v>9.2499447176296073E-2</v>
      </c>
    </row>
    <row r="177" spans="2:7">
      <c r="B177" s="25" t="s">
        <v>86</v>
      </c>
      <c r="C177">
        <v>2</v>
      </c>
      <c r="D177" s="20"/>
      <c r="E177" s="1"/>
    </row>
    <row r="178" spans="2:7">
      <c r="B178" s="25" t="s">
        <v>87</v>
      </c>
      <c r="D178" s="20"/>
      <c r="E178" s="1"/>
    </row>
    <row r="179" spans="2:7">
      <c r="B179" s="25" t="s">
        <v>93</v>
      </c>
      <c r="C179" s="20">
        <f>SUM(F172:F174)</f>
        <v>57259</v>
      </c>
      <c r="D179" s="20"/>
      <c r="E179" s="1"/>
    </row>
    <row r="180" spans="2:7">
      <c r="B180" s="25" t="s">
        <v>94</v>
      </c>
      <c r="C180" s="33">
        <v>9.5393232684022083E-2</v>
      </c>
      <c r="D180" s="20"/>
      <c r="E180" s="1"/>
    </row>
    <row r="183" spans="2:7">
      <c r="B183" s="25" t="s">
        <v>89</v>
      </c>
      <c r="C183" t="s">
        <v>76</v>
      </c>
      <c r="D183" s="20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20">
        <f>$E$172*$C$172/2</f>
        <v>350.00000000000006</v>
      </c>
      <c r="D184" s="20">
        <f>$E$173*$C$173/2</f>
        <v>1050</v>
      </c>
      <c r="E184" s="1">
        <f>$E$174*$C$174/2</f>
        <v>900</v>
      </c>
      <c r="F184" s="20">
        <f>SUM(C184:E184)</f>
        <v>2300</v>
      </c>
      <c r="G184" s="19">
        <f>F184/(1+$C$180/2)^B184</f>
        <v>2195.2919997301833</v>
      </c>
    </row>
    <row r="185" spans="2:7">
      <c r="B185">
        <v>2</v>
      </c>
      <c r="C185" s="20">
        <f t="shared" ref="C185:C192" si="11">$E$172*$C$172/2</f>
        <v>350.00000000000006</v>
      </c>
      <c r="D185" s="20">
        <f t="shared" ref="D185:D196" si="12">$E$173*$C$173/2</f>
        <v>1050</v>
      </c>
      <c r="E185" s="1">
        <f t="shared" ref="E185:E188" si="13">$E$174*$C$174/2</f>
        <v>900</v>
      </c>
      <c r="F185" s="20">
        <f t="shared" ref="F185:F197" si="14">SUM(C185:E185)</f>
        <v>2300</v>
      </c>
      <c r="G185" s="19">
        <f t="shared" ref="G185:G197" si="15">F185/(1+$C$180/2)^B185</f>
        <v>2095.3508539475424</v>
      </c>
    </row>
    <row r="186" spans="2:7">
      <c r="B186">
        <v>3</v>
      </c>
      <c r="C186" s="20">
        <f t="shared" si="11"/>
        <v>350.00000000000006</v>
      </c>
      <c r="D186" s="20">
        <f t="shared" si="12"/>
        <v>1050</v>
      </c>
      <c r="E186" s="1">
        <f t="shared" si="13"/>
        <v>900</v>
      </c>
      <c r="F186" s="20">
        <f t="shared" si="14"/>
        <v>2300</v>
      </c>
      <c r="G186" s="19">
        <f t="shared" si="15"/>
        <v>1999.9595505647167</v>
      </c>
    </row>
    <row r="187" spans="2:7">
      <c r="B187">
        <v>4</v>
      </c>
      <c r="C187" s="20">
        <f t="shared" si="11"/>
        <v>350.00000000000006</v>
      </c>
      <c r="D187" s="20">
        <f t="shared" si="12"/>
        <v>1050</v>
      </c>
      <c r="E187" s="1">
        <f t="shared" si="13"/>
        <v>900</v>
      </c>
      <c r="F187" s="20">
        <f t="shared" si="14"/>
        <v>2300</v>
      </c>
      <c r="G187" s="19">
        <f t="shared" si="15"/>
        <v>1908.9109570168243</v>
      </c>
    </row>
    <row r="188" spans="2:7">
      <c r="B188">
        <v>5</v>
      </c>
      <c r="C188" s="20">
        <f t="shared" si="11"/>
        <v>350.00000000000006</v>
      </c>
      <c r="D188" s="20">
        <f t="shared" si="12"/>
        <v>1050</v>
      </c>
      <c r="E188" s="1">
        <f t="shared" si="13"/>
        <v>900</v>
      </c>
      <c r="F188" s="20">
        <f t="shared" si="14"/>
        <v>2300</v>
      </c>
      <c r="G188" s="19">
        <f t="shared" si="15"/>
        <v>1822.0073704940532</v>
      </c>
    </row>
    <row r="189" spans="2:7">
      <c r="B189">
        <v>6</v>
      </c>
      <c r="C189" s="20">
        <f t="shared" si="11"/>
        <v>350.00000000000006</v>
      </c>
      <c r="D189" s="20">
        <f t="shared" si="12"/>
        <v>1050</v>
      </c>
      <c r="E189" s="1">
        <f>$E$174*$C$174/2+E174</f>
        <v>30900</v>
      </c>
      <c r="F189" s="20">
        <f t="shared" si="14"/>
        <v>32300</v>
      </c>
      <c r="G189" s="19">
        <f t="shared" si="15"/>
        <v>24422.452549302317</v>
      </c>
    </row>
    <row r="190" spans="2:7">
      <c r="B190">
        <v>7</v>
      </c>
      <c r="C190" s="20">
        <f t="shared" si="11"/>
        <v>350.00000000000006</v>
      </c>
      <c r="D190" s="20">
        <f t="shared" si="12"/>
        <v>1050</v>
      </c>
      <c r="E190" s="1"/>
      <c r="F190" s="20">
        <f t="shared" si="14"/>
        <v>1400</v>
      </c>
      <c r="G190" s="19">
        <f t="shared" si="15"/>
        <v>1010.3672173022313</v>
      </c>
    </row>
    <row r="191" spans="2:7">
      <c r="B191">
        <v>8</v>
      </c>
      <c r="C191" s="20">
        <f t="shared" si="11"/>
        <v>350.00000000000006</v>
      </c>
      <c r="D191" s="20">
        <f t="shared" si="12"/>
        <v>1050</v>
      </c>
      <c r="E191" s="1"/>
      <c r="F191" s="20">
        <f t="shared" si="14"/>
        <v>1400</v>
      </c>
      <c r="G191" s="19">
        <f t="shared" si="15"/>
        <v>964.37002997097215</v>
      </c>
    </row>
    <row r="192" spans="2:7">
      <c r="B192">
        <v>9</v>
      </c>
      <c r="C192" s="20">
        <f t="shared" si="11"/>
        <v>350.00000000000006</v>
      </c>
      <c r="D192" s="20">
        <f t="shared" si="12"/>
        <v>1050</v>
      </c>
      <c r="E192" s="1"/>
      <c r="F192" s="20">
        <f t="shared" si="14"/>
        <v>1400</v>
      </c>
      <c r="G192" s="19">
        <f t="shared" si="15"/>
        <v>920.46687459775319</v>
      </c>
    </row>
    <row r="193" spans="2:7">
      <c r="B193">
        <v>10</v>
      </c>
      <c r="C193" s="20">
        <f>$E$172*$C$172/2+E172</f>
        <v>10350</v>
      </c>
      <c r="D193" s="20">
        <f t="shared" si="12"/>
        <v>1050</v>
      </c>
      <c r="E193" s="1"/>
      <c r="F193" s="20">
        <f t="shared" si="14"/>
        <v>11400</v>
      </c>
      <c r="G193" s="19">
        <f t="shared" si="15"/>
        <v>7154.0082765094621</v>
      </c>
    </row>
    <row r="194" spans="2:7">
      <c r="B194">
        <v>11</v>
      </c>
      <c r="D194" s="20">
        <f t="shared" si="12"/>
        <v>1050</v>
      </c>
      <c r="E194" s="1"/>
      <c r="F194" s="20">
        <f t="shared" si="14"/>
        <v>1050</v>
      </c>
      <c r="G194" s="19">
        <f t="shared" si="15"/>
        <v>628.92425599526996</v>
      </c>
    </row>
    <row r="195" spans="2:7">
      <c r="B195">
        <v>12</v>
      </c>
      <c r="D195" s="20">
        <f t="shared" si="12"/>
        <v>1050</v>
      </c>
      <c r="E195" s="1"/>
      <c r="F195" s="20">
        <f t="shared" si="14"/>
        <v>1050</v>
      </c>
      <c r="G195" s="19">
        <f t="shared" si="15"/>
        <v>600.29234244464078</v>
      </c>
    </row>
    <row r="196" spans="2:7">
      <c r="B196">
        <v>13</v>
      </c>
      <c r="D196" s="20">
        <f t="shared" si="12"/>
        <v>1050</v>
      </c>
      <c r="E196" s="1"/>
      <c r="F196" s="20">
        <f t="shared" si="14"/>
        <v>1050</v>
      </c>
      <c r="G196" s="19">
        <f t="shared" si="15"/>
        <v>572.96390298609208</v>
      </c>
    </row>
    <row r="197" spans="2:7">
      <c r="B197">
        <v>14</v>
      </c>
      <c r="D197" s="20">
        <f>$E$173*$C$173/2+E173</f>
        <v>21050</v>
      </c>
      <c r="E197" s="1"/>
      <c r="F197" s="20">
        <f t="shared" si="14"/>
        <v>21050</v>
      </c>
      <c r="G197" s="19">
        <f t="shared" si="15"/>
        <v>10963.633819117393</v>
      </c>
    </row>
    <row r="198" spans="2:7">
      <c r="B198" s="25"/>
      <c r="D198" s="20"/>
      <c r="E198" s="1"/>
      <c r="F198" s="11" t="s">
        <v>95</v>
      </c>
      <c r="G198" s="37">
        <f>SUM(G184:G197)</f>
        <v>57258.999999979453</v>
      </c>
    </row>
    <row r="199" spans="2:7">
      <c r="B199" s="25"/>
      <c r="D199" s="20"/>
      <c r="E199" s="1"/>
      <c r="F199" t="s">
        <v>96</v>
      </c>
      <c r="G199" s="20">
        <f>G198-C179</f>
        <v>-2.0547304302453995E-8</v>
      </c>
    </row>
    <row r="200" spans="2:7">
      <c r="B200" s="25"/>
      <c r="D200" s="20"/>
      <c r="E200" s="1"/>
    </row>
    <row r="201" spans="2:7">
      <c r="B201" s="25"/>
      <c r="D201" s="20"/>
      <c r="E201" s="1"/>
    </row>
    <row r="202" spans="2:7">
      <c r="B202" s="25"/>
      <c r="D202" s="20"/>
      <c r="E202" s="1"/>
    </row>
    <row r="203" spans="2:7" ht="33.75">
      <c r="B203" s="15" t="s">
        <v>99</v>
      </c>
      <c r="D203" s="20"/>
      <c r="E203" s="1"/>
    </row>
    <row r="204" spans="2:7">
      <c r="B204" s="25"/>
      <c r="D204" s="20"/>
      <c r="E204" s="1"/>
    </row>
    <row r="205" spans="2:7">
      <c r="B205" s="25" t="s">
        <v>100</v>
      </c>
      <c r="C205">
        <v>6</v>
      </c>
      <c r="D205" s="20"/>
      <c r="E205" s="1"/>
    </row>
    <row r="206" spans="2:7">
      <c r="B206" s="25" t="s">
        <v>79</v>
      </c>
      <c r="C206" t="s">
        <v>102</v>
      </c>
      <c r="D206" s="20"/>
      <c r="E206" s="1"/>
    </row>
    <row r="207" spans="2:7">
      <c r="B207" s="25" t="s">
        <v>82</v>
      </c>
      <c r="C207">
        <v>99.309799999999996</v>
      </c>
      <c r="D207" s="20"/>
      <c r="E207" s="1"/>
    </row>
    <row r="208" spans="2:7">
      <c r="B208" s="25" t="s">
        <v>101</v>
      </c>
      <c r="C208">
        <v>0.1</v>
      </c>
      <c r="D208" s="20"/>
      <c r="E208" s="1"/>
    </row>
    <row r="209" spans="2:14">
      <c r="B209" s="25" t="s">
        <v>103</v>
      </c>
      <c r="C209" s="30">
        <v>8.0000000000000002E-3</v>
      </c>
      <c r="D209" s="20"/>
      <c r="E209" s="1"/>
    </row>
    <row r="210" spans="2:14">
      <c r="B210" s="25"/>
      <c r="D210" s="20"/>
      <c r="E210" s="1"/>
    </row>
    <row r="211" spans="2:14">
      <c r="E211" s="51" t="s">
        <v>107</v>
      </c>
      <c r="F211" s="51"/>
      <c r="G211" s="51"/>
      <c r="H211" s="51"/>
      <c r="I211" s="51"/>
      <c r="K211" t="s">
        <v>92</v>
      </c>
    </row>
    <row r="212" spans="2:14">
      <c r="B212" s="25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33">
        <v>1.0368820639798101E-2</v>
      </c>
      <c r="N212" s="33"/>
    </row>
    <row r="213" spans="2:14">
      <c r="B213">
        <v>1</v>
      </c>
      <c r="C213">
        <f>$C$208</f>
        <v>0.1</v>
      </c>
      <c r="D213" s="1">
        <f>100*(C213+$C$209)/2</f>
        <v>5.4</v>
      </c>
      <c r="E213" s="33">
        <f>$D213/(1+($C213+E$212)/2)^$B213</f>
        <v>5.1233396584440225</v>
      </c>
      <c r="F213" s="33">
        <f t="shared" ref="F213:I213" si="16">$D213/(1+($C213+F$212)/2)^$B213</f>
        <v>5.122367672168469</v>
      </c>
      <c r="G213" s="33">
        <f t="shared" si="16"/>
        <v>5.1213960546282253</v>
      </c>
      <c r="H213" s="33">
        <f t="shared" si="16"/>
        <v>5.1194539249146764</v>
      </c>
      <c r="I213" s="33">
        <f t="shared" si="16"/>
        <v>5.1184834123222753</v>
      </c>
      <c r="K213" s="33">
        <f>$D213/(1+($C213+K$212)/2)^$B213</f>
        <v>5.1175888756382291</v>
      </c>
    </row>
    <row r="214" spans="2:14">
      <c r="B214">
        <v>2</v>
      </c>
      <c r="C214">
        <f t="shared" ref="C214:C224" si="17">$C$208</f>
        <v>0.1</v>
      </c>
      <c r="D214" s="1">
        <f t="shared" ref="D214:D223" si="18">100*(C214+$C$209)/2</f>
        <v>5.4</v>
      </c>
      <c r="E214" s="33">
        <f t="shared" ref="E214:I224" si="19">$D214/(1+($C214+E$212)/2)^$B214</f>
        <v>4.8608535658861696</v>
      </c>
      <c r="F214" s="33">
        <f t="shared" si="19"/>
        <v>4.8590093646067816</v>
      </c>
      <c r="G214" s="33">
        <f t="shared" si="19"/>
        <v>4.8571662126595454</v>
      </c>
      <c r="H214" s="33">
        <f t="shared" si="19"/>
        <v>4.8534830535785707</v>
      </c>
      <c r="I214" s="33">
        <f t="shared" si="19"/>
        <v>4.8516430448552379</v>
      </c>
      <c r="K214" s="33">
        <f t="shared" ref="K214:K224" si="20">$D214/(1+($C214+K$212)/2)^$B214</f>
        <v>4.8499473888992881</v>
      </c>
    </row>
    <row r="215" spans="2:14">
      <c r="B215">
        <v>3</v>
      </c>
      <c r="C215">
        <f t="shared" si="17"/>
        <v>0.1</v>
      </c>
      <c r="D215" s="1">
        <f t="shared" si="18"/>
        <v>5.4</v>
      </c>
      <c r="E215" s="33">
        <f t="shared" si="19"/>
        <v>4.6118155274062334</v>
      </c>
      <c r="F215" s="33">
        <f t="shared" si="19"/>
        <v>4.6091912014862277</v>
      </c>
      <c r="G215" s="33">
        <f t="shared" si="19"/>
        <v>4.6065688663311324</v>
      </c>
      <c r="H215" s="33">
        <f t="shared" si="19"/>
        <v>4.6013301607684589</v>
      </c>
      <c r="I215" s="33">
        <f t="shared" si="19"/>
        <v>4.5987137865926426</v>
      </c>
      <c r="K215" s="33">
        <f t="shared" si="20"/>
        <v>4.5963031120114204</v>
      </c>
    </row>
    <row r="216" spans="2:14">
      <c r="B216">
        <v>4</v>
      </c>
      <c r="C216">
        <f t="shared" si="17"/>
        <v>0.1</v>
      </c>
      <c r="D216" s="1">
        <f t="shared" si="18"/>
        <v>5.4</v>
      </c>
      <c r="E216" s="33">
        <f t="shared" si="19"/>
        <v>4.3755365535163504</v>
      </c>
      <c r="F216" s="33">
        <f t="shared" si="19"/>
        <v>4.3722170380252576</v>
      </c>
      <c r="G216" s="33">
        <f t="shared" si="19"/>
        <v>4.3689006698891619</v>
      </c>
      <c r="H216" s="33">
        <f t="shared" si="19"/>
        <v>4.3622773613656234</v>
      </c>
      <c r="I216" s="33">
        <f t="shared" si="19"/>
        <v>4.358970413831889</v>
      </c>
      <c r="K216" s="33">
        <f t="shared" si="20"/>
        <v>4.3559240139057449</v>
      </c>
    </row>
    <row r="217" spans="2:14">
      <c r="B217">
        <v>5</v>
      </c>
      <c r="C217">
        <f t="shared" si="17"/>
        <v>0.1</v>
      </c>
      <c r="D217" s="1">
        <f t="shared" si="18"/>
        <v>5.4</v>
      </c>
      <c r="E217" s="33">
        <f t="shared" si="19"/>
        <v>4.1513629540003318</v>
      </c>
      <c r="F217" s="33">
        <f t="shared" si="19"/>
        <v>4.1474265206082883</v>
      </c>
      <c r="G217" s="33">
        <f t="shared" si="19"/>
        <v>4.1434945655246223</v>
      </c>
      <c r="H217" s="33">
        <f t="shared" si="19"/>
        <v>4.1356440665203102</v>
      </c>
      <c r="I217" s="33">
        <f t="shared" si="19"/>
        <v>4.131725510741127</v>
      </c>
      <c r="K217" s="33">
        <f t="shared" si="20"/>
        <v>4.1281163475350864</v>
      </c>
    </row>
    <row r="218" spans="2:14">
      <c r="B218">
        <v>6</v>
      </c>
      <c r="C218">
        <f t="shared" si="17"/>
        <v>0.1</v>
      </c>
      <c r="D218" s="1">
        <f t="shared" si="18"/>
        <v>5.4</v>
      </c>
      <c r="E218" s="33">
        <f t="shared" si="19"/>
        <v>3.9386745294120797</v>
      </c>
      <c r="F218" s="33">
        <f t="shared" si="19"/>
        <v>3.9341932466403793</v>
      </c>
      <c r="G218" s="33">
        <f t="shared" si="19"/>
        <v>3.9297179111576468</v>
      </c>
      <c r="H218" s="33">
        <f t="shared" si="19"/>
        <v>3.9207850459995357</v>
      </c>
      <c r="I218" s="33">
        <f t="shared" si="19"/>
        <v>3.916327498332822</v>
      </c>
      <c r="K218" s="33">
        <f t="shared" si="20"/>
        <v>3.9122226476825692</v>
      </c>
    </row>
    <row r="219" spans="2:14">
      <c r="B219">
        <v>7</v>
      </c>
      <c r="C219">
        <f t="shared" si="17"/>
        <v>0.1</v>
      </c>
      <c r="D219" s="1">
        <f t="shared" si="18"/>
        <v>5.4</v>
      </c>
      <c r="E219" s="33">
        <f t="shared" si="19"/>
        <v>3.7368828552296769</v>
      </c>
      <c r="F219" s="33">
        <f t="shared" si="19"/>
        <v>3.7319230190100359</v>
      </c>
      <c r="G219" s="33">
        <f t="shared" si="19"/>
        <v>3.7269707048156744</v>
      </c>
      <c r="H219" s="33">
        <f t="shared" si="19"/>
        <v>3.7170885912016836</v>
      </c>
      <c r="I219" s="33">
        <f t="shared" si="19"/>
        <v>3.7121587661922484</v>
      </c>
      <c r="K219" s="33">
        <f t="shared" si="20"/>
        <v>3.7076198334815285</v>
      </c>
    </row>
    <row r="220" spans="2:14">
      <c r="B220">
        <v>8</v>
      </c>
      <c r="C220">
        <f t="shared" si="17"/>
        <v>0.1</v>
      </c>
      <c r="D220" s="1">
        <f t="shared" si="18"/>
        <v>5.4</v>
      </c>
      <c r="E220" s="33">
        <f t="shared" si="19"/>
        <v>3.5454296539180996</v>
      </c>
      <c r="F220" s="33">
        <f t="shared" si="19"/>
        <v>3.5400521902959921</v>
      </c>
      <c r="G220" s="33">
        <f t="shared" si="19"/>
        <v>3.5346839006218458</v>
      </c>
      <c r="H220" s="33">
        <f t="shared" si="19"/>
        <v>3.5239747736079665</v>
      </c>
      <c r="I220" s="33">
        <f t="shared" si="19"/>
        <v>3.5186339016040269</v>
      </c>
      <c r="K220" s="33">
        <f t="shared" si="20"/>
        <v>3.5137174101705066</v>
      </c>
    </row>
    <row r="221" spans="2:14">
      <c r="B221">
        <v>9</v>
      </c>
      <c r="C221">
        <f t="shared" si="17"/>
        <v>0.1</v>
      </c>
      <c r="D221" s="1">
        <f t="shared" si="18"/>
        <v>5.4</v>
      </c>
      <c r="E221" s="33">
        <f t="shared" si="19"/>
        <v>3.3637852503966785</v>
      </c>
      <c r="F221" s="33">
        <f t="shared" si="19"/>
        <v>3.3580460921039577</v>
      </c>
      <c r="G221" s="33">
        <f t="shared" si="19"/>
        <v>3.3523178116671528</v>
      </c>
      <c r="H221" s="33">
        <f t="shared" si="19"/>
        <v>3.3408937937125209</v>
      </c>
      <c r="I221" s="33">
        <f t="shared" si="19"/>
        <v>3.3351980109990778</v>
      </c>
      <c r="K221" s="33">
        <f t="shared" si="20"/>
        <v>3.3299557648935103</v>
      </c>
    </row>
    <row r="222" spans="2:14">
      <c r="B222">
        <v>10</v>
      </c>
      <c r="C222">
        <f t="shared" si="17"/>
        <v>0.1</v>
      </c>
      <c r="D222" s="1">
        <f t="shared" si="18"/>
        <v>5.4</v>
      </c>
      <c r="E222" s="33">
        <f t="shared" si="19"/>
        <v>3.1914471066382153</v>
      </c>
      <c r="F222" s="33">
        <f t="shared" si="19"/>
        <v>3.1853975451564764</v>
      </c>
      <c r="G222" s="33">
        <f t="shared" si="19"/>
        <v>3.1793605952837187</v>
      </c>
      <c r="H222" s="33">
        <f t="shared" si="19"/>
        <v>3.1673244157304898</v>
      </c>
      <c r="I222" s="33">
        <f t="shared" si="19"/>
        <v>3.1613251289090787</v>
      </c>
      <c r="K222" s="33">
        <f t="shared" si="20"/>
        <v>3.1558045516271145</v>
      </c>
    </row>
    <row r="223" spans="2:14">
      <c r="B223">
        <v>11</v>
      </c>
      <c r="C223">
        <f t="shared" si="17"/>
        <v>0.1</v>
      </c>
      <c r="D223" s="1">
        <f t="shared" si="18"/>
        <v>5.4</v>
      </c>
      <c r="E223" s="33">
        <f t="shared" si="19"/>
        <v>3.0279384313455551</v>
      </c>
      <c r="F223" s="33">
        <f t="shared" si="19"/>
        <v>3.0216254459841361</v>
      </c>
      <c r="G223" s="33">
        <f t="shared" si="19"/>
        <v>3.0153268164678666</v>
      </c>
      <c r="H223" s="33">
        <f t="shared" si="19"/>
        <v>3.0027724836276928</v>
      </c>
      <c r="I223" s="33">
        <f t="shared" si="19"/>
        <v>2.9965167098664254</v>
      </c>
      <c r="K223" s="33">
        <f t="shared" si="20"/>
        <v>2.9907611605732236</v>
      </c>
    </row>
    <row r="224" spans="2:14">
      <c r="B224">
        <v>12</v>
      </c>
      <c r="C224">
        <f t="shared" si="17"/>
        <v>0.1</v>
      </c>
      <c r="D224" s="1">
        <f>100*(C224+$C$209)/2+100</f>
        <v>105.4</v>
      </c>
      <c r="E224" s="33">
        <f t="shared" si="19"/>
        <v>56.072933913806573</v>
      </c>
      <c r="F224" s="33">
        <f t="shared" si="19"/>
        <v>55.945410949979248</v>
      </c>
      <c r="G224" s="33">
        <f t="shared" si="19"/>
        <v>55.818202111735161</v>
      </c>
      <c r="H224" s="33">
        <f t="shared" si="19"/>
        <v>55.56472348178324</v>
      </c>
      <c r="I224" s="33">
        <f t="shared" si="19"/>
        <v>55.438452030879631</v>
      </c>
      <c r="K224" s="33">
        <f t="shared" si="20"/>
        <v>55.322298667601487</v>
      </c>
    </row>
    <row r="225" spans="2:11">
      <c r="D225" s="11" t="s">
        <v>95</v>
      </c>
      <c r="E225" s="38">
        <f>SUM(E213:E224)</f>
        <v>99.999999999999986</v>
      </c>
      <c r="F225" s="38">
        <f t="shared" ref="F225:I225" si="21">SUM(F213:F224)</f>
        <v>99.826860286065255</v>
      </c>
      <c r="G225" s="38">
        <f t="shared" si="21"/>
        <v>99.654106220781756</v>
      </c>
      <c r="H225" s="38">
        <f t="shared" si="21"/>
        <v>99.309751152810776</v>
      </c>
      <c r="I225" s="38">
        <f t="shared" si="21"/>
        <v>99.138148215126478</v>
      </c>
      <c r="J225" s="11"/>
      <c r="K225" s="38">
        <f>SUM(K213:K224)</f>
        <v>98.980259774019714</v>
      </c>
    </row>
    <row r="226" spans="2:11">
      <c r="J226" t="s">
        <v>96</v>
      </c>
      <c r="K226" s="39">
        <f>K225-C207</f>
        <v>-0.32954022598028132</v>
      </c>
    </row>
    <row r="229" spans="2:11">
      <c r="B229" s="25"/>
    </row>
    <row r="230" spans="2:11">
      <c r="C230" s="51" t="s">
        <v>104</v>
      </c>
      <c r="D230" s="51"/>
      <c r="E230" s="51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30">
        <v>0.1</v>
      </c>
      <c r="D232" s="30">
        <v>0.1</v>
      </c>
      <c r="E232" s="30">
        <v>0.1</v>
      </c>
    </row>
    <row r="233" spans="2:11">
      <c r="B233">
        <v>2</v>
      </c>
      <c r="C233" s="30">
        <v>0.10100000000000001</v>
      </c>
      <c r="D233" s="30">
        <v>9.9000000000000005E-2</v>
      </c>
      <c r="E233" s="30">
        <v>0.10200000000000001</v>
      </c>
    </row>
    <row r="234" spans="2:11">
      <c r="B234">
        <v>3</v>
      </c>
      <c r="C234" s="30">
        <v>0.10200000000000001</v>
      </c>
      <c r="D234" s="30">
        <v>9.8000000000000004E-2</v>
      </c>
      <c r="E234" s="30">
        <v>0.10400000000000001</v>
      </c>
    </row>
    <row r="235" spans="2:11">
      <c r="B235">
        <v>4</v>
      </c>
      <c r="C235" s="30">
        <v>0.10300000000000001</v>
      </c>
      <c r="D235" s="30">
        <v>9.7000000000000003E-2</v>
      </c>
      <c r="E235" s="30">
        <v>0.10600000000000001</v>
      </c>
    </row>
    <row r="236" spans="2:11">
      <c r="B236">
        <v>5</v>
      </c>
      <c r="C236" s="30">
        <v>0.10400000000000001</v>
      </c>
      <c r="D236" s="30">
        <v>9.6000000000000002E-2</v>
      </c>
      <c r="E236" s="30">
        <v>0.10800000000000001</v>
      </c>
    </row>
    <row r="237" spans="2:11">
      <c r="B237">
        <v>6</v>
      </c>
      <c r="C237" s="30">
        <v>0.10500000000000001</v>
      </c>
      <c r="D237" s="30">
        <v>9.5000000000000001E-2</v>
      </c>
      <c r="E237" s="30">
        <v>0.11000000000000001</v>
      </c>
    </row>
    <row r="238" spans="2:11">
      <c r="B238">
        <v>7</v>
      </c>
      <c r="C238" s="30">
        <v>0.10600000000000001</v>
      </c>
      <c r="D238" s="30">
        <v>9.4E-2</v>
      </c>
      <c r="E238" s="30">
        <v>0.10900000000000001</v>
      </c>
    </row>
    <row r="239" spans="2:11">
      <c r="B239">
        <v>8</v>
      </c>
      <c r="C239" s="30">
        <v>0.10700000000000001</v>
      </c>
      <c r="D239" s="30">
        <v>9.2999999999999999E-2</v>
      </c>
      <c r="E239" s="30">
        <v>0.10800000000000001</v>
      </c>
    </row>
    <row r="240" spans="2:11">
      <c r="B240">
        <v>9</v>
      </c>
      <c r="C240" s="30">
        <v>0.10800000000000001</v>
      </c>
      <c r="D240" s="30">
        <v>9.1999999999999998E-2</v>
      </c>
      <c r="E240" s="30">
        <v>0.10700000000000001</v>
      </c>
    </row>
    <row r="241" spans="2:5">
      <c r="B241">
        <v>10</v>
      </c>
      <c r="C241" s="30">
        <v>0.10900000000000001</v>
      </c>
      <c r="D241" s="30">
        <v>9.0999999999999998E-2</v>
      </c>
      <c r="E241" s="30">
        <v>0.10600000000000001</v>
      </c>
    </row>
    <row r="242" spans="2:5">
      <c r="B242">
        <v>11</v>
      </c>
      <c r="C242" s="30">
        <v>0.11000000000000001</v>
      </c>
      <c r="D242" s="30">
        <v>0.09</v>
      </c>
      <c r="E242" s="30">
        <v>0.10500000000000001</v>
      </c>
    </row>
    <row r="243" spans="2:5">
      <c r="B243">
        <v>12</v>
      </c>
      <c r="C243" s="30">
        <v>0.11100000000000002</v>
      </c>
      <c r="D243" s="30">
        <v>8.8999999999999996E-2</v>
      </c>
      <c r="E243" s="30">
        <v>0.10400000000000001</v>
      </c>
    </row>
    <row r="244" spans="2:5">
      <c r="C244" s="33">
        <v>4.7674657728177632E-3</v>
      </c>
      <c r="D244" s="33">
        <v>1.44867811853896E-2</v>
      </c>
      <c r="E244" s="33">
        <v>1.0368820639798092E-2</v>
      </c>
    </row>
    <row r="249" spans="2:5" ht="33.75">
      <c r="B249" s="15" t="s">
        <v>111</v>
      </c>
    </row>
    <row r="251" spans="2:5">
      <c r="B251" s="21" t="s">
        <v>112</v>
      </c>
      <c r="C251">
        <v>1000</v>
      </c>
    </row>
    <row r="252" spans="2:5">
      <c r="B252" s="41" t="s">
        <v>60</v>
      </c>
      <c r="C252">
        <v>15</v>
      </c>
    </row>
    <row r="253" spans="2:5">
      <c r="B253" s="41" t="s">
        <v>79</v>
      </c>
      <c r="C253">
        <v>7.0000000000000007E-2</v>
      </c>
    </row>
    <row r="254" spans="2:5">
      <c r="B254" s="41" t="s">
        <v>26</v>
      </c>
      <c r="C254">
        <v>769.4</v>
      </c>
    </row>
    <row r="255" spans="2:5">
      <c r="B255" s="41" t="s">
        <v>115</v>
      </c>
      <c r="C255" s="40">
        <v>2</v>
      </c>
    </row>
    <row r="256" spans="2:5">
      <c r="B256" s="41" t="s">
        <v>121</v>
      </c>
      <c r="C256" s="1">
        <v>0.1</v>
      </c>
    </row>
    <row r="257" spans="2:11">
      <c r="B257" s="41" t="s">
        <v>113</v>
      </c>
      <c r="C257">
        <v>0.08</v>
      </c>
    </row>
    <row r="258" spans="2:11">
      <c r="B258" s="41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>
        <f>$C$251*$C$253/2</f>
        <v>35</v>
      </c>
      <c r="D261">
        <f>C261* (1+$C$257/2)^(30-B261)</f>
        <v>109.15280081823461</v>
      </c>
      <c r="E261">
        <f>C261/(1+$C$256/2)^B261</f>
        <v>33.333333333333329</v>
      </c>
      <c r="H261">
        <v>1</v>
      </c>
      <c r="I261">
        <f>$C$251*$C$253/2*((1+$C$256/2)^H261-1)/($C$256/2) + $C$251</f>
        <v>1035</v>
      </c>
      <c r="J261">
        <f>I261-$C$251-H261*$C$251*$C$253/2</f>
        <v>0</v>
      </c>
      <c r="K261">
        <f>J261/I261</f>
        <v>0</v>
      </c>
    </row>
    <row r="262" spans="2:11">
      <c r="B262">
        <v>2</v>
      </c>
      <c r="C262">
        <f t="shared" ref="C262:C290" si="22">$C$251*$C$253/2</f>
        <v>35</v>
      </c>
      <c r="D262">
        <f t="shared" ref="D262:D290" si="23">C262* (1+$C$257/2)^(30-B262)</f>
        <v>104.95461617137943</v>
      </c>
      <c r="E262">
        <f t="shared" ref="E262:E289" si="24">C262/(1+$C$256/2)^B262</f>
        <v>31.746031746031743</v>
      </c>
      <c r="H262">
        <v>2</v>
      </c>
      <c r="I262">
        <f t="shared" ref="I262:I290" si="25">$C$251*$C$253/2*((1+$C$256/2)^H262-1)/($C$256/2) + $C$251</f>
        <v>1071.75</v>
      </c>
      <c r="J262">
        <f t="shared" ref="J262:J280" si="26">I262-$C$251-H262*$C$251*$C$253/2</f>
        <v>1.75</v>
      </c>
      <c r="K262">
        <f t="shared" ref="K262:K280" si="27">J262/I262</f>
        <v>1.6328434802892467E-3</v>
      </c>
    </row>
    <row r="263" spans="2:11">
      <c r="B263">
        <v>3</v>
      </c>
      <c r="C263">
        <f t="shared" si="22"/>
        <v>35</v>
      </c>
      <c r="D263">
        <f t="shared" si="23"/>
        <v>100.91790016478789</v>
      </c>
      <c r="E263">
        <f t="shared" si="24"/>
        <v>30.234315948601658</v>
      </c>
      <c r="H263">
        <v>3</v>
      </c>
      <c r="I263">
        <f t="shared" si="25"/>
        <v>1110.3375000000001</v>
      </c>
      <c r="J263">
        <f t="shared" si="26"/>
        <v>5.3375000000000767</v>
      </c>
      <c r="K263">
        <f t="shared" si="27"/>
        <v>4.8070969412454109E-3</v>
      </c>
    </row>
    <row r="264" spans="2:11">
      <c r="B264">
        <v>4</v>
      </c>
      <c r="C264">
        <f t="shared" si="22"/>
        <v>35</v>
      </c>
      <c r="D264">
        <f t="shared" si="23"/>
        <v>97.036442466142205</v>
      </c>
      <c r="E264">
        <f t="shared" si="24"/>
        <v>28.794586617715868</v>
      </c>
      <c r="H264">
        <v>4</v>
      </c>
      <c r="I264">
        <f t="shared" si="25"/>
        <v>1150.8543749999999</v>
      </c>
      <c r="J264">
        <f t="shared" si="26"/>
        <v>10.854374999999891</v>
      </c>
      <c r="K264">
        <f t="shared" si="27"/>
        <v>9.4315799077532222E-3</v>
      </c>
    </row>
    <row r="265" spans="2:11">
      <c r="B265">
        <v>5</v>
      </c>
      <c r="C265">
        <f t="shared" si="22"/>
        <v>35</v>
      </c>
      <c r="D265">
        <f t="shared" si="23"/>
        <v>93.304271602059814</v>
      </c>
      <c r="E265">
        <f t="shared" si="24"/>
        <v>27.423415826396063</v>
      </c>
      <c r="H265">
        <v>5</v>
      </c>
      <c r="I265">
        <f t="shared" si="25"/>
        <v>1193.3970937500001</v>
      </c>
      <c r="J265">
        <f t="shared" si="26"/>
        <v>18.397093750000039</v>
      </c>
      <c r="K265">
        <f t="shared" si="27"/>
        <v>1.5415735337674596E-2</v>
      </c>
    </row>
    <row r="266" spans="2:11">
      <c r="B266">
        <v>6</v>
      </c>
      <c r="C266">
        <f t="shared" si="22"/>
        <v>35</v>
      </c>
      <c r="D266">
        <f t="shared" si="23"/>
        <v>89.715645771211342</v>
      </c>
      <c r="E266">
        <f t="shared" si="24"/>
        <v>26.11753888228197</v>
      </c>
      <c r="H266">
        <v>6</v>
      </c>
      <c r="I266">
        <f t="shared" si="25"/>
        <v>1238.0669484375001</v>
      </c>
      <c r="J266">
        <f t="shared" si="26"/>
        <v>28.066948437500031</v>
      </c>
      <c r="K266">
        <f t="shared" si="27"/>
        <v>2.2669976347338784E-2</v>
      </c>
    </row>
    <row r="267" spans="2:11">
      <c r="B267">
        <v>7</v>
      </c>
      <c r="C267">
        <f t="shared" si="22"/>
        <v>35</v>
      </c>
      <c r="D267">
        <f t="shared" si="23"/>
        <v>86.26504401078013</v>
      </c>
      <c r="E267">
        <f t="shared" si="24"/>
        <v>24.873846554554252</v>
      </c>
      <c r="H267">
        <v>7</v>
      </c>
      <c r="I267">
        <f t="shared" si="25"/>
        <v>1284.9702958593753</v>
      </c>
      <c r="J267">
        <f t="shared" si="26"/>
        <v>39.970295859375227</v>
      </c>
      <c r="K267">
        <f t="shared" si="27"/>
        <v>3.1106007654942321E-2</v>
      </c>
    </row>
    <row r="268" spans="2:11">
      <c r="B268">
        <v>8</v>
      </c>
      <c r="C268">
        <f t="shared" si="22"/>
        <v>35</v>
      </c>
      <c r="D268">
        <f t="shared" si="23"/>
        <v>82.947157702673209</v>
      </c>
      <c r="E268">
        <f t="shared" si="24"/>
        <v>23.689377671004053</v>
      </c>
      <c r="H268">
        <v>8</v>
      </c>
      <c r="I268">
        <f t="shared" si="25"/>
        <v>1334.2188106523438</v>
      </c>
      <c r="J268">
        <f t="shared" si="26"/>
        <v>54.218810652343791</v>
      </c>
      <c r="K268">
        <f t="shared" si="27"/>
        <v>4.0637120552838267E-2</v>
      </c>
    </row>
    <row r="269" spans="2:11">
      <c r="B269">
        <v>9</v>
      </c>
      <c r="C269">
        <f t="shared" si="22"/>
        <v>35</v>
      </c>
      <c r="D269">
        <f t="shared" si="23"/>
        <v>79.756882406416551</v>
      </c>
      <c r="E269">
        <f t="shared" si="24"/>
        <v>22.561312067622904</v>
      </c>
      <c r="H269">
        <v>9</v>
      </c>
      <c r="I269">
        <f t="shared" si="25"/>
        <v>1385.9297511849611</v>
      </c>
      <c r="J269">
        <f t="shared" si="26"/>
        <v>70.929751184961049</v>
      </c>
      <c r="K269">
        <f t="shared" si="27"/>
        <v>5.1178460614123164E-2</v>
      </c>
    </row>
    <row r="270" spans="2:11">
      <c r="B270">
        <v>10</v>
      </c>
      <c r="C270">
        <f t="shared" si="22"/>
        <v>35</v>
      </c>
      <c r="D270">
        <f t="shared" si="23"/>
        <v>76.689310006169748</v>
      </c>
      <c r="E270">
        <f t="shared" si="24"/>
        <v>21.486963873926577</v>
      </c>
      <c r="H270">
        <v>10</v>
      </c>
      <c r="I270">
        <f t="shared" si="25"/>
        <v>1440.226238744209</v>
      </c>
      <c r="J270">
        <f t="shared" si="26"/>
        <v>90.226238744208956</v>
      </c>
      <c r="K270">
        <f t="shared" si="27"/>
        <v>6.2647267711828963E-2</v>
      </c>
    </row>
    <row r="271" spans="2:11">
      <c r="B271">
        <v>11</v>
      </c>
      <c r="C271">
        <f t="shared" si="22"/>
        <v>35</v>
      </c>
      <c r="D271">
        <f t="shared" si="23"/>
        <v>73.739721159778597</v>
      </c>
      <c r="E271">
        <f t="shared" si="24"/>
        <v>20.46377511802531</v>
      </c>
      <c r="H271">
        <v>11</v>
      </c>
      <c r="I271">
        <f t="shared" si="25"/>
        <v>1497.2375506814196</v>
      </c>
      <c r="J271">
        <f t="shared" si="26"/>
        <v>112.23755068141958</v>
      </c>
      <c r="K271">
        <f t="shared" si="27"/>
        <v>7.4963088275696976E-2</v>
      </c>
    </row>
    <row r="272" spans="2:11">
      <c r="B272">
        <v>12</v>
      </c>
      <c r="C272">
        <f t="shared" si="22"/>
        <v>35</v>
      </c>
      <c r="D272">
        <f t="shared" si="23"/>
        <v>70.903578038248654</v>
      </c>
      <c r="E272">
        <f t="shared" si="24"/>
        <v>19.489309636214582</v>
      </c>
      <c r="H272">
        <v>12</v>
      </c>
      <c r="I272">
        <f t="shared" si="25"/>
        <v>1557.0994282154904</v>
      </c>
      <c r="J272">
        <f t="shared" si="26"/>
        <v>137.09942821549038</v>
      </c>
      <c r="K272">
        <f t="shared" si="27"/>
        <v>8.8047960028225555E-2</v>
      </c>
    </row>
    <row r="273" spans="2:11">
      <c r="B273">
        <v>13</v>
      </c>
      <c r="C273">
        <f t="shared" si="22"/>
        <v>35</v>
      </c>
      <c r="D273">
        <f t="shared" si="23"/>
        <v>68.176517344469858</v>
      </c>
      <c r="E273">
        <f t="shared" si="24"/>
        <v>18.561247272585312</v>
      </c>
      <c r="H273">
        <v>13</v>
      </c>
      <c r="I273">
        <f t="shared" si="25"/>
        <v>1619.9543996262651</v>
      </c>
      <c r="J273">
        <f t="shared" si="26"/>
        <v>164.954399626265</v>
      </c>
      <c r="K273">
        <f t="shared" si="27"/>
        <v>0.1018265697258646</v>
      </c>
    </row>
    <row r="274" spans="2:11">
      <c r="B274">
        <v>14</v>
      </c>
      <c r="C274">
        <f t="shared" si="22"/>
        <v>35</v>
      </c>
      <c r="D274">
        <f t="shared" si="23"/>
        <v>65.554343600451773</v>
      </c>
      <c r="E274">
        <f t="shared" si="24"/>
        <v>17.67737835484316</v>
      </c>
      <c r="H274">
        <v>14</v>
      </c>
      <c r="I274">
        <f t="shared" si="25"/>
        <v>1685.952119607578</v>
      </c>
      <c r="J274">
        <f t="shared" si="26"/>
        <v>195.95211960757791</v>
      </c>
      <c r="K274">
        <f t="shared" si="27"/>
        <v>0.11622638468118994</v>
      </c>
    </row>
    <row r="275" spans="2:11">
      <c r="B275">
        <v>15</v>
      </c>
      <c r="C275">
        <f t="shared" si="22"/>
        <v>35</v>
      </c>
      <c r="D275">
        <f t="shared" si="23"/>
        <v>63.033022692742087</v>
      </c>
      <c r="E275">
        <f t="shared" si="24"/>
        <v>16.835598433183957</v>
      </c>
      <c r="H275">
        <v>15</v>
      </c>
      <c r="I275">
        <f t="shared" si="25"/>
        <v>1755.2497255879575</v>
      </c>
      <c r="J275">
        <f t="shared" si="26"/>
        <v>230.24972558795753</v>
      </c>
      <c r="K275">
        <f t="shared" si="27"/>
        <v>0.13117775905695161</v>
      </c>
    </row>
    <row r="276" spans="2:11">
      <c r="B276">
        <v>16</v>
      </c>
      <c r="C276">
        <f t="shared" si="22"/>
        <v>35</v>
      </c>
      <c r="D276">
        <f t="shared" si="23"/>
        <v>60.608675666098158</v>
      </c>
      <c r="E276">
        <f t="shared" si="24"/>
        <v>16.033903269699007</v>
      </c>
      <c r="H276">
        <v>16</v>
      </c>
      <c r="I276">
        <f t="shared" si="25"/>
        <v>1828.0122118673553</v>
      </c>
      <c r="J276">
        <f t="shared" si="26"/>
        <v>268.01221186735529</v>
      </c>
      <c r="K276">
        <f t="shared" si="27"/>
        <v>0.14661401610308436</v>
      </c>
    </row>
    <row r="277" spans="2:11">
      <c r="B277">
        <v>17</v>
      </c>
      <c r="C277">
        <f t="shared" si="22"/>
        <v>35</v>
      </c>
      <c r="D277">
        <f t="shared" si="23"/>
        <v>58.277572755863616</v>
      </c>
      <c r="E277">
        <f t="shared" si="24"/>
        <v>15.270384066380005</v>
      </c>
      <c r="H277">
        <v>17</v>
      </c>
      <c r="I277">
        <f t="shared" si="25"/>
        <v>1904.4128224607232</v>
      </c>
      <c r="J277">
        <f t="shared" si="26"/>
        <v>309.41282246072319</v>
      </c>
      <c r="K277">
        <f t="shared" si="27"/>
        <v>0.16247150765395801</v>
      </c>
    </row>
    <row r="278" spans="2:11">
      <c r="B278">
        <v>18</v>
      </c>
      <c r="C278">
        <f t="shared" si="22"/>
        <v>35</v>
      </c>
      <c r="D278">
        <f t="shared" si="23"/>
        <v>56.03612764986886</v>
      </c>
      <c r="E278">
        <f t="shared" si="24"/>
        <v>14.543222920361909</v>
      </c>
      <c r="H278">
        <v>18</v>
      </c>
      <c r="I278">
        <f t="shared" si="25"/>
        <v>1984.6334635837593</v>
      </c>
      <c r="J278">
        <f t="shared" si="26"/>
        <v>354.63346358375918</v>
      </c>
      <c r="K278">
        <f t="shared" si="27"/>
        <v>0.17868965231664413</v>
      </c>
    </row>
    <row r="279" spans="2:11">
      <c r="B279">
        <v>19</v>
      </c>
      <c r="C279">
        <f t="shared" si="22"/>
        <v>35</v>
      </c>
      <c r="D279">
        <f t="shared" si="23"/>
        <v>53.880891971027737</v>
      </c>
      <c r="E279">
        <f t="shared" si="24"/>
        <v>13.850688495582771</v>
      </c>
      <c r="H279">
        <v>19</v>
      </c>
      <c r="I279">
        <f t="shared" si="25"/>
        <v>2068.8651367629473</v>
      </c>
      <c r="J279">
        <f t="shared" si="26"/>
        <v>403.86513676294715</v>
      </c>
      <c r="K279">
        <f t="shared" si="27"/>
        <v>0.1952109538637474</v>
      </c>
    </row>
    <row r="280" spans="2:11">
      <c r="B280">
        <v>20</v>
      </c>
      <c r="C280">
        <f t="shared" si="22"/>
        <v>35</v>
      </c>
      <c r="D280">
        <f t="shared" si="23"/>
        <v>51.80854997214206</v>
      </c>
      <c r="E280">
        <f t="shared" si="24"/>
        <v>13.191131900555021</v>
      </c>
      <c r="H280">
        <v>20</v>
      </c>
      <c r="I280">
        <f t="shared" si="25"/>
        <v>2157.3083936010944</v>
      </c>
      <c r="J280">
        <f t="shared" si="26"/>
        <v>457.30839360109428</v>
      </c>
      <c r="K280">
        <f t="shared" si="27"/>
        <v>0.21198100139856718</v>
      </c>
    </row>
    <row r="281" spans="2:11">
      <c r="B281">
        <v>21</v>
      </c>
      <c r="C281">
        <f t="shared" si="22"/>
        <v>35</v>
      </c>
      <c r="D281">
        <f t="shared" si="23"/>
        <v>49.815913434751984</v>
      </c>
      <c r="E281">
        <f t="shared" si="24"/>
        <v>12.562982762433354</v>
      </c>
      <c r="H281">
        <v>21</v>
      </c>
      <c r="I281">
        <f t="shared" si="25"/>
        <v>2250.1738132811493</v>
      </c>
      <c r="J281">
        <f t="shared" ref="J281:J290" si="28">I281-$C$251-H281*$C$251*$C$253/2</f>
        <v>515.17381328114914</v>
      </c>
      <c r="K281">
        <f t="shared" ref="K281:K290" si="29">J281/I281</f>
        <v>0.22894845288859489</v>
      </c>
    </row>
    <row r="282" spans="2:11">
      <c r="B282">
        <v>22</v>
      </c>
      <c r="C282">
        <f t="shared" si="22"/>
        <v>35</v>
      </c>
      <c r="D282">
        <f t="shared" si="23"/>
        <v>47.899916764184596</v>
      </c>
      <c r="E282">
        <f t="shared" si="24"/>
        <v>11.964745488031767</v>
      </c>
      <c r="H282">
        <v>22</v>
      </c>
      <c r="I282">
        <f t="shared" si="25"/>
        <v>2347.6825039452065</v>
      </c>
      <c r="J282">
        <f t="shared" si="28"/>
        <v>577.68250394520635</v>
      </c>
      <c r="K282">
        <f t="shared" si="29"/>
        <v>0.24606500366826822</v>
      </c>
    </row>
    <row r="283" spans="2:11">
      <c r="B283">
        <v>23</v>
      </c>
      <c r="C283">
        <f t="shared" si="22"/>
        <v>35</v>
      </c>
      <c r="D283">
        <f t="shared" si="23"/>
        <v>46.057612273254406</v>
      </c>
      <c r="E283">
        <f t="shared" si="24"/>
        <v>11.394995702887394</v>
      </c>
      <c r="H283">
        <v>23</v>
      </c>
      <c r="I283">
        <f t="shared" si="25"/>
        <v>2450.0666291424673</v>
      </c>
      <c r="J283">
        <f t="shared" si="28"/>
        <v>645.06662914246715</v>
      </c>
      <c r="K283">
        <f t="shared" si="29"/>
        <v>0.26328534149630167</v>
      </c>
    </row>
    <row r="284" spans="2:11">
      <c r="B284">
        <v>24</v>
      </c>
      <c r="C284">
        <f t="shared" si="22"/>
        <v>35</v>
      </c>
      <c r="D284">
        <f t="shared" si="23"/>
        <v>44.286165647360015</v>
      </c>
      <c r="E284">
        <f t="shared" si="24"/>
        <v>10.852376859892757</v>
      </c>
      <c r="H284">
        <v>24</v>
      </c>
      <c r="I284">
        <f t="shared" si="25"/>
        <v>2557.5699605995906</v>
      </c>
      <c r="J284">
        <f t="shared" si="28"/>
        <v>717.56996059959044</v>
      </c>
      <c r="K284">
        <f t="shared" si="29"/>
        <v>0.28056708971955752</v>
      </c>
    </row>
    <row r="285" spans="2:11">
      <c r="B285">
        <v>25</v>
      </c>
      <c r="C285">
        <f t="shared" si="22"/>
        <v>35</v>
      </c>
      <c r="D285">
        <f t="shared" si="23"/>
        <v>42.582851584000011</v>
      </c>
      <c r="E285">
        <f t="shared" si="24"/>
        <v>10.335597009421674</v>
      </c>
      <c r="H285">
        <v>25</v>
      </c>
      <c r="I285">
        <f t="shared" si="25"/>
        <v>2670.4484586295703</v>
      </c>
      <c r="J285">
        <f t="shared" si="28"/>
        <v>795.44845862957015</v>
      </c>
      <c r="K285">
        <f t="shared" si="29"/>
        <v>0.29787074004707847</v>
      </c>
    </row>
    <row r="286" spans="2:11">
      <c r="B286">
        <v>26</v>
      </c>
      <c r="C286">
        <f t="shared" si="22"/>
        <v>35</v>
      </c>
      <c r="D286">
        <f t="shared" si="23"/>
        <v>40.945049600000004</v>
      </c>
      <c r="E286">
        <f t="shared" si="24"/>
        <v>9.8434257232587363</v>
      </c>
      <c r="H286">
        <v>26</v>
      </c>
      <c r="I286">
        <f t="shared" si="25"/>
        <v>2788.9708815610484</v>
      </c>
      <c r="J286">
        <f t="shared" si="28"/>
        <v>878.97088156104826</v>
      </c>
      <c r="K286">
        <f t="shared" si="29"/>
        <v>0.31515957637717212</v>
      </c>
    </row>
    <row r="287" spans="2:11">
      <c r="B287">
        <v>27</v>
      </c>
      <c r="C287">
        <f t="shared" si="22"/>
        <v>35</v>
      </c>
      <c r="D287">
        <f t="shared" si="23"/>
        <v>39.370240000000003</v>
      </c>
      <c r="E287">
        <f t="shared" si="24"/>
        <v>9.3746911650083202</v>
      </c>
      <c r="H287">
        <v>27</v>
      </c>
      <c r="I287">
        <f t="shared" si="25"/>
        <v>2913.4194256391011</v>
      </c>
      <c r="J287">
        <f t="shared" si="28"/>
        <v>968.41942563910095</v>
      </c>
      <c r="K287">
        <f t="shared" si="29"/>
        <v>0.3323995910498414</v>
      </c>
    </row>
    <row r="288" spans="2:11">
      <c r="B288">
        <v>28</v>
      </c>
      <c r="C288">
        <f t="shared" si="22"/>
        <v>35</v>
      </c>
      <c r="D288">
        <f t="shared" si="23"/>
        <v>37.856000000000002</v>
      </c>
      <c r="E288">
        <f t="shared" si="24"/>
        <v>8.9282773000079239</v>
      </c>
      <c r="H288">
        <v>28</v>
      </c>
      <c r="I288">
        <f t="shared" si="25"/>
        <v>3044.0903969210558</v>
      </c>
      <c r="J288">
        <f t="shared" si="28"/>
        <v>1064.0903969210558</v>
      </c>
      <c r="K288">
        <f t="shared" si="29"/>
        <v>0.34955939481867215</v>
      </c>
    </row>
    <row r="289" spans="2:11">
      <c r="B289">
        <v>29</v>
      </c>
      <c r="C289">
        <f t="shared" si="22"/>
        <v>35</v>
      </c>
      <c r="D289">
        <f t="shared" si="23"/>
        <v>36.4</v>
      </c>
      <c r="E289">
        <f t="shared" si="24"/>
        <v>8.5031212381027839</v>
      </c>
      <c r="H289">
        <v>29</v>
      </c>
      <c r="I289">
        <f t="shared" si="25"/>
        <v>3181.294916767109</v>
      </c>
      <c r="J289">
        <f t="shared" si="28"/>
        <v>1166.294916767109</v>
      </c>
      <c r="K289">
        <f t="shared" si="29"/>
        <v>0.36661012175266028</v>
      </c>
    </row>
    <row r="290" spans="2:11">
      <c r="B290">
        <v>30</v>
      </c>
      <c r="C290">
        <f t="shared" si="22"/>
        <v>35</v>
      </c>
      <c r="D290">
        <f t="shared" si="23"/>
        <v>35</v>
      </c>
      <c r="E290">
        <f>(C251+C290)/(1+$C$256/2)^B290</f>
        <v>239.47565935881318</v>
      </c>
      <c r="H290">
        <v>30</v>
      </c>
      <c r="I290">
        <f t="shared" si="25"/>
        <v>3325.3596626054637</v>
      </c>
      <c r="J290">
        <f t="shared" si="28"/>
        <v>1275.3596626054637</v>
      </c>
      <c r="K290">
        <f t="shared" si="29"/>
        <v>0.38352533019126189</v>
      </c>
    </row>
    <row r="291" spans="2:11">
      <c r="C291" s="11" t="s">
        <v>119</v>
      </c>
      <c r="D291" s="37">
        <f>SUM(D261:D290)</f>
        <v>1962.9728212740977</v>
      </c>
      <c r="E291" s="37">
        <f>SUM(E261:E290)</f>
        <v>769.41323459675755</v>
      </c>
    </row>
    <row r="292" spans="2:11">
      <c r="C292" t="s">
        <v>120</v>
      </c>
      <c r="D292" s="19">
        <f>D291-C290*30</f>
        <v>912.97282127409767</v>
      </c>
      <c r="E292" t="s">
        <v>126</v>
      </c>
      <c r="F292" s="13">
        <f>E291-C254</f>
        <v>1.3234596757570216E-2</v>
      </c>
    </row>
    <row r="298" spans="2:11" ht="33.75">
      <c r="B298" s="15" t="s">
        <v>128</v>
      </c>
    </row>
    <row r="301" spans="2:11">
      <c r="B301" s="21" t="s">
        <v>129</v>
      </c>
      <c r="C301">
        <v>1000</v>
      </c>
    </row>
    <row r="302" spans="2:11">
      <c r="B302" s="21" t="s">
        <v>130</v>
      </c>
      <c r="C302">
        <v>13</v>
      </c>
    </row>
    <row r="303" spans="2:11">
      <c r="B303" s="21" t="s">
        <v>132</v>
      </c>
      <c r="C303">
        <v>0.09</v>
      </c>
    </row>
    <row r="304" spans="2:11">
      <c r="B304" s="21" t="s">
        <v>133</v>
      </c>
      <c r="C304">
        <v>1000</v>
      </c>
    </row>
    <row r="305" spans="2:9">
      <c r="B305" s="21" t="s">
        <v>131</v>
      </c>
      <c r="C305">
        <v>0.09</v>
      </c>
      <c r="D305" t="s">
        <v>134</v>
      </c>
    </row>
    <row r="306" spans="2:9">
      <c r="B306" s="21" t="s">
        <v>137</v>
      </c>
      <c r="C306">
        <v>0.08</v>
      </c>
    </row>
    <row r="307" spans="2:9">
      <c r="B307" s="21" t="s">
        <v>138</v>
      </c>
      <c r="C307">
        <v>0.1</v>
      </c>
    </row>
    <row r="308" spans="2:9">
      <c r="B308" s="21" t="s">
        <v>139</v>
      </c>
      <c r="C308">
        <v>0.106</v>
      </c>
    </row>
    <row r="309" spans="2:9">
      <c r="B309" s="42" t="s">
        <v>142</v>
      </c>
      <c r="C309" s="11">
        <f>D327+I329</f>
        <v>1613.5391345733328</v>
      </c>
    </row>
    <row r="310" spans="2:9">
      <c r="B310" s="42" t="s">
        <v>143</v>
      </c>
      <c r="C310" s="11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>
        <f>$C$301*$C$303/2</f>
        <v>45</v>
      </c>
      <c r="D315">
        <f>C315*(1+$C$306/2)^(B$326-B315)</f>
        <v>69.27543253417852</v>
      </c>
      <c r="G315">
        <v>1</v>
      </c>
      <c r="H315">
        <f>$C$301*$C$303/2</f>
        <v>45</v>
      </c>
      <c r="I315">
        <f>H315/(1+$C$308/2)^G315</f>
        <v>42.73504273504274</v>
      </c>
    </row>
    <row r="316" spans="2:9">
      <c r="B316">
        <v>2</v>
      </c>
      <c r="C316">
        <f t="shared" ref="C316:C326" si="30">$C$301*$C$303/2</f>
        <v>45</v>
      </c>
      <c r="D316">
        <f t="shared" ref="D316:D318" si="31">C316*(1+$C$306/2)^(B$326-B316)</f>
        <v>66.61099282132551</v>
      </c>
      <c r="G316">
        <v>2</v>
      </c>
      <c r="H316">
        <f t="shared" ref="H316:H327" si="32">$C$301*$C$303/2</f>
        <v>45</v>
      </c>
      <c r="I316">
        <f t="shared" ref="I316:I328" si="33">H316/(1+$C$308/2)^G316</f>
        <v>40.584086168131755</v>
      </c>
    </row>
    <row r="317" spans="2:9">
      <c r="B317">
        <v>3</v>
      </c>
      <c r="C317">
        <f t="shared" si="30"/>
        <v>45</v>
      </c>
      <c r="D317">
        <f t="shared" si="31"/>
        <v>64.049031558966831</v>
      </c>
      <c r="G317">
        <v>3</v>
      </c>
      <c r="H317">
        <f t="shared" si="32"/>
        <v>45</v>
      </c>
      <c r="I317">
        <f t="shared" si="33"/>
        <v>38.541392372394832</v>
      </c>
    </row>
    <row r="318" spans="2:9">
      <c r="B318">
        <v>4</v>
      </c>
      <c r="C318">
        <f t="shared" si="30"/>
        <v>45</v>
      </c>
      <c r="D318">
        <f t="shared" si="31"/>
        <v>61.585607268237332</v>
      </c>
      <c r="G318">
        <v>4</v>
      </c>
      <c r="H318">
        <f t="shared" si="32"/>
        <v>45</v>
      </c>
      <c r="I318">
        <f t="shared" si="33"/>
        <v>36.601512224496517</v>
      </c>
    </row>
    <row r="319" spans="2:9">
      <c r="B319">
        <v>5</v>
      </c>
      <c r="C319">
        <f t="shared" si="30"/>
        <v>45</v>
      </c>
      <c r="D319">
        <f>C319*(1+$C$307/2)^(B$326-B319)</f>
        <v>63.319519019531263</v>
      </c>
      <c r="G319">
        <v>5</v>
      </c>
      <c r="H319">
        <f t="shared" si="32"/>
        <v>45</v>
      </c>
      <c r="I319">
        <f t="shared" si="33"/>
        <v>34.759270868467731</v>
      </c>
    </row>
    <row r="320" spans="2:9">
      <c r="B320">
        <v>6</v>
      </c>
      <c r="C320">
        <f t="shared" si="30"/>
        <v>45</v>
      </c>
      <c r="D320">
        <f t="shared" ref="D320:D326" si="34">C320*(1+$C$307/2)^(B$326-B320)</f>
        <v>60.304303828125001</v>
      </c>
      <c r="G320">
        <v>6</v>
      </c>
      <c r="H320">
        <f t="shared" si="32"/>
        <v>45</v>
      </c>
      <c r="I320">
        <f t="shared" si="33"/>
        <v>33.00975391117543</v>
      </c>
    </row>
    <row r="321" spans="2:9">
      <c r="B321">
        <v>7</v>
      </c>
      <c r="C321">
        <f t="shared" si="30"/>
        <v>45</v>
      </c>
      <c r="D321">
        <f t="shared" si="34"/>
        <v>57.432670312500008</v>
      </c>
      <c r="G321">
        <v>7</v>
      </c>
      <c r="H321">
        <f t="shared" si="32"/>
        <v>45</v>
      </c>
      <c r="I321">
        <f t="shared" si="33"/>
        <v>31.348294312607251</v>
      </c>
    </row>
    <row r="322" spans="2:9">
      <c r="B322">
        <v>8</v>
      </c>
      <c r="C322">
        <f t="shared" si="30"/>
        <v>45</v>
      </c>
      <c r="D322">
        <f t="shared" si="34"/>
        <v>54.697781249999998</v>
      </c>
      <c r="G322">
        <v>8</v>
      </c>
      <c r="H322">
        <f t="shared" si="32"/>
        <v>45</v>
      </c>
      <c r="I322">
        <f t="shared" si="33"/>
        <v>29.770459935999288</v>
      </c>
    </row>
    <row r="323" spans="2:9">
      <c r="B323">
        <v>9</v>
      </c>
      <c r="C323">
        <f t="shared" si="30"/>
        <v>45</v>
      </c>
      <c r="D323">
        <f t="shared" si="34"/>
        <v>52.093125000000008</v>
      </c>
      <c r="G323">
        <v>9</v>
      </c>
      <c r="H323">
        <f t="shared" si="32"/>
        <v>45</v>
      </c>
      <c r="I323">
        <f t="shared" si="33"/>
        <v>28.272041724595717</v>
      </c>
    </row>
    <row r="324" spans="2:9">
      <c r="B324">
        <v>10</v>
      </c>
      <c r="C324">
        <f t="shared" si="30"/>
        <v>45</v>
      </c>
      <c r="D324">
        <f t="shared" si="34"/>
        <v>49.612500000000004</v>
      </c>
      <c r="G324">
        <v>10</v>
      </c>
      <c r="H324">
        <f t="shared" si="32"/>
        <v>45</v>
      </c>
      <c r="I324">
        <f t="shared" si="33"/>
        <v>26.849042473500205</v>
      </c>
    </row>
    <row r="325" spans="2:9">
      <c r="B325">
        <v>11</v>
      </c>
      <c r="C325">
        <f t="shared" si="30"/>
        <v>45</v>
      </c>
      <c r="D325">
        <f t="shared" si="34"/>
        <v>47.25</v>
      </c>
      <c r="G325">
        <v>11</v>
      </c>
      <c r="H325">
        <f t="shared" si="32"/>
        <v>45</v>
      </c>
      <c r="I325">
        <f t="shared" si="33"/>
        <v>25.497666166666864</v>
      </c>
    </row>
    <row r="326" spans="2:9">
      <c r="B326">
        <v>12</v>
      </c>
      <c r="C326">
        <f t="shared" si="30"/>
        <v>45</v>
      </c>
      <c r="D326">
        <f t="shared" si="34"/>
        <v>45</v>
      </c>
      <c r="G326">
        <v>12</v>
      </c>
      <c r="H326">
        <f t="shared" si="32"/>
        <v>45</v>
      </c>
      <c r="I326">
        <f t="shared" si="33"/>
        <v>24.214307850585818</v>
      </c>
    </row>
    <row r="327" spans="2:9">
      <c r="C327" s="11" t="s">
        <v>140</v>
      </c>
      <c r="D327" s="11">
        <f>SUM(D315:D326)</f>
        <v>691.23096359286444</v>
      </c>
      <c r="G327">
        <v>13</v>
      </c>
      <c r="H327">
        <f t="shared" si="32"/>
        <v>45</v>
      </c>
      <c r="I327">
        <f t="shared" si="33"/>
        <v>22.995544017650349</v>
      </c>
    </row>
    <row r="328" spans="2:9">
      <c r="G328">
        <v>14</v>
      </c>
      <c r="H328">
        <f>$C$301*$C$303/2+C301</f>
        <v>1045</v>
      </c>
      <c r="I328">
        <f t="shared" si="33"/>
        <v>507.12975621915405</v>
      </c>
    </row>
    <row r="329" spans="2:9">
      <c r="H329" s="11" t="s">
        <v>140</v>
      </c>
      <c r="I329" s="11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abSelected="1" topLeftCell="A76" zoomScale="90" zoomScaleNormal="90" workbookViewId="0">
      <selection activeCell="L97" sqref="L97"/>
    </sheetView>
  </sheetViews>
  <sheetFormatPr defaultRowHeight="15"/>
  <cols>
    <col min="1" max="1" width="8.7109375" customWidth="1"/>
    <col min="2" max="2" width="12.28515625" customWidth="1"/>
    <col min="3" max="3" width="14.28515625" customWidth="1"/>
    <col min="4" max="4" width="12.28515625" bestFit="1" customWidth="1"/>
    <col min="5" max="6" width="13" customWidth="1"/>
    <col min="7" max="7" width="11.28515625" customWidth="1"/>
    <col min="8" max="8" width="11.140625" bestFit="1" customWidth="1"/>
    <col min="9" max="9" width="11.85546875" customWidth="1"/>
    <col min="10" max="10" width="11.28515625" bestFit="1" customWidth="1"/>
    <col min="11" max="11" width="15.28515625" customWidth="1"/>
  </cols>
  <sheetData>
    <row r="2" spans="2:13" ht="33.75">
      <c r="B2" s="15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30">
        <f>-PV($B10/2,10*2,100*C$9/2,100)</f>
        <v>74.247041822377312</v>
      </c>
      <c r="D10" s="30">
        <f t="shared" ref="D10:M22" si="0">-PV($B10/2,10*2,100*D$9/2,100)</f>
        <v>82.831361214918203</v>
      </c>
      <c r="E10" s="30">
        <f t="shared" si="0"/>
        <v>91.415680607459109</v>
      </c>
      <c r="F10" s="30">
        <f t="shared" si="0"/>
        <v>100</v>
      </c>
      <c r="G10" s="30">
        <f t="shared" si="0"/>
        <v>108.58431939254089</v>
      </c>
      <c r="H10" s="30">
        <f t="shared" si="0"/>
        <v>117.16863878508178</v>
      </c>
      <c r="I10" s="30">
        <f t="shared" si="0"/>
        <v>125.7529581776227</v>
      </c>
      <c r="J10" s="30">
        <f t="shared" si="0"/>
        <v>134.33727757016359</v>
      </c>
      <c r="K10" s="30">
        <f t="shared" si="0"/>
        <v>142.92159696270448</v>
      </c>
      <c r="L10" s="30">
        <f t="shared" si="0"/>
        <v>151.50591635524538</v>
      </c>
      <c r="M10" s="30">
        <f t="shared" si="0"/>
        <v>160.09023574778627</v>
      </c>
    </row>
    <row r="11" spans="2:13">
      <c r="B11">
        <v>0.04</v>
      </c>
      <c r="C11" s="30">
        <f t="shared" ref="C11:C22" si="1">-PV($B11/2,10*2,100*C$9/2,100)</f>
        <v>67.297133310805776</v>
      </c>
      <c r="D11" s="30">
        <f t="shared" si="0"/>
        <v>75.472849983104325</v>
      </c>
      <c r="E11" s="30">
        <f t="shared" si="0"/>
        <v>83.648566655402888</v>
      </c>
      <c r="F11" s="30">
        <f t="shared" si="0"/>
        <v>91.824283327701451</v>
      </c>
      <c r="G11" s="30">
        <f t="shared" si="0"/>
        <v>100</v>
      </c>
      <c r="H11" s="30">
        <f t="shared" si="0"/>
        <v>108.17571667229856</v>
      </c>
      <c r="I11" s="30">
        <f t="shared" si="0"/>
        <v>116.35143334459711</v>
      </c>
      <c r="J11" s="30">
        <f t="shared" si="0"/>
        <v>124.52715001689567</v>
      </c>
      <c r="K11" s="30">
        <f t="shared" si="0"/>
        <v>132.70286668919422</v>
      </c>
      <c r="L11" s="30">
        <f t="shared" si="0"/>
        <v>140.87858336149276</v>
      </c>
      <c r="M11" s="30">
        <f t="shared" si="0"/>
        <v>149.05430003379135</v>
      </c>
    </row>
    <row r="12" spans="2:13">
      <c r="B12">
        <v>0.05</v>
      </c>
      <c r="C12" s="30">
        <f t="shared" si="1"/>
        <v>61.027094285883038</v>
      </c>
      <c r="D12" s="30">
        <f t="shared" si="0"/>
        <v>68.821675428706428</v>
      </c>
      <c r="E12" s="30">
        <f t="shared" si="0"/>
        <v>76.616256571529817</v>
      </c>
      <c r="F12" s="30">
        <f t="shared" si="0"/>
        <v>84.410837714353207</v>
      </c>
      <c r="G12" s="30">
        <f t="shared" si="0"/>
        <v>92.205418857176596</v>
      </c>
      <c r="H12" s="30">
        <f t="shared" si="0"/>
        <v>100</v>
      </c>
      <c r="I12" s="30">
        <f t="shared" si="0"/>
        <v>107.79458114282339</v>
      </c>
      <c r="J12" s="30">
        <f t="shared" si="0"/>
        <v>115.58916228564679</v>
      </c>
      <c r="K12" s="30">
        <f t="shared" si="0"/>
        <v>123.38374342847017</v>
      </c>
      <c r="L12" s="30">
        <f t="shared" si="0"/>
        <v>131.17832457129359</v>
      </c>
      <c r="M12" s="30">
        <f t="shared" si="0"/>
        <v>138.97290571411696</v>
      </c>
    </row>
    <row r="13" spans="2:13">
      <c r="B13">
        <v>0.06</v>
      </c>
      <c r="C13" s="30">
        <f t="shared" si="1"/>
        <v>55.3675754186335</v>
      </c>
      <c r="D13" s="30">
        <f t="shared" si="0"/>
        <v>62.806312848861246</v>
      </c>
      <c r="E13" s="30">
        <f t="shared" si="0"/>
        <v>70.245050279089</v>
      </c>
      <c r="F13" s="30">
        <f t="shared" si="0"/>
        <v>77.683787709316746</v>
      </c>
      <c r="G13" s="30">
        <f t="shared" si="0"/>
        <v>85.122525139544507</v>
      </c>
      <c r="H13" s="30">
        <f t="shared" si="0"/>
        <v>92.561262569772254</v>
      </c>
      <c r="I13" s="30">
        <f t="shared" si="0"/>
        <v>99.999999999999986</v>
      </c>
      <c r="J13" s="30">
        <f t="shared" si="0"/>
        <v>107.43873743022775</v>
      </c>
      <c r="K13" s="30">
        <f t="shared" si="0"/>
        <v>114.87747486045551</v>
      </c>
      <c r="L13" s="30">
        <f t="shared" si="0"/>
        <v>122.31621229068325</v>
      </c>
      <c r="M13" s="30">
        <f t="shared" si="0"/>
        <v>129.75494972091099</v>
      </c>
    </row>
    <row r="14" spans="2:13">
      <c r="B14">
        <v>7.0000000000000007E-2</v>
      </c>
      <c r="C14" s="30">
        <f t="shared" si="1"/>
        <v>50.256588443167068</v>
      </c>
      <c r="D14" s="30">
        <f t="shared" si="0"/>
        <v>57.3627900941432</v>
      </c>
      <c r="E14" s="30">
        <f t="shared" si="0"/>
        <v>64.468991745119339</v>
      </c>
      <c r="F14" s="30">
        <f t="shared" si="0"/>
        <v>71.575193396095457</v>
      </c>
      <c r="G14" s="30">
        <f t="shared" si="0"/>
        <v>78.681395047071604</v>
      </c>
      <c r="H14" s="30">
        <f t="shared" si="0"/>
        <v>85.787596698047722</v>
      </c>
      <c r="I14" s="30">
        <f t="shared" si="0"/>
        <v>92.893798349023854</v>
      </c>
      <c r="J14" s="30">
        <f t="shared" si="0"/>
        <v>100</v>
      </c>
      <c r="K14" s="30">
        <f t="shared" si="0"/>
        <v>107.10620165097613</v>
      </c>
      <c r="L14" s="30">
        <f t="shared" si="0"/>
        <v>114.21240330195226</v>
      </c>
      <c r="M14" s="30">
        <f t="shared" si="0"/>
        <v>121.31860495292838</v>
      </c>
    </row>
    <row r="15" spans="2:13">
      <c r="B15">
        <v>0.08</v>
      </c>
      <c r="C15" s="30">
        <f t="shared" si="1"/>
        <v>45.638694620129208</v>
      </c>
      <c r="D15" s="30">
        <f t="shared" si="0"/>
        <v>52.433857792613054</v>
      </c>
      <c r="E15" s="30">
        <f t="shared" si="0"/>
        <v>59.229020965096908</v>
      </c>
      <c r="F15" s="30">
        <f t="shared" si="0"/>
        <v>66.024184137580747</v>
      </c>
      <c r="G15" s="30">
        <f t="shared" si="0"/>
        <v>72.819347310064614</v>
      </c>
      <c r="H15" s="30">
        <f t="shared" si="0"/>
        <v>79.61451048254844</v>
      </c>
      <c r="I15" s="30">
        <f t="shared" si="0"/>
        <v>86.409673655032293</v>
      </c>
      <c r="J15" s="30">
        <f t="shared" si="0"/>
        <v>93.204836827516147</v>
      </c>
      <c r="K15" s="30">
        <f t="shared" si="0"/>
        <v>100</v>
      </c>
      <c r="L15" s="30">
        <f t="shared" si="0"/>
        <v>106.79516317248384</v>
      </c>
      <c r="M15" s="30">
        <f t="shared" si="0"/>
        <v>113.59032634496769</v>
      </c>
    </row>
    <row r="16" spans="2:13">
      <c r="B16">
        <v>0.09</v>
      </c>
      <c r="C16" s="30">
        <f t="shared" si="1"/>
        <v>41.464285968458455</v>
      </c>
      <c r="D16" s="30">
        <f t="shared" si="0"/>
        <v>47.968254194185292</v>
      </c>
      <c r="E16" s="30">
        <f t="shared" si="0"/>
        <v>54.472222419912129</v>
      </c>
      <c r="F16" s="30">
        <f t="shared" si="0"/>
        <v>60.976190645638972</v>
      </c>
      <c r="G16" s="30">
        <f t="shared" si="0"/>
        <v>67.480158871365802</v>
      </c>
      <c r="H16" s="30">
        <f t="shared" si="0"/>
        <v>73.984127097092639</v>
      </c>
      <c r="I16" s="30">
        <f t="shared" si="0"/>
        <v>80.48809532281949</v>
      </c>
      <c r="J16" s="30">
        <f t="shared" si="0"/>
        <v>86.992063548546327</v>
      </c>
      <c r="K16" s="30">
        <f t="shared" si="0"/>
        <v>93.496031774273163</v>
      </c>
      <c r="L16" s="30">
        <f t="shared" si="0"/>
        <v>100</v>
      </c>
      <c r="M16" s="30">
        <f t="shared" si="0"/>
        <v>106.50396822572684</v>
      </c>
    </row>
    <row r="17" spans="2:13">
      <c r="B17">
        <v>0.1</v>
      </c>
      <c r="C17" s="30">
        <f t="shared" si="1"/>
        <v>37.688948287300057</v>
      </c>
      <c r="D17" s="30">
        <f t="shared" si="0"/>
        <v>43.920053458570052</v>
      </c>
      <c r="E17" s="30">
        <f t="shared" si="0"/>
        <v>50.151158629840047</v>
      </c>
      <c r="F17" s="30">
        <f t="shared" si="0"/>
        <v>56.382263801110035</v>
      </c>
      <c r="G17" s="30">
        <f t="shared" si="0"/>
        <v>62.61336897238003</v>
      </c>
      <c r="H17" s="30">
        <f t="shared" si="0"/>
        <v>68.844474143650032</v>
      </c>
      <c r="I17" s="30">
        <f t="shared" si="0"/>
        <v>75.07557931492002</v>
      </c>
      <c r="J17" s="30">
        <f t="shared" si="0"/>
        <v>81.306684486190022</v>
      </c>
      <c r="K17" s="30">
        <f t="shared" si="0"/>
        <v>87.53778965746001</v>
      </c>
      <c r="L17" s="30">
        <f t="shared" si="0"/>
        <v>93.768894828729998</v>
      </c>
      <c r="M17" s="30">
        <f t="shared" si="0"/>
        <v>100</v>
      </c>
    </row>
    <row r="18" spans="2:13">
      <c r="B18">
        <v>0.11</v>
      </c>
      <c r="C18" s="30">
        <f t="shared" si="1"/>
        <v>34.272896332894383</v>
      </c>
      <c r="D18" s="30">
        <f t="shared" si="0"/>
        <v>40.248087575358525</v>
      </c>
      <c r="E18" s="30">
        <f t="shared" si="0"/>
        <v>46.223278817822674</v>
      </c>
      <c r="F18" s="30">
        <f t="shared" si="0"/>
        <v>52.198470060286823</v>
      </c>
      <c r="G18" s="30">
        <f t="shared" si="0"/>
        <v>58.173661302750972</v>
      </c>
      <c r="H18" s="30">
        <f t="shared" si="0"/>
        <v>64.148852545215121</v>
      </c>
      <c r="I18" s="30">
        <f t="shared" si="0"/>
        <v>70.12404378767927</v>
      </c>
      <c r="J18" s="30">
        <f t="shared" si="0"/>
        <v>76.099235030143419</v>
      </c>
      <c r="K18" s="30">
        <f t="shared" si="0"/>
        <v>82.074426272607568</v>
      </c>
      <c r="L18" s="30">
        <f t="shared" si="0"/>
        <v>88.049617515071702</v>
      </c>
      <c r="M18" s="30">
        <f t="shared" si="0"/>
        <v>94.024808757535851</v>
      </c>
    </row>
    <row r="19" spans="2:13">
      <c r="B19">
        <v>0.12</v>
      </c>
      <c r="C19" s="30">
        <f t="shared" si="1"/>
        <v>31.180472688608429</v>
      </c>
      <c r="D19" s="30">
        <f t="shared" si="0"/>
        <v>36.915433297891063</v>
      </c>
      <c r="E19" s="30">
        <f t="shared" si="0"/>
        <v>42.650393907173694</v>
      </c>
      <c r="F19" s="30">
        <f t="shared" si="0"/>
        <v>48.385354516456317</v>
      </c>
      <c r="G19" s="30">
        <f t="shared" si="0"/>
        <v>54.120315125738955</v>
      </c>
      <c r="H19" s="30">
        <f t="shared" si="0"/>
        <v>59.855275735021586</v>
      </c>
      <c r="I19" s="30">
        <f t="shared" si="0"/>
        <v>65.590236344304216</v>
      </c>
      <c r="J19" s="30">
        <f t="shared" si="0"/>
        <v>71.325196953586854</v>
      </c>
      <c r="K19" s="30">
        <f t="shared" si="0"/>
        <v>77.060157562869477</v>
      </c>
      <c r="L19" s="30">
        <f t="shared" si="0"/>
        <v>82.795118172152115</v>
      </c>
      <c r="M19" s="30">
        <f t="shared" si="0"/>
        <v>88.530078781434739</v>
      </c>
    </row>
    <row r="20" spans="2:13">
      <c r="B20">
        <v>0.13</v>
      </c>
      <c r="C20" s="30">
        <f t="shared" si="1"/>
        <v>28.379702892141989</v>
      </c>
      <c r="D20" s="30">
        <f t="shared" si="0"/>
        <v>33.888956515823374</v>
      </c>
      <c r="E20" s="30">
        <f t="shared" si="0"/>
        <v>39.398210139504755</v>
      </c>
      <c r="F20" s="30">
        <f t="shared" si="0"/>
        <v>44.907463763186144</v>
      </c>
      <c r="G20" s="30">
        <f t="shared" si="0"/>
        <v>50.416717386867532</v>
      </c>
      <c r="H20" s="30">
        <f t="shared" si="0"/>
        <v>55.925971010548913</v>
      </c>
      <c r="I20" s="30">
        <f t="shared" si="0"/>
        <v>61.435224634230309</v>
      </c>
      <c r="J20" s="30">
        <f t="shared" si="0"/>
        <v>66.944478257911683</v>
      </c>
      <c r="K20" s="30">
        <f t="shared" si="0"/>
        <v>72.453731881593072</v>
      </c>
      <c r="L20" s="30">
        <f t="shared" si="0"/>
        <v>77.96298550527446</v>
      </c>
      <c r="M20" s="30">
        <f t="shared" si="0"/>
        <v>83.472239128955835</v>
      </c>
    </row>
    <row r="21" spans="2:13">
      <c r="B21">
        <v>0.14000000000000001</v>
      </c>
      <c r="C21" s="30">
        <f t="shared" si="1"/>
        <v>25.84190028138687</v>
      </c>
      <c r="D21" s="30">
        <f t="shared" si="0"/>
        <v>31.138907404144948</v>
      </c>
      <c r="E21" s="30">
        <f t="shared" si="0"/>
        <v>36.435914526903026</v>
      </c>
      <c r="F21" s="30">
        <f t="shared" si="0"/>
        <v>41.732921649661115</v>
      </c>
      <c r="G21" s="30">
        <f t="shared" si="0"/>
        <v>47.02992877241919</v>
      </c>
      <c r="H21" s="30">
        <f t="shared" si="0"/>
        <v>52.326935895177272</v>
      </c>
      <c r="I21" s="30">
        <f t="shared" si="0"/>
        <v>57.623943017935353</v>
      </c>
      <c r="J21" s="30">
        <f t="shared" si="0"/>
        <v>62.920950140693435</v>
      </c>
      <c r="K21" s="30">
        <f t="shared" si="0"/>
        <v>68.21795726345151</v>
      </c>
      <c r="L21" s="30">
        <f t="shared" si="0"/>
        <v>73.514964386209599</v>
      </c>
      <c r="M21" s="30">
        <f t="shared" si="0"/>
        <v>78.811971508967673</v>
      </c>
    </row>
    <row r="22" spans="2:13">
      <c r="B22">
        <v>0.15</v>
      </c>
      <c r="C22" s="30">
        <f t="shared" si="1"/>
        <v>23.541314806060655</v>
      </c>
      <c r="D22" s="30">
        <f t="shared" si="0"/>
        <v>28.638560485656608</v>
      </c>
      <c r="E22" s="30">
        <f t="shared" si="0"/>
        <v>33.735806165252569</v>
      </c>
      <c r="F22" s="30">
        <f t="shared" si="0"/>
        <v>38.833051844848519</v>
      </c>
      <c r="G22" s="30">
        <f t="shared" si="0"/>
        <v>43.930297524444477</v>
      </c>
      <c r="H22" s="30">
        <f t="shared" si="0"/>
        <v>49.027543204040434</v>
      </c>
      <c r="I22" s="30">
        <f t="shared" si="0"/>
        <v>54.124788883636391</v>
      </c>
      <c r="J22" s="30">
        <f t="shared" si="0"/>
        <v>59.222034563232356</v>
      </c>
      <c r="K22" s="30">
        <f t="shared" si="0"/>
        <v>64.319280242828299</v>
      </c>
      <c r="L22" s="30">
        <f t="shared" si="0"/>
        <v>69.41652592242427</v>
      </c>
      <c r="M22" s="30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>
        <f>B10-B$16</f>
        <v>-0.06</v>
      </c>
      <c r="C28" s="30">
        <f>(C10-C$16)/C$16</f>
        <v>0.79062632065716587</v>
      </c>
      <c r="D28" s="30">
        <f t="shared" ref="D28:M28" si="2">(D10-D$16)/D$16</f>
        <v>0.72679541097326439</v>
      </c>
      <c r="E28" s="30">
        <f t="shared" si="2"/>
        <v>0.67820728706017386</v>
      </c>
      <c r="F28" s="30">
        <f t="shared" si="2"/>
        <v>0.63998437654373241</v>
      </c>
      <c r="G28" s="30">
        <f t="shared" si="2"/>
        <v>0.60912957539904411</v>
      </c>
      <c r="H28" s="30">
        <f t="shared" si="2"/>
        <v>0.5836996850867241</v>
      </c>
      <c r="I28" s="30">
        <f t="shared" si="2"/>
        <v>0.56237960002974496</v>
      </c>
      <c r="J28" s="30">
        <f t="shared" si="2"/>
        <v>0.54424751052371634</v>
      </c>
      <c r="K28" s="30">
        <f t="shared" si="2"/>
        <v>0.52863810635042918</v>
      </c>
      <c r="L28" s="30">
        <f t="shared" si="2"/>
        <v>0.51505916355245374</v>
      </c>
      <c r="M28" s="30">
        <f t="shared" si="2"/>
        <v>0.50313869440514669</v>
      </c>
    </row>
    <row r="29" spans="2:13">
      <c r="B29">
        <f t="shared" ref="B29:B40" si="3">B11-B$16</f>
        <v>-4.9999999999999996E-2</v>
      </c>
      <c r="C29" s="30">
        <f t="shared" ref="C29:M29" si="4">(C11-C$16)/C$16</f>
        <v>0.62301440237022676</v>
      </c>
      <c r="D29" s="30">
        <f t="shared" si="4"/>
        <v>0.57339163684329242</v>
      </c>
      <c r="E29" s="30">
        <f t="shared" si="4"/>
        <v>0.53561876015591847</v>
      </c>
      <c r="F29" s="30">
        <f t="shared" si="4"/>
        <v>0.50590390044755507</v>
      </c>
      <c r="G29" s="30">
        <f t="shared" si="4"/>
        <v>0.48191708010980255</v>
      </c>
      <c r="H29" s="30">
        <f t="shared" si="4"/>
        <v>0.46214763783500196</v>
      </c>
      <c r="I29" s="30">
        <f t="shared" si="4"/>
        <v>0.44557319784917149</v>
      </c>
      <c r="J29" s="30">
        <f t="shared" si="4"/>
        <v>0.43147713638730639</v>
      </c>
      <c r="K29" s="30">
        <f t="shared" si="4"/>
        <v>0.41934223486166616</v>
      </c>
      <c r="L29" s="30">
        <f t="shared" si="4"/>
        <v>0.4087858336149276</v>
      </c>
      <c r="M29" s="30">
        <f t="shared" si="4"/>
        <v>0.39951874579811347</v>
      </c>
    </row>
    <row r="30" spans="2:13">
      <c r="B30">
        <f t="shared" si="3"/>
        <v>-3.9999999999999994E-2</v>
      </c>
      <c r="C30" s="30">
        <f t="shared" ref="C30:M30" si="5">(C12-C$16)/C$16</f>
        <v>0.47179899184338669</v>
      </c>
      <c r="D30" s="30">
        <f t="shared" si="5"/>
        <v>0.43473379602480899</v>
      </c>
      <c r="E30" s="30">
        <f t="shared" si="5"/>
        <v>0.40651974837588073</v>
      </c>
      <c r="F30" s="30">
        <f t="shared" si="5"/>
        <v>0.3843245506250772</v>
      </c>
      <c r="G30" s="30">
        <f t="shared" si="5"/>
        <v>0.36640785083128469</v>
      </c>
      <c r="H30" s="30">
        <f t="shared" si="5"/>
        <v>0.35164127663175077</v>
      </c>
      <c r="I30" s="30">
        <f t="shared" si="5"/>
        <v>0.33926117533883465</v>
      </c>
      <c r="J30" s="30">
        <f t="shared" si="5"/>
        <v>0.32873227246922038</v>
      </c>
      <c r="K30" s="30">
        <f t="shared" si="5"/>
        <v>0.31966823711143916</v>
      </c>
      <c r="L30" s="30">
        <f t="shared" si="5"/>
        <v>0.31178324571293586</v>
      </c>
      <c r="M30" s="30">
        <f t="shared" si="5"/>
        <v>0.30486129323909089</v>
      </c>
    </row>
    <row r="31" spans="2:13">
      <c r="B31">
        <f t="shared" si="3"/>
        <v>-0.03</v>
      </c>
      <c r="C31" s="30">
        <f t="shared" ref="C31:M31" si="6">(C13-C$16)/C$16</f>
        <v>0.33530758158361063</v>
      </c>
      <c r="D31" s="30">
        <f t="shared" si="6"/>
        <v>0.30933080438175758</v>
      </c>
      <c r="E31" s="30">
        <f t="shared" si="6"/>
        <v>0.28955726714412833</v>
      </c>
      <c r="F31" s="30">
        <f t="shared" si="6"/>
        <v>0.27400198154019489</v>
      </c>
      <c r="G31" s="30">
        <f t="shared" si="6"/>
        <v>0.26144523906367062</v>
      </c>
      <c r="H31" s="30">
        <f t="shared" si="6"/>
        <v>0.2510962310645366</v>
      </c>
      <c r="I31" s="30">
        <f t="shared" si="6"/>
        <v>0.24241975908266525</v>
      </c>
      <c r="J31" s="30">
        <f t="shared" si="6"/>
        <v>0.23504068127170083</v>
      </c>
      <c r="K31" s="30">
        <f t="shared" si="6"/>
        <v>0.22868824141973659</v>
      </c>
      <c r="L31" s="30">
        <f t="shared" si="6"/>
        <v>0.22316212290683254</v>
      </c>
      <c r="M31" s="30">
        <f t="shared" si="6"/>
        <v>0.21831094073326462</v>
      </c>
    </row>
    <row r="32" spans="2:13">
      <c r="B32">
        <f t="shared" si="3"/>
        <v>-1.999999999999999E-2</v>
      </c>
      <c r="C32" s="30">
        <f t="shared" ref="C32:M32" si="7">(C14-C$16)/C$16</f>
        <v>0.21204519188867368</v>
      </c>
      <c r="D32" s="30">
        <f t="shared" si="7"/>
        <v>0.19584902677355961</v>
      </c>
      <c r="E32" s="30">
        <f t="shared" si="7"/>
        <v>0.18352049689004293</v>
      </c>
      <c r="F32" s="30">
        <f t="shared" si="7"/>
        <v>0.17382198917692684</v>
      </c>
      <c r="G32" s="30">
        <f t="shared" si="7"/>
        <v>0.16599303207122232</v>
      </c>
      <c r="H32" s="30">
        <f t="shared" si="7"/>
        <v>0.15954056720118989</v>
      </c>
      <c r="I32" s="30">
        <f t="shared" si="7"/>
        <v>0.15413090565067919</v>
      </c>
      <c r="J32" s="30">
        <f t="shared" si="7"/>
        <v>0.14953015161198624</v>
      </c>
      <c r="K32" s="30">
        <f t="shared" si="7"/>
        <v>0.14556949229205696</v>
      </c>
      <c r="L32" s="30">
        <f t="shared" si="7"/>
        <v>0.14212403301952264</v>
      </c>
      <c r="M32" s="30">
        <f t="shared" si="7"/>
        <v>0.139099387318631</v>
      </c>
    </row>
    <row r="33" spans="2:13">
      <c r="B33">
        <f t="shared" si="3"/>
        <v>-9.999999999999995E-3</v>
      </c>
      <c r="C33" s="30">
        <f t="shared" ref="C33:M33" si="8">(C15-C$16)/C$16</f>
        <v>0.10067479890636948</v>
      </c>
      <c r="D33" s="30">
        <f t="shared" si="8"/>
        <v>9.3094978615441928E-2</v>
      </c>
      <c r="E33" s="30">
        <f t="shared" si="8"/>
        <v>8.7325215198966216E-2</v>
      </c>
      <c r="F33" s="30">
        <f t="shared" si="8"/>
        <v>8.2786304596789498E-2</v>
      </c>
      <c r="G33" s="30">
        <f t="shared" si="8"/>
        <v>7.9122345412325601E-2</v>
      </c>
      <c r="H33" s="30">
        <f t="shared" si="8"/>
        <v>7.6102585870436779E-2</v>
      </c>
      <c r="I33" s="30">
        <f t="shared" si="8"/>
        <v>7.3570859248969625E-2</v>
      </c>
      <c r="J33" s="30">
        <f t="shared" si="8"/>
        <v>7.1417702093050747E-2</v>
      </c>
      <c r="K33" s="30">
        <f t="shared" si="8"/>
        <v>6.9564109859007961E-2</v>
      </c>
      <c r="L33" s="30">
        <f t="shared" si="8"/>
        <v>6.7951631724838396E-2</v>
      </c>
      <c r="M33" s="30">
        <f t="shared" si="8"/>
        <v>6.6536094732375359E-2</v>
      </c>
    </row>
    <row r="34" spans="2:13">
      <c r="B34">
        <f t="shared" si="3"/>
        <v>0</v>
      </c>
      <c r="C34" s="30">
        <f t="shared" ref="C34:M34" si="9">(C16-C$16)/C$16</f>
        <v>0</v>
      </c>
      <c r="D34" s="30">
        <f t="shared" si="9"/>
        <v>0</v>
      </c>
      <c r="E34" s="30">
        <f t="shared" si="9"/>
        <v>0</v>
      </c>
      <c r="F34" s="30">
        <f t="shared" si="9"/>
        <v>0</v>
      </c>
      <c r="G34" s="30">
        <f t="shared" si="9"/>
        <v>0</v>
      </c>
      <c r="H34" s="30">
        <f t="shared" si="9"/>
        <v>0</v>
      </c>
      <c r="I34" s="30">
        <f t="shared" si="9"/>
        <v>0</v>
      </c>
      <c r="J34" s="30">
        <f t="shared" si="9"/>
        <v>0</v>
      </c>
      <c r="K34" s="30">
        <f t="shared" si="9"/>
        <v>0</v>
      </c>
      <c r="L34" s="30">
        <f t="shared" si="9"/>
        <v>0</v>
      </c>
      <c r="M34" s="30">
        <f t="shared" si="9"/>
        <v>0</v>
      </c>
    </row>
    <row r="35" spans="2:13">
      <c r="B35">
        <f t="shared" si="3"/>
        <v>1.0000000000000009E-2</v>
      </c>
      <c r="C35" s="30">
        <f t="shared" ref="C35:M35" si="10">(C17-C$16)/C$16</f>
        <v>-9.1050348341468273E-2</v>
      </c>
      <c r="D35" s="30">
        <f t="shared" si="10"/>
        <v>-8.4393330622942742E-2</v>
      </c>
      <c r="E35" s="30">
        <f t="shared" si="10"/>
        <v>-7.9326005037248695E-2</v>
      </c>
      <c r="F35" s="30">
        <f t="shared" si="10"/>
        <v>-7.5339682520123047E-2</v>
      </c>
      <c r="G35" s="30">
        <f t="shared" si="10"/>
        <v>-7.2121790766128763E-2</v>
      </c>
      <c r="H35" s="30">
        <f t="shared" si="10"/>
        <v>-6.9469670794353136E-2</v>
      </c>
      <c r="I35" s="30">
        <f t="shared" si="10"/>
        <v>-6.7246168345655291E-2</v>
      </c>
      <c r="J35" s="30">
        <f t="shared" si="10"/>
        <v>-6.5355146555220553E-2</v>
      </c>
      <c r="K35" s="30">
        <f t="shared" si="10"/>
        <v>-6.3727219259937115E-2</v>
      </c>
      <c r="L35" s="30">
        <f t="shared" si="10"/>
        <v>-6.2311051712700023E-2</v>
      </c>
      <c r="M35" s="30">
        <f t="shared" si="10"/>
        <v>-6.1067848776697076E-2</v>
      </c>
    </row>
    <row r="36" spans="2:13">
      <c r="B36">
        <f t="shared" si="3"/>
        <v>2.0000000000000004E-2</v>
      </c>
      <c r="C36" s="30">
        <f t="shared" ref="C36:M36" si="11">(C18-C$16)/C$16</f>
        <v>-0.17343575242160214</v>
      </c>
      <c r="D36" s="30">
        <f t="shared" si="11"/>
        <v>-0.16094324774827024</v>
      </c>
      <c r="E36" s="30">
        <f t="shared" si="11"/>
        <v>-0.15143394625063217</v>
      </c>
      <c r="F36" s="30">
        <f t="shared" si="11"/>
        <v>-0.14395324621643832</v>
      </c>
      <c r="G36" s="30">
        <f t="shared" si="11"/>
        <v>-0.13791457702930665</v>
      </c>
      <c r="H36" s="30">
        <f t="shared" si="11"/>
        <v>-0.13293763051323498</v>
      </c>
      <c r="I36" s="30">
        <f t="shared" si="11"/>
        <v>-0.12876502411409241</v>
      </c>
      <c r="J36" s="30">
        <f t="shared" si="11"/>
        <v>-0.12521634818243063</v>
      </c>
      <c r="K36" s="30">
        <f t="shared" si="11"/>
        <v>-0.12216139321549711</v>
      </c>
      <c r="L36" s="30">
        <f t="shared" si="11"/>
        <v>-0.11950382484928297</v>
      </c>
      <c r="M36" s="30">
        <f t="shared" si="11"/>
        <v>-0.1171708404492721</v>
      </c>
    </row>
    <row r="37" spans="2:13">
      <c r="B37">
        <f t="shared" si="3"/>
        <v>0.03</v>
      </c>
      <c r="C37" s="30">
        <f t="shared" ref="C37:M37" si="12">(C19-C$16)/C$16</f>
        <v>-0.24801616715823441</v>
      </c>
      <c r="D37" s="30">
        <f t="shared" si="12"/>
        <v>-0.23041949476731322</v>
      </c>
      <c r="E37" s="30">
        <f t="shared" si="12"/>
        <v>-0.21702489796739058</v>
      </c>
      <c r="F37" s="30">
        <f t="shared" si="12"/>
        <v>-0.20648774539481918</v>
      </c>
      <c r="G37" s="30">
        <f t="shared" si="12"/>
        <v>-0.19798180634242546</v>
      </c>
      <c r="H37" s="30">
        <f t="shared" si="12"/>
        <v>-0.19097138692369969</v>
      </c>
      <c r="I37" s="30">
        <f t="shared" si="12"/>
        <v>-0.1850939436293447</v>
      </c>
      <c r="J37" s="30">
        <f t="shared" si="12"/>
        <v>-0.18009535532188525</v>
      </c>
      <c r="K37" s="30">
        <f t="shared" si="12"/>
        <v>-0.17579221170674608</v>
      </c>
      <c r="L37" s="30">
        <f t="shared" si="12"/>
        <v>-0.17204881827847884</v>
      </c>
      <c r="M37" s="30">
        <f t="shared" si="12"/>
        <v>-0.16876262681778997</v>
      </c>
    </row>
    <row r="38" spans="2:13">
      <c r="B38">
        <f t="shared" si="3"/>
        <v>4.0000000000000008E-2</v>
      </c>
      <c r="C38" s="30">
        <f t="shared" ref="C38:M38" si="13">(C20-C$16)/C$16</f>
        <v>-0.31556272514302552</v>
      </c>
      <c r="D38" s="30">
        <f t="shared" si="13"/>
        <v>-0.29351282248809901</v>
      </c>
      <c r="E38" s="30">
        <f t="shared" si="13"/>
        <v>-0.27672842433719247</v>
      </c>
      <c r="F38" s="30">
        <f t="shared" si="13"/>
        <v>-0.26352461038170916</v>
      </c>
      <c r="G38" s="30">
        <f t="shared" si="13"/>
        <v>-0.2528660538133215</v>
      </c>
      <c r="H38" s="30">
        <f t="shared" si="13"/>
        <v>-0.24408149146431382</v>
      </c>
      <c r="I38" s="30">
        <f t="shared" si="13"/>
        <v>-0.23671663010750146</v>
      </c>
      <c r="J38" s="30">
        <f t="shared" si="13"/>
        <v>-0.23045303758597466</v>
      </c>
      <c r="K38" s="30">
        <f t="shared" si="13"/>
        <v>-0.22506088754100681</v>
      </c>
      <c r="L38" s="30">
        <f t="shared" si="13"/>
        <v>-0.2203701449472554</v>
      </c>
      <c r="M38" s="30">
        <f t="shared" si="13"/>
        <v>-0.21625230947223537</v>
      </c>
    </row>
    <row r="39" spans="2:13">
      <c r="B39">
        <f t="shared" si="3"/>
        <v>5.0000000000000017E-2</v>
      </c>
      <c r="C39" s="30">
        <f t="shared" ref="C39:M39" si="14">(C21-C$16)/C$16</f>
        <v>-0.37676726662929649</v>
      </c>
      <c r="D39" s="30">
        <f t="shared" si="14"/>
        <v>-0.35084342911275673</v>
      </c>
      <c r="E39" s="30">
        <f t="shared" si="14"/>
        <v>-0.33111018959299876</v>
      </c>
      <c r="F39" s="30">
        <f t="shared" si="14"/>
        <v>-0.31558660507032082</v>
      </c>
      <c r="G39" s="30">
        <f t="shared" si="14"/>
        <v>-0.30305545275804563</v>
      </c>
      <c r="H39" s="30">
        <f t="shared" si="14"/>
        <v>-0.29272753564414805</v>
      </c>
      <c r="I39" s="30">
        <f t="shared" si="14"/>
        <v>-0.28406874598263521</v>
      </c>
      <c r="J39" s="30">
        <f t="shared" si="14"/>
        <v>-0.27670470645198447</v>
      </c>
      <c r="K39" s="30">
        <f t="shared" si="14"/>
        <v>-0.27036521263116642</v>
      </c>
      <c r="L39" s="30">
        <f t="shared" si="14"/>
        <v>-0.26485035613790403</v>
      </c>
      <c r="M39" s="30">
        <f t="shared" si="14"/>
        <v>-0.26000906048935324</v>
      </c>
    </row>
    <row r="40" spans="2:13">
      <c r="B40">
        <f t="shared" si="3"/>
        <v>0.06</v>
      </c>
      <c r="C40" s="30">
        <f t="shared" ref="C40:M40" si="15">(C22-C$16)/C$16</f>
        <v>-0.43225080919111109</v>
      </c>
      <c r="D40" s="30">
        <f t="shared" si="15"/>
        <v>-0.40296846389860541</v>
      </c>
      <c r="E40" s="30">
        <f t="shared" si="15"/>
        <v>-0.38067872639393974</v>
      </c>
      <c r="F40" s="30">
        <f t="shared" si="15"/>
        <v>-0.3631440168093566</v>
      </c>
      <c r="G40" s="30">
        <f t="shared" si="15"/>
        <v>-0.34898941764220354</v>
      </c>
      <c r="H40" s="30">
        <f t="shared" si="15"/>
        <v>-0.33732348913572469</v>
      </c>
      <c r="I40" s="30">
        <f t="shared" si="15"/>
        <v>-0.32754292834792348</v>
      </c>
      <c r="J40" s="30">
        <f t="shared" si="15"/>
        <v>-0.31922485629757219</v>
      </c>
      <c r="K40" s="30">
        <f t="shared" si="15"/>
        <v>-0.31206406280307275</v>
      </c>
      <c r="L40" s="30">
        <f t="shared" si="15"/>
        <v>-0.30583474077575729</v>
      </c>
      <c r="M40" s="30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30">
        <f>-PV($B51/2,C$50*2,100*0.06/2,100)</f>
        <v>102.93382513528596</v>
      </c>
      <c r="D51" s="30">
        <f t="shared" ref="D51:K63" si="16">-PV($B51/2,D$50*2,100*0.06/2,100)</f>
        <v>108.54578074821281</v>
      </c>
      <c r="E51" s="30">
        <f t="shared" si="16"/>
        <v>113.83327682778155</v>
      </c>
      <c r="F51" s="30">
        <f t="shared" si="16"/>
        <v>118.81507225165407</v>
      </c>
      <c r="G51" s="30">
        <f t="shared" si="16"/>
        <v>125.7529581776227</v>
      </c>
      <c r="H51" s="30">
        <f t="shared" si="16"/>
        <v>136.02375700935087</v>
      </c>
      <c r="I51" s="30">
        <f t="shared" si="16"/>
        <v>144.87376780626153</v>
      </c>
      <c r="J51" s="30">
        <f t="shared" si="16"/>
        <v>152.49953211034702</v>
      </c>
      <c r="K51" s="30">
        <f t="shared" si="16"/>
        <v>159.07040332801418</v>
      </c>
      <c r="L51" s="30"/>
      <c r="M51" s="30"/>
    </row>
    <row r="52" spans="2:13">
      <c r="B52">
        <v>0.04</v>
      </c>
      <c r="C52" s="30">
        <f t="shared" ref="C52:C63" si="17">-PV($B52/2,C$50*2,100*0.06/2,100)</f>
        <v>101.94156093810074</v>
      </c>
      <c r="D52" s="30">
        <f t="shared" si="16"/>
        <v>105.60143089069039</v>
      </c>
      <c r="E52" s="30">
        <f t="shared" si="16"/>
        <v>108.98258500624222</v>
      </c>
      <c r="F52" s="30">
        <f t="shared" si="16"/>
        <v>112.10624877058554</v>
      </c>
      <c r="G52" s="30">
        <f t="shared" si="16"/>
        <v>116.35143334459711</v>
      </c>
      <c r="H52" s="30">
        <f t="shared" si="16"/>
        <v>122.39645555100439</v>
      </c>
      <c r="I52" s="30">
        <f t="shared" si="16"/>
        <v>127.35547924073818</v>
      </c>
      <c r="J52" s="30">
        <f t="shared" si="16"/>
        <v>131.42360589365188</v>
      </c>
      <c r="K52" s="30">
        <f t="shared" si="16"/>
        <v>134.76088667704647</v>
      </c>
      <c r="L52" s="30"/>
      <c r="M52" s="30"/>
    </row>
    <row r="53" spans="2:13">
      <c r="B53">
        <v>0.05</v>
      </c>
      <c r="C53" s="30">
        <f t="shared" si="17"/>
        <v>100.96371207614514</v>
      </c>
      <c r="D53" s="30">
        <f t="shared" si="16"/>
        <v>102.75406268078991</v>
      </c>
      <c r="E53" s="30">
        <f t="shared" si="16"/>
        <v>104.37603196548547</v>
      </c>
      <c r="F53" s="30">
        <f t="shared" si="16"/>
        <v>105.8454560848008</v>
      </c>
      <c r="G53" s="30">
        <f t="shared" si="16"/>
        <v>107.79458114282339</v>
      </c>
      <c r="H53" s="30">
        <f t="shared" si="16"/>
        <v>110.46514629638058</v>
      </c>
      <c r="I53" s="30">
        <f t="shared" si="16"/>
        <v>112.55138752604387</v>
      </c>
      <c r="J53" s="30">
        <f t="shared" si="16"/>
        <v>114.18115584027116</v>
      </c>
      <c r="K53" s="30">
        <f t="shared" si="16"/>
        <v>115.45432824252875</v>
      </c>
      <c r="L53" s="30"/>
      <c r="M53" s="30"/>
    </row>
    <row r="54" spans="2:13">
      <c r="B54">
        <v>0.06</v>
      </c>
      <c r="C54" s="30">
        <f t="shared" si="17"/>
        <v>100</v>
      </c>
      <c r="D54" s="30">
        <f t="shared" si="16"/>
        <v>100</v>
      </c>
      <c r="E54" s="30">
        <f t="shared" si="16"/>
        <v>100.00000000000001</v>
      </c>
      <c r="F54" s="30">
        <f t="shared" si="16"/>
        <v>100</v>
      </c>
      <c r="G54" s="30">
        <f t="shared" si="16"/>
        <v>99.999999999999986</v>
      </c>
      <c r="H54" s="30">
        <f t="shared" si="16"/>
        <v>100</v>
      </c>
      <c r="I54" s="30">
        <f t="shared" si="16"/>
        <v>100</v>
      </c>
      <c r="J54" s="30">
        <f t="shared" si="16"/>
        <v>100</v>
      </c>
      <c r="K54" s="30">
        <f t="shared" si="16"/>
        <v>100</v>
      </c>
      <c r="L54" s="30"/>
      <c r="M54" s="30"/>
    </row>
    <row r="55" spans="2:13">
      <c r="B55">
        <v>7.0000000000000007E-2</v>
      </c>
      <c r="C55" s="30">
        <f t="shared" si="17"/>
        <v>99.050152862377189</v>
      </c>
      <c r="D55" s="30">
        <f t="shared" si="16"/>
        <v>97.335723490110752</v>
      </c>
      <c r="E55" s="30">
        <f t="shared" si="16"/>
        <v>95.841697338711015</v>
      </c>
      <c r="F55" s="30">
        <f t="shared" si="16"/>
        <v>94.539739861095327</v>
      </c>
      <c r="G55" s="30">
        <f t="shared" si="16"/>
        <v>92.893798349023854</v>
      </c>
      <c r="H55" s="30">
        <f t="shared" si="16"/>
        <v>90.803977294318599</v>
      </c>
      <c r="I55" s="30">
        <f t="shared" si="16"/>
        <v>89.322463831351243</v>
      </c>
      <c r="J55" s="30">
        <f t="shared" si="16"/>
        <v>88.272191064689366</v>
      </c>
      <c r="K55" s="30">
        <f t="shared" si="16"/>
        <v>87.527632940875748</v>
      </c>
      <c r="L55" s="30"/>
      <c r="M55" s="30"/>
    </row>
    <row r="56" spans="2:13">
      <c r="B56">
        <v>0.08</v>
      </c>
      <c r="C56" s="30">
        <f t="shared" si="17"/>
        <v>98.113905325443781</v>
      </c>
      <c r="D56" s="30">
        <f t="shared" si="16"/>
        <v>94.757863143253644</v>
      </c>
      <c r="E56" s="30">
        <f t="shared" si="16"/>
        <v>91.889104220644953</v>
      </c>
      <c r="F56" s="30">
        <f t="shared" si="16"/>
        <v>89.436877070545137</v>
      </c>
      <c r="G56" s="30">
        <f t="shared" si="16"/>
        <v>86.409673655032293</v>
      </c>
      <c r="H56" s="30">
        <f t="shared" si="16"/>
        <v>82.707966699335515</v>
      </c>
      <c r="I56" s="30">
        <f t="shared" si="16"/>
        <v>80.207226116573523</v>
      </c>
      <c r="J56" s="30">
        <f t="shared" si="16"/>
        <v>78.517815383330984</v>
      </c>
      <c r="K56" s="30">
        <f t="shared" si="16"/>
        <v>77.376510025522606</v>
      </c>
      <c r="L56" s="30"/>
      <c r="M56" s="30"/>
    </row>
    <row r="57" spans="2:13">
      <c r="B57">
        <v>0.09</v>
      </c>
      <c r="C57" s="30">
        <f t="shared" si="17"/>
        <v>97.190998374579351</v>
      </c>
      <c r="D57" s="30">
        <f t="shared" si="16"/>
        <v>92.263191275938894</v>
      </c>
      <c r="E57" s="30">
        <f t="shared" si="16"/>
        <v>88.130922734334774</v>
      </c>
      <c r="F57" s="30">
        <f t="shared" si="16"/>
        <v>84.665762073999261</v>
      </c>
      <c r="G57" s="30">
        <f t="shared" si="16"/>
        <v>80.48809532281949</v>
      </c>
      <c r="H57" s="30">
        <f t="shared" si="16"/>
        <v>75.566667183566764</v>
      </c>
      <c r="I57" s="30">
        <f t="shared" si="16"/>
        <v>72.397623369580344</v>
      </c>
      <c r="J57" s="30">
        <f t="shared" si="16"/>
        <v>70.356988332188408</v>
      </c>
      <c r="K57" s="30">
        <f t="shared" si="16"/>
        <v>69.042966942691322</v>
      </c>
      <c r="L57" s="30"/>
      <c r="M57" s="30"/>
    </row>
    <row r="58" spans="2:13">
      <c r="B58">
        <v>0.1</v>
      </c>
      <c r="C58" s="30">
        <f t="shared" si="17"/>
        <v>96.281179138322003</v>
      </c>
      <c r="D58" s="30">
        <f t="shared" si="16"/>
        <v>89.848615865465106</v>
      </c>
      <c r="E58" s="30">
        <f t="shared" si="16"/>
        <v>84.556530141630375</v>
      </c>
      <c r="F58" s="30">
        <f t="shared" si="16"/>
        <v>80.202718119820759</v>
      </c>
      <c r="G58" s="30">
        <f t="shared" si="16"/>
        <v>75.07557931492002</v>
      </c>
      <c r="H58" s="30">
        <f t="shared" si="16"/>
        <v>69.255097946234329</v>
      </c>
      <c r="I58" s="30">
        <f t="shared" si="16"/>
        <v>65.681827292011107</v>
      </c>
      <c r="J58" s="30">
        <f t="shared" si="16"/>
        <v>63.488149078895226</v>
      </c>
      <c r="K58" s="30">
        <f t="shared" si="16"/>
        <v>62.141420949859771</v>
      </c>
      <c r="L58" s="30"/>
      <c r="M58" s="30"/>
    </row>
    <row r="59" spans="2:13">
      <c r="B59">
        <v>0.11</v>
      </c>
      <c r="C59" s="30">
        <f t="shared" si="17"/>
        <v>95.384200714269667</v>
      </c>
      <c r="D59" s="30">
        <f t="shared" si="16"/>
        <v>87.511174228390757</v>
      </c>
      <c r="E59" s="30">
        <f t="shared" si="16"/>
        <v>81.155935428527584</v>
      </c>
      <c r="F59" s="30">
        <f t="shared" si="16"/>
        <v>76.025880261594253</v>
      </c>
      <c r="G59" s="30">
        <f t="shared" si="16"/>
        <v>70.12404378767927</v>
      </c>
      <c r="H59" s="30">
        <f t="shared" si="16"/>
        <v>63.665637072194848</v>
      </c>
      <c r="I59" s="30">
        <f t="shared" si="16"/>
        <v>59.884688286569656</v>
      </c>
      <c r="J59" s="30">
        <f t="shared" si="16"/>
        <v>57.671205248215003</v>
      </c>
      <c r="K59" s="30">
        <f t="shared" si="16"/>
        <v>56.375364590517847</v>
      </c>
      <c r="L59" s="30"/>
      <c r="M59" s="30"/>
    </row>
    <row r="60" spans="2:13">
      <c r="B60">
        <v>0.12</v>
      </c>
      <c r="C60" s="30">
        <f t="shared" si="17"/>
        <v>94.499822000711987</v>
      </c>
      <c r="D60" s="30">
        <f t="shared" si="16"/>
        <v>85.248027021983816</v>
      </c>
      <c r="E60" s="30">
        <f t="shared" si="16"/>
        <v>77.919738845755887</v>
      </c>
      <c r="F60" s="30">
        <f t="shared" si="16"/>
        <v>72.115048218983645</v>
      </c>
      <c r="G60" s="30">
        <f t="shared" si="16"/>
        <v>65.590236344304216</v>
      </c>
      <c r="H60" s="30">
        <f t="shared" si="16"/>
        <v>58.705506545531719</v>
      </c>
      <c r="I60" s="30">
        <f t="shared" si="16"/>
        <v>54.861109385425273</v>
      </c>
      <c r="J60" s="30">
        <f t="shared" si="16"/>
        <v>52.714418090834542</v>
      </c>
      <c r="K60" s="30">
        <f t="shared" si="16"/>
        <v>51.515716884285908</v>
      </c>
      <c r="L60" s="30"/>
      <c r="M60" s="30"/>
    </row>
    <row r="61" spans="2:13">
      <c r="B61">
        <v>0.13</v>
      </c>
      <c r="C61" s="30">
        <f t="shared" si="17"/>
        <v>93.627807533778579</v>
      </c>
      <c r="D61" s="30">
        <f t="shared" si="16"/>
        <v>83.056452550716386</v>
      </c>
      <c r="E61" s="30">
        <f t="shared" si="16"/>
        <v>74.839094220336179</v>
      </c>
      <c r="F61" s="30">
        <f t="shared" si="16"/>
        <v>68.451551843974755</v>
      </c>
      <c r="G61" s="30">
        <f t="shared" si="16"/>
        <v>61.435224634230309</v>
      </c>
      <c r="H61" s="30">
        <f t="shared" si="16"/>
        <v>54.294634328989922</v>
      </c>
      <c r="I61" s="30">
        <f t="shared" si="16"/>
        <v>50.490655964402897</v>
      </c>
      <c r="J61" s="30">
        <f t="shared" si="16"/>
        <v>48.464177651030582</v>
      </c>
      <c r="K61" s="30">
        <f t="shared" si="16"/>
        <v>47.384619893079424</v>
      </c>
      <c r="L61" s="30"/>
      <c r="M61" s="30"/>
    </row>
    <row r="62" spans="2:13">
      <c r="B62">
        <v>0.14000000000000001</v>
      </c>
      <c r="C62" s="30">
        <f t="shared" si="17"/>
        <v>92.767927329897816</v>
      </c>
      <c r="D62" s="30">
        <f t="shared" si="16"/>
        <v>80.933841360943575</v>
      </c>
      <c r="E62" s="30">
        <f t="shared" si="16"/>
        <v>71.9056738362696</v>
      </c>
      <c r="F62" s="30">
        <f t="shared" si="16"/>
        <v>65.018128058132845</v>
      </c>
      <c r="G62" s="30">
        <f t="shared" si="16"/>
        <v>57.623943017935353</v>
      </c>
      <c r="H62" s="30">
        <f t="shared" si="16"/>
        <v>50.363835265976554</v>
      </c>
      <c r="I62" s="30">
        <f t="shared" si="16"/>
        <v>46.673164629446525</v>
      </c>
      <c r="J62" s="30">
        <f t="shared" si="16"/>
        <v>44.797014823864096</v>
      </c>
      <c r="K62" s="30">
        <f t="shared" si="16"/>
        <v>43.843275398257575</v>
      </c>
      <c r="L62" s="30"/>
      <c r="M62" s="30"/>
    </row>
    <row r="63" spans="2:13">
      <c r="B63">
        <v>0.15</v>
      </c>
      <c r="C63" s="30">
        <f t="shared" si="17"/>
        <v>91.919956733369389</v>
      </c>
      <c r="D63" s="30">
        <f t="shared" si="16"/>
        <v>78.877691107913463</v>
      </c>
      <c r="E63" s="30">
        <f t="shared" si="16"/>
        <v>69.111635698087866</v>
      </c>
      <c r="F63" s="30">
        <f t="shared" si="16"/>
        <v>61.798808233385024</v>
      </c>
      <c r="G63" s="30">
        <f t="shared" si="16"/>
        <v>54.124788883636391</v>
      </c>
      <c r="H63" s="30">
        <f t="shared" si="16"/>
        <v>46.853261804880404</v>
      </c>
      <c r="I63" s="30">
        <f t="shared" si="16"/>
        <v>43.3251610167883</v>
      </c>
      <c r="J63" s="30">
        <f t="shared" si="16"/>
        <v>41.61334793597041</v>
      </c>
      <c r="K63" s="30">
        <f t="shared" si="16"/>
        <v>40.782786622770544</v>
      </c>
      <c r="L63" s="30"/>
      <c r="M63" s="30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>
        <f>B51-B$16</f>
        <v>-0.06</v>
      </c>
      <c r="C69" s="30">
        <f>(C51-C$57)/C$57</f>
        <v>5.9088051946677635E-2</v>
      </c>
      <c r="D69" s="30">
        <f t="shared" ref="D69:K69" si="18">(D51-D$57)/D$57</f>
        <v>0.17647979922541668</v>
      </c>
      <c r="E69" s="30">
        <f t="shared" si="18"/>
        <v>0.29163831826571168</v>
      </c>
      <c r="F69" s="30">
        <f t="shared" si="18"/>
        <v>0.40334261856413406</v>
      </c>
      <c r="G69" s="30">
        <f t="shared" si="18"/>
        <v>0.56237960002974496</v>
      </c>
      <c r="H69" s="30">
        <f t="shared" si="18"/>
        <v>0.80004970549940457</v>
      </c>
      <c r="I69" s="30">
        <f t="shared" si="18"/>
        <v>1.0010845807285689</v>
      </c>
      <c r="J69" s="30">
        <f t="shared" si="18"/>
        <v>1.1675108006375294</v>
      </c>
      <c r="K69" s="30">
        <f t="shared" si="18"/>
        <v>1.3039334833343643</v>
      </c>
      <c r="L69" s="30"/>
      <c r="M69" s="30"/>
    </row>
    <row r="70" spans="2:13">
      <c r="B70">
        <f t="shared" ref="B70:B81" si="19">B52-B$16</f>
        <v>-4.9999999999999996E-2</v>
      </c>
      <c r="C70" s="30">
        <f t="shared" ref="C70:K70" si="20">(C52-C$57)/C$57</f>
        <v>4.8878627063922736E-2</v>
      </c>
      <c r="D70" s="30">
        <f t="shared" si="20"/>
        <v>0.14456729092385026</v>
      </c>
      <c r="E70" s="30">
        <f t="shared" si="20"/>
        <v>0.23659870593620688</v>
      </c>
      <c r="F70" s="30">
        <f t="shared" si="20"/>
        <v>0.32410369935137229</v>
      </c>
      <c r="G70" s="30">
        <f t="shared" si="20"/>
        <v>0.44557319784917149</v>
      </c>
      <c r="H70" s="30">
        <f t="shared" si="20"/>
        <v>0.61971488372880823</v>
      </c>
      <c r="I70" s="30">
        <f t="shared" si="20"/>
        <v>0.75911132594236153</v>
      </c>
      <c r="J70" s="30">
        <f t="shared" si="20"/>
        <v>0.86795383101305124</v>
      </c>
      <c r="K70" s="30">
        <f t="shared" si="20"/>
        <v>0.95184089914478753</v>
      </c>
      <c r="L70" s="30"/>
      <c r="M70" s="30"/>
    </row>
    <row r="71" spans="2:13">
      <c r="B71">
        <f t="shared" si="19"/>
        <v>-3.9999999999999994E-2</v>
      </c>
      <c r="C71" s="30">
        <f t="shared" ref="C71:K71" si="21">(C53-C$57)/C$57</f>
        <v>3.8817521834949666E-2</v>
      </c>
      <c r="D71" s="30">
        <f t="shared" si="21"/>
        <v>0.11370592388762203</v>
      </c>
      <c r="E71" s="30">
        <f t="shared" si="21"/>
        <v>0.18432927657095538</v>
      </c>
      <c r="F71" s="30">
        <f t="shared" si="21"/>
        <v>0.25015653898313867</v>
      </c>
      <c r="G71" s="30">
        <f t="shared" si="21"/>
        <v>0.33926117533883465</v>
      </c>
      <c r="H71" s="30">
        <f t="shared" si="21"/>
        <v>0.46182371690468144</v>
      </c>
      <c r="I71" s="30">
        <f t="shared" si="21"/>
        <v>0.55462820860132156</v>
      </c>
      <c r="J71" s="30">
        <f t="shared" si="21"/>
        <v>0.62288293667671302</v>
      </c>
      <c r="K71" s="30">
        <f t="shared" si="21"/>
        <v>0.67220983331091322</v>
      </c>
      <c r="L71" s="30"/>
      <c r="M71" s="30"/>
    </row>
    <row r="72" spans="2:13">
      <c r="B72">
        <f t="shared" si="19"/>
        <v>-0.03</v>
      </c>
      <c r="C72" s="30">
        <f t="shared" ref="C72:K72" si="22">(C54-C$57)/C$57</f>
        <v>2.8901870259574917E-2</v>
      </c>
      <c r="D72" s="30">
        <f t="shared" si="22"/>
        <v>8.3855854291035897E-2</v>
      </c>
      <c r="E72" s="30">
        <f t="shared" si="22"/>
        <v>0.13467551340003373</v>
      </c>
      <c r="F72" s="30">
        <f t="shared" si="22"/>
        <v>0.18111498143249882</v>
      </c>
      <c r="G72" s="30">
        <f t="shared" si="22"/>
        <v>0.24241975908266525</v>
      </c>
      <c r="H72" s="30">
        <f t="shared" si="22"/>
        <v>0.32333479465330545</v>
      </c>
      <c r="I72" s="30">
        <f t="shared" si="22"/>
        <v>0.38126081141521945</v>
      </c>
      <c r="J72" s="30">
        <f t="shared" si="22"/>
        <v>0.42132291859698434</v>
      </c>
      <c r="K72" s="30">
        <f t="shared" si="22"/>
        <v>0.44837344668290929</v>
      </c>
      <c r="L72" s="30"/>
      <c r="M72" s="30"/>
    </row>
    <row r="73" spans="2:13">
      <c r="B73">
        <f t="shared" si="19"/>
        <v>-1.999999999999999E-2</v>
      </c>
      <c r="C73" s="30">
        <f t="shared" ref="C73:K73" si="23">(C55-C$57)/C$57</f>
        <v>1.9128875295966775E-2</v>
      </c>
      <c r="D73" s="30">
        <f t="shared" si="23"/>
        <v>5.4978937364100387E-2</v>
      </c>
      <c r="E73" s="30">
        <f t="shared" si="23"/>
        <v>8.7492271329325508E-2</v>
      </c>
      <c r="F73" s="30">
        <f t="shared" si="23"/>
        <v>0.11662303090670877</v>
      </c>
      <c r="G73" s="30">
        <f t="shared" si="23"/>
        <v>0.15413090565067919</v>
      </c>
      <c r="H73" s="30">
        <f t="shared" si="23"/>
        <v>0.20164062646480516</v>
      </c>
      <c r="I73" s="30">
        <f t="shared" si="23"/>
        <v>0.23377618869298808</v>
      </c>
      <c r="J73" s="30">
        <f t="shared" si="23"/>
        <v>0.2546328823501493</v>
      </c>
      <c r="K73" s="30">
        <f t="shared" si="23"/>
        <v>0.26772699402572758</v>
      </c>
      <c r="L73" s="30"/>
      <c r="M73" s="30"/>
    </row>
    <row r="74" spans="2:13">
      <c r="B74">
        <f t="shared" si="19"/>
        <v>-9.999999999999995E-3</v>
      </c>
      <c r="C74" s="30">
        <f t="shared" ref="C74:K74" si="24">(C56-C$57)/C$57</f>
        <v>9.4958068781997376E-3</v>
      </c>
      <c r="D74" s="30">
        <f t="shared" si="24"/>
        <v>2.7038647079242421E-2</v>
      </c>
      <c r="E74" s="30">
        <f t="shared" si="24"/>
        <v>4.2643165074295025E-2</v>
      </c>
      <c r="F74" s="30">
        <f t="shared" si="24"/>
        <v>5.6352354005575991E-2</v>
      </c>
      <c r="G74" s="30">
        <f t="shared" si="24"/>
        <v>7.3570859248969625E-2</v>
      </c>
      <c r="H74" s="30">
        <f t="shared" si="24"/>
        <v>9.4503301282575891E-2</v>
      </c>
      <c r="I74" s="30">
        <f t="shared" si="24"/>
        <v>0.10787098227142325</v>
      </c>
      <c r="J74" s="30">
        <f t="shared" si="24"/>
        <v>0.11599170522495186</v>
      </c>
      <c r="K74" s="30">
        <f t="shared" si="24"/>
        <v>0.12070082517960865</v>
      </c>
      <c r="L74" s="30"/>
      <c r="M74" s="30"/>
    </row>
    <row r="75" spans="2:13">
      <c r="B75">
        <f t="shared" si="19"/>
        <v>0</v>
      </c>
      <c r="C75" s="30">
        <f t="shared" ref="C75:K75" si="25">(C57-C$57)/C$57</f>
        <v>0</v>
      </c>
      <c r="D75" s="30">
        <f t="shared" si="25"/>
        <v>0</v>
      </c>
      <c r="E75" s="30">
        <f t="shared" si="25"/>
        <v>0</v>
      </c>
      <c r="F75" s="30">
        <f t="shared" si="25"/>
        <v>0</v>
      </c>
      <c r="G75" s="30">
        <f t="shared" si="25"/>
        <v>0</v>
      </c>
      <c r="H75" s="30">
        <f t="shared" si="25"/>
        <v>0</v>
      </c>
      <c r="I75" s="30">
        <f t="shared" si="25"/>
        <v>0</v>
      </c>
      <c r="J75" s="30">
        <f t="shared" si="25"/>
        <v>0</v>
      </c>
      <c r="K75" s="30">
        <f t="shared" si="25"/>
        <v>0</v>
      </c>
      <c r="L75" s="30"/>
      <c r="M75" s="30"/>
    </row>
    <row r="76" spans="2:13">
      <c r="B76">
        <f t="shared" si="19"/>
        <v>1.0000000000000009E-2</v>
      </c>
      <c r="C76" s="30">
        <f t="shared" ref="C76:K76" si="26">(C58-C$57)/C$57</f>
        <v>-9.3611471378332398E-3</v>
      </c>
      <c r="D76" s="30">
        <f t="shared" si="26"/>
        <v>-2.6170516942691957E-2</v>
      </c>
      <c r="E76" s="30">
        <f t="shared" si="26"/>
        <v>-4.0557757502201412E-2</v>
      </c>
      <c r="F76" s="30">
        <f t="shared" si="26"/>
        <v>-5.2713680770719681E-2</v>
      </c>
      <c r="G76" s="30">
        <f t="shared" si="26"/>
        <v>-6.7246168345655291E-2</v>
      </c>
      <c r="H76" s="30">
        <f t="shared" si="26"/>
        <v>-8.3523191806254379E-2</v>
      </c>
      <c r="I76" s="30">
        <f t="shared" si="26"/>
        <v>-9.2762659394024324E-2</v>
      </c>
      <c r="J76" s="30">
        <f t="shared" si="26"/>
        <v>-9.7628386548641949E-2</v>
      </c>
      <c r="K76" s="30">
        <f t="shared" si="26"/>
        <v>-9.9960159570780541E-2</v>
      </c>
      <c r="L76" s="30"/>
      <c r="M76" s="30"/>
    </row>
    <row r="77" spans="2:13">
      <c r="B77">
        <f t="shared" si="19"/>
        <v>2.0000000000000004E-2</v>
      </c>
      <c r="C77" s="30">
        <f t="shared" ref="C77:K77" si="27">(C59-C$57)/C$57</f>
        <v>-1.8590174918732577E-2</v>
      </c>
      <c r="D77" s="30">
        <f t="shared" si="27"/>
        <v>-5.1505014966758515E-2</v>
      </c>
      <c r="E77" s="30">
        <f t="shared" si="27"/>
        <v>-7.9143473021754895E-2</v>
      </c>
      <c r="F77" s="30">
        <f t="shared" si="27"/>
        <v>-0.10204693846437725</v>
      </c>
      <c r="G77" s="30">
        <f t="shared" si="27"/>
        <v>-0.12876502411409241</v>
      </c>
      <c r="H77" s="30">
        <f t="shared" si="27"/>
        <v>-0.1574904723859516</v>
      </c>
      <c r="I77" s="30">
        <f t="shared" si="27"/>
        <v>-0.17283626865945309</v>
      </c>
      <c r="J77" s="30">
        <f t="shared" si="27"/>
        <v>-0.18030594237601333</v>
      </c>
      <c r="K77" s="30">
        <f t="shared" si="27"/>
        <v>-0.18347418880026026</v>
      </c>
      <c r="L77" s="30"/>
      <c r="M77" s="30"/>
    </row>
    <row r="78" spans="2:13">
      <c r="B78">
        <f t="shared" si="19"/>
        <v>0.03</v>
      </c>
      <c r="C78" s="30">
        <f t="shared" ref="C78:K78" si="28">(C60-C$57)/C$57</f>
        <v>-2.7689564042705121E-2</v>
      </c>
      <c r="D78" s="30">
        <f t="shared" si="28"/>
        <v>-7.6034268454624188E-2</v>
      </c>
      <c r="E78" s="30">
        <f t="shared" si="28"/>
        <v>-0.115863803211954</v>
      </c>
      <c r="F78" s="30">
        <f t="shared" si="28"/>
        <v>-0.14823836161831375</v>
      </c>
      <c r="G78" s="30">
        <f t="shared" si="28"/>
        <v>-0.1850939436293447</v>
      </c>
      <c r="H78" s="30">
        <f t="shared" si="28"/>
        <v>-0.22312960550550504</v>
      </c>
      <c r="I78" s="30">
        <f t="shared" si="28"/>
        <v>-0.24222499535148376</v>
      </c>
      <c r="J78" s="30">
        <f t="shared" si="28"/>
        <v>-0.25075789426993378</v>
      </c>
      <c r="K78" s="30">
        <f t="shared" si="28"/>
        <v>-0.25386003577965871</v>
      </c>
      <c r="L78" s="30"/>
      <c r="M78" s="30"/>
    </row>
    <row r="79" spans="2:13">
      <c r="B79">
        <f t="shared" si="19"/>
        <v>4.0000000000000008E-2</v>
      </c>
      <c r="C79" s="30">
        <f t="shared" ref="C79:K79" si="29">(C61-C$57)/C$57</f>
        <v>-3.6661737201917011E-2</v>
      </c>
      <c r="D79" s="30">
        <f t="shared" si="29"/>
        <v>-9.9787776662604036E-2</v>
      </c>
      <c r="E79" s="30">
        <f t="shared" si="29"/>
        <v>-0.15081912343146561</v>
      </c>
      <c r="F79" s="30">
        <f t="shared" si="29"/>
        <v>-0.19150846614778028</v>
      </c>
      <c r="G79" s="30">
        <f t="shared" si="29"/>
        <v>-0.23671663010750146</v>
      </c>
      <c r="H79" s="30">
        <f t="shared" si="29"/>
        <v>-0.28150021229469813</v>
      </c>
      <c r="I79" s="30">
        <f t="shared" si="29"/>
        <v>-0.30259235573722165</v>
      </c>
      <c r="J79" s="30">
        <f t="shared" si="29"/>
        <v>-0.31116753573634476</v>
      </c>
      <c r="K79" s="30">
        <f t="shared" si="29"/>
        <v>-0.31369374765701002</v>
      </c>
      <c r="L79" s="30"/>
      <c r="M79" s="30"/>
    </row>
    <row r="80" spans="2:13">
      <c r="B80">
        <f t="shared" si="19"/>
        <v>5.0000000000000017E-2</v>
      </c>
      <c r="C80" s="30">
        <f t="shared" ref="C80:K80" si="30">(C62-C$57)/C$57</f>
        <v>-4.5509060701638036E-2</v>
      </c>
      <c r="D80" s="30">
        <f t="shared" si="30"/>
        <v>-0.12279382230679327</v>
      </c>
      <c r="E80" s="30">
        <f t="shared" si="30"/>
        <v>-0.18410392623455432</v>
      </c>
      <c r="F80" s="30">
        <f t="shared" si="30"/>
        <v>-0.23206114885842594</v>
      </c>
      <c r="G80" s="30">
        <f t="shared" si="30"/>
        <v>-0.28406874598263521</v>
      </c>
      <c r="H80" s="30">
        <f t="shared" si="30"/>
        <v>-0.33351784400346013</v>
      </c>
      <c r="I80" s="30">
        <f t="shared" si="30"/>
        <v>-0.35532186752614575</v>
      </c>
      <c r="J80" s="30">
        <f t="shared" si="30"/>
        <v>-0.36328976146113112</v>
      </c>
      <c r="K80" s="30">
        <f t="shared" si="30"/>
        <v>-0.36498564097557673</v>
      </c>
      <c r="L80" s="30"/>
      <c r="M80" s="30"/>
    </row>
    <row r="81" spans="2:13">
      <c r="B81">
        <f t="shared" si="19"/>
        <v>0.06</v>
      </c>
      <c r="C81" s="30">
        <f t="shared" ref="C81:K81" si="31">(C63-C$57)/C$57</f>
        <v>-5.4233846028570287E-2</v>
      </c>
      <c r="D81" s="30">
        <f t="shared" si="31"/>
        <v>-0.14507952719728007</v>
      </c>
      <c r="E81" s="30">
        <f t="shared" si="31"/>
        <v>-0.21580719282356062</v>
      </c>
      <c r="F81" s="30">
        <f t="shared" si="31"/>
        <v>-0.27008501760874892</v>
      </c>
      <c r="G81" s="30">
        <f t="shared" si="31"/>
        <v>-0.32754292834792348</v>
      </c>
      <c r="H81" s="30">
        <f t="shared" si="31"/>
        <v>-0.37997448410601031</v>
      </c>
      <c r="I81" s="30">
        <f t="shared" si="31"/>
        <v>-0.4015665293925596</v>
      </c>
      <c r="J81" s="30">
        <f t="shared" si="31"/>
        <v>-0.40853994859054743</v>
      </c>
      <c r="K81" s="30">
        <f t="shared" si="31"/>
        <v>-0.40931294773844179</v>
      </c>
      <c r="L81" s="30"/>
      <c r="M81" s="30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75">
      <c r="B110" s="15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30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33">
        <f>-PV(0.09/2,$C118*2,$C$113*$D118/2,$C$113)</f>
        <v>100</v>
      </c>
      <c r="F118" s="33">
        <f>-PV(0.0901/2,$C118*2,$C$113*$D118/2,$C$113)</f>
        <v>99.960446133598666</v>
      </c>
      <c r="G118" s="33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33">
        <f t="shared" ref="E119:E123" si="44">-PV(0.09/2,$C119*2,$C$113*$D119/2,$C$113)</f>
        <v>100</v>
      </c>
      <c r="F119" s="33">
        <f t="shared" ref="F119:F123" si="45">-PV(0.0901/2,$C119*2,$C$113*$D119/2,$C$113)</f>
        <v>99.901270268282488</v>
      </c>
      <c r="G119" s="33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33">
        <f t="shared" si="44"/>
        <v>88.130922734334774</v>
      </c>
      <c r="F120" s="33">
        <f t="shared" si="45"/>
        <v>88.094286213196298</v>
      </c>
      <c r="G120" s="33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33">
        <f t="shared" si="44"/>
        <v>70.356988332188408</v>
      </c>
      <c r="F121" s="33">
        <f t="shared" si="45"/>
        <v>70.282350753024801</v>
      </c>
      <c r="G121" s="33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33">
        <f t="shared" si="44"/>
        <v>64.392768203004323</v>
      </c>
      <c r="F122" s="33">
        <f t="shared" si="45"/>
        <v>64.361966372391592</v>
      </c>
      <c r="G122" s="33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33">
        <f t="shared" si="44"/>
        <v>11.070964996565214</v>
      </c>
      <c r="F123" s="33">
        <f t="shared" si="45"/>
        <v>11.044511722509455</v>
      </c>
      <c r="G123" s="33">
        <f t="shared" si="46"/>
        <v>2.6453274055759479E-2</v>
      </c>
    </row>
    <row r="125" spans="2:10" ht="15.75" thickBot="1"/>
    <row r="126" spans="2:10" ht="45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44">
        <v>43831</v>
      </c>
    </row>
    <row r="127" spans="2:10">
      <c r="B127">
        <v>1</v>
      </c>
      <c r="C127">
        <v>5</v>
      </c>
      <c r="D127">
        <v>0.09</v>
      </c>
      <c r="E127" s="33">
        <f>-PV(0.09/2,$C127*2,$C$113*$D127/2,$C$113)</f>
        <v>100</v>
      </c>
      <c r="F127" s="33">
        <f>YIELD($J$126,J127,D127,E127-1,$C$113,2)</f>
        <v>9.2543405057713496E-2</v>
      </c>
      <c r="G127" s="33">
        <f>F127-0.09</f>
        <v>2.5434050577134992E-3</v>
      </c>
      <c r="I127" s="52" t="s">
        <v>163</v>
      </c>
      <c r="J127" s="45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33">
        <f t="shared" ref="E128:E132" si="47">-PV(0.09/2,$C128*2,$C$113*$D128/2,$C$113)</f>
        <v>100</v>
      </c>
      <c r="F128" s="33">
        <f t="shared" ref="F128:F132" si="48">YIELD($J$126,J128,D128,E128-1,$C$113,2)</f>
        <v>9.1020454772509835E-2</v>
      </c>
      <c r="G128" s="33">
        <f t="shared" ref="G128:G132" si="49">F128-0.09</f>
        <v>1.0204547725098378E-3</v>
      </c>
      <c r="I128" s="52"/>
      <c r="J128" s="45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33">
        <f t="shared" si="47"/>
        <v>88.130922734334774</v>
      </c>
      <c r="F129" s="33">
        <f t="shared" si="48"/>
        <v>9.274766234912897E-2</v>
      </c>
      <c r="G129" s="33">
        <f t="shared" si="49"/>
        <v>2.7476623491289737E-3</v>
      </c>
      <c r="I129" s="52"/>
      <c r="J129" s="45">
        <f t="shared" si="50"/>
        <v>45658</v>
      </c>
    </row>
    <row r="130" spans="2:10">
      <c r="B130">
        <v>4</v>
      </c>
      <c r="C130">
        <v>25</v>
      </c>
      <c r="D130">
        <v>0.06</v>
      </c>
      <c r="E130" s="33">
        <f t="shared" si="47"/>
        <v>70.356988332188408</v>
      </c>
      <c r="F130" s="33">
        <f t="shared" si="48"/>
        <v>9.1354306098633709E-2</v>
      </c>
      <c r="G130" s="33">
        <f t="shared" si="49"/>
        <v>1.3543060986337119E-3</v>
      </c>
      <c r="I130" s="52"/>
      <c r="J130" s="45">
        <f t="shared" si="50"/>
        <v>52963</v>
      </c>
    </row>
    <row r="131" spans="2:10">
      <c r="B131">
        <v>5</v>
      </c>
      <c r="C131">
        <v>5</v>
      </c>
      <c r="D131">
        <v>0</v>
      </c>
      <c r="E131" s="33">
        <f t="shared" si="47"/>
        <v>64.392768203004323</v>
      </c>
      <c r="F131" s="33">
        <f t="shared" si="48"/>
        <v>9.3273733785074309E-2</v>
      </c>
      <c r="G131" s="33">
        <f t="shared" si="49"/>
        <v>3.273733785074312E-3</v>
      </c>
      <c r="I131" s="52"/>
      <c r="J131" s="45">
        <f t="shared" si="50"/>
        <v>45658</v>
      </c>
    </row>
    <row r="132" spans="2:10" ht="15.75" thickBot="1">
      <c r="B132">
        <v>6</v>
      </c>
      <c r="C132">
        <v>25</v>
      </c>
      <c r="D132">
        <v>0</v>
      </c>
      <c r="E132" s="33">
        <f t="shared" si="47"/>
        <v>11.070964996565214</v>
      </c>
      <c r="F132" s="33">
        <f t="shared" si="48"/>
        <v>9.3960928861366533E-2</v>
      </c>
      <c r="G132" s="33">
        <f t="shared" si="49"/>
        <v>3.9609288613665361E-3</v>
      </c>
      <c r="I132" s="53"/>
      <c r="J132" s="46">
        <f t="shared" si="50"/>
        <v>52963</v>
      </c>
    </row>
    <row r="137" spans="2:10" ht="33.75">
      <c r="B137" s="15" t="s">
        <v>177</v>
      </c>
    </row>
    <row r="140" spans="2:10">
      <c r="B140" s="21" t="s">
        <v>166</v>
      </c>
      <c r="C140">
        <v>100</v>
      </c>
    </row>
    <row r="141" spans="2:10">
      <c r="B141" s="21" t="s">
        <v>167</v>
      </c>
      <c r="C141">
        <v>2</v>
      </c>
    </row>
    <row r="142" spans="2:10">
      <c r="B142" s="21" t="s">
        <v>168</v>
      </c>
      <c r="C142">
        <v>0.04</v>
      </c>
      <c r="D142" t="s">
        <v>170</v>
      </c>
    </row>
    <row r="143" spans="2:10">
      <c r="B143" s="21" t="s">
        <v>171</v>
      </c>
      <c r="C143">
        <v>20</v>
      </c>
      <c r="D143" t="s">
        <v>172</v>
      </c>
      <c r="I143" t="s">
        <v>179</v>
      </c>
    </row>
    <row r="146" spans="2:10" ht="30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33">
        <f>E153</f>
        <v>14.335099584752941</v>
      </c>
    </row>
    <row r="147" spans="2:10">
      <c r="B147">
        <v>0</v>
      </c>
      <c r="C147">
        <f>$C$140*B147</f>
        <v>0</v>
      </c>
      <c r="D147" s="33">
        <f>C147*(1 - 1/(1+$C$142)^$C$143) / $C$142 + $C$140/(1+$C$142)^$C$143</f>
        <v>45.638694620129208</v>
      </c>
      <c r="E147" s="33">
        <f>(  C147/$C$142^2 * (1 - 1/(1+$C$142)^$C$143) + $C$143*($C$140 - C147/$C$142) / (1+$C$142)^($C$143+1)  ) / D147</f>
        <v>19.230769230769226</v>
      </c>
      <c r="I147">
        <v>10</v>
      </c>
      <c r="J147" s="33">
        <f t="dataTable" ref="J147:J162" dt2D="0" dtr="0" r1="C143"/>
        <v>8.3874189750702435</v>
      </c>
    </row>
    <row r="148" spans="2:10">
      <c r="B148">
        <v>5.0000000000000001E-3</v>
      </c>
      <c r="C148">
        <f t="shared" ref="C148:C157" si="51">$C$140*B148</f>
        <v>0.5</v>
      </c>
      <c r="D148" s="33">
        <f t="shared" ref="D148:D157" si="52">C148*(1 - 1/(1+$C$142)^$C$143) / $C$142 + $C$140/(1+$C$142)^$C$143</f>
        <v>52.433857792613054</v>
      </c>
      <c r="E148" s="33">
        <f t="shared" ref="E148:E157" si="53">(  C148/$C$142^2 * (1 - 1/(1+$C$142)^$C$143) + $C$143*($C$140 - C148/$C$142) / (1+$C$142)^($C$143+1)  ) / D148</f>
        <v>17.88611257110891</v>
      </c>
      <c r="I148">
        <v>12</v>
      </c>
      <c r="J148" s="33">
        <v>9.7561493957537149</v>
      </c>
    </row>
    <row r="149" spans="2:10">
      <c r="B149">
        <v>0.01</v>
      </c>
      <c r="C149">
        <f t="shared" si="51"/>
        <v>1</v>
      </c>
      <c r="D149" s="33">
        <f t="shared" si="52"/>
        <v>59.229020965096908</v>
      </c>
      <c r="E149" s="33">
        <f t="shared" si="53"/>
        <v>16.849992546512791</v>
      </c>
      <c r="I149">
        <v>14</v>
      </c>
      <c r="J149" s="33">
        <v>11.030984398980948</v>
      </c>
    </row>
    <row r="150" spans="2:10">
      <c r="B150">
        <v>1.4999999999999999E-2</v>
      </c>
      <c r="C150">
        <f t="shared" si="51"/>
        <v>1.5</v>
      </c>
      <c r="D150" s="33">
        <f t="shared" si="52"/>
        <v>66.024184137580761</v>
      </c>
      <c r="E150" s="33">
        <f t="shared" si="53"/>
        <v>16.027146028446868</v>
      </c>
      <c r="I150">
        <v>16</v>
      </c>
      <c r="J150" s="33">
        <v>12.216180107399618</v>
      </c>
    </row>
    <row r="151" spans="2:10">
      <c r="B151">
        <v>0.02</v>
      </c>
      <c r="C151">
        <f t="shared" si="51"/>
        <v>2</v>
      </c>
      <c r="D151" s="33">
        <f t="shared" si="52"/>
        <v>72.8193473100646</v>
      </c>
      <c r="E151" s="33">
        <f t="shared" si="53"/>
        <v>15.357867938627363</v>
      </c>
      <c r="I151">
        <v>18</v>
      </c>
      <c r="J151" s="33">
        <v>13.316086585532918</v>
      </c>
    </row>
    <row r="152" spans="2:10">
      <c r="B152">
        <v>2.5000000000000001E-2</v>
      </c>
      <c r="C152">
        <f t="shared" si="51"/>
        <v>2.5</v>
      </c>
      <c r="D152" s="33">
        <f t="shared" si="52"/>
        <v>79.614510482548454</v>
      </c>
      <c r="E152" s="33">
        <f t="shared" si="53"/>
        <v>14.802836706586088</v>
      </c>
      <c r="I152">
        <v>20</v>
      </c>
      <c r="J152" s="33">
        <v>14.335099584752941</v>
      </c>
    </row>
    <row r="153" spans="2:10">
      <c r="B153">
        <v>0.03</v>
      </c>
      <c r="C153">
        <f t="shared" si="51"/>
        <v>3</v>
      </c>
      <c r="D153" s="33">
        <f t="shared" si="52"/>
        <v>86.409673655032307</v>
      </c>
      <c r="E153" s="33">
        <f t="shared" si="53"/>
        <v>14.335099584752941</v>
      </c>
      <c r="I153">
        <v>22</v>
      </c>
      <c r="J153" s="33">
        <v>15.277617451748585</v>
      </c>
    </row>
    <row r="154" spans="2:10">
      <c r="B154">
        <v>3.5000000000000003E-2</v>
      </c>
      <c r="C154">
        <f t="shared" si="51"/>
        <v>3.5000000000000004</v>
      </c>
      <c r="D154" s="33">
        <f t="shared" si="52"/>
        <v>93.204836827516161</v>
      </c>
      <c r="E154" s="33">
        <f t="shared" si="53"/>
        <v>13.935563860462411</v>
      </c>
      <c r="I154">
        <v>24</v>
      </c>
      <c r="J154" s="33">
        <v>16.148003277338926</v>
      </c>
    </row>
    <row r="155" spans="2:10">
      <c r="B155">
        <v>0.04</v>
      </c>
      <c r="C155">
        <f t="shared" si="51"/>
        <v>4</v>
      </c>
      <c r="D155" s="33">
        <f t="shared" si="52"/>
        <v>100</v>
      </c>
      <c r="E155" s="33">
        <f t="shared" si="53"/>
        <v>13.590326344967698</v>
      </c>
      <c r="I155">
        <v>26</v>
      </c>
      <c r="J155" s="33">
        <v>16.950552224491005</v>
      </c>
    </row>
    <row r="156" spans="2:10">
      <c r="B156">
        <v>4.4999999999999998E-2</v>
      </c>
      <c r="C156">
        <f t="shared" si="51"/>
        <v>4.5</v>
      </c>
      <c r="D156" s="33">
        <f t="shared" si="52"/>
        <v>106.79516317248385</v>
      </c>
      <c r="E156" s="33">
        <f t="shared" si="53"/>
        <v>13.289022378172387</v>
      </c>
      <c r="I156">
        <v>28</v>
      </c>
      <c r="J156" s="33">
        <v>17.689463862714728</v>
      </c>
    </row>
    <row r="157" spans="2:10">
      <c r="B157">
        <v>0.05</v>
      </c>
      <c r="C157">
        <f t="shared" si="51"/>
        <v>5</v>
      </c>
      <c r="D157" s="33">
        <f t="shared" si="52"/>
        <v>113.59032634496771</v>
      </c>
      <c r="E157" s="33">
        <f t="shared" si="53"/>
        <v>13.023767425140321</v>
      </c>
      <c r="I157">
        <v>30</v>
      </c>
      <c r="J157" s="33">
        <v>18.368819249574241</v>
      </c>
    </row>
    <row r="158" spans="2:10">
      <c r="I158">
        <v>32</v>
      </c>
      <c r="J158" s="33">
        <v>18.992562436936403</v>
      </c>
    </row>
    <row r="159" spans="2:10">
      <c r="I159">
        <v>34</v>
      </c>
      <c r="J159" s="33">
        <v>19.564486037260821</v>
      </c>
    </row>
    <row r="160" spans="2:10">
      <c r="I160">
        <v>36</v>
      </c>
      <c r="J160" s="33">
        <v>20.088220460896014</v>
      </c>
    </row>
    <row r="161" spans="2:10">
      <c r="I161">
        <v>38</v>
      </c>
      <c r="J161" s="33">
        <v>20.567226426056695</v>
      </c>
    </row>
    <row r="162" spans="2:10">
      <c r="I162">
        <v>40</v>
      </c>
      <c r="J162" s="33">
        <v>21.00479034605814</v>
      </c>
    </row>
    <row r="168" spans="2:10" ht="33.75">
      <c r="B168" s="15" t="s">
        <v>180</v>
      </c>
    </row>
    <row r="171" spans="2:10">
      <c r="B171" s="21" t="s">
        <v>3</v>
      </c>
      <c r="C171">
        <v>100</v>
      </c>
    </row>
    <row r="172" spans="2:10">
      <c r="B172" s="21" t="s">
        <v>0</v>
      </c>
      <c r="C172">
        <v>2</v>
      </c>
    </row>
    <row r="173" spans="2:10">
      <c r="B173" s="21" t="s">
        <v>181</v>
      </c>
      <c r="C173">
        <v>60</v>
      </c>
    </row>
    <row r="174" spans="2:10">
      <c r="B174" s="21" t="s">
        <v>182</v>
      </c>
      <c r="C174">
        <v>0.03</v>
      </c>
      <c r="D174" t="s">
        <v>183</v>
      </c>
    </row>
    <row r="175" spans="2:10">
      <c r="B175" s="21" t="s">
        <v>169</v>
      </c>
      <c r="C175">
        <f>C171*C174</f>
        <v>3</v>
      </c>
      <c r="D175" t="s">
        <v>183</v>
      </c>
    </row>
    <row r="176" spans="2:10">
      <c r="B176" s="21" t="s">
        <v>168</v>
      </c>
      <c r="C176">
        <v>4.4999999999999998E-2</v>
      </c>
      <c r="D176" t="s">
        <v>183</v>
      </c>
    </row>
    <row r="177" spans="2:4">
      <c r="B177" s="21" t="s">
        <v>185</v>
      </c>
      <c r="C177">
        <f>( C175 / C176^2 * (1 - 1/(1+C176)^C173) + C173*(C171-C175/C176)/(1+C176)^(C173+1) ) / C187</f>
        <v>21.903844753600076</v>
      </c>
    </row>
    <row r="180" spans="2:4" ht="30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33">
        <f>$C$175*(1 - 1/(1+$B181)^$C$173) / $B181 + $C$171/(1+$B181)^$C$173</f>
        <v>159.07040332801421</v>
      </c>
      <c r="D181" s="33">
        <f>$C$187 * (1 - $C$177*(B181-B$187))</f>
        <v>114.41215981991093</v>
      </c>
    </row>
    <row r="182" spans="2:4">
      <c r="B182">
        <v>0.02</v>
      </c>
      <c r="C182" s="33">
        <f t="shared" ref="C182:C193" si="54">$C$175*(1 - 1/(1+$B182)^$C$173) / $B182 + $C$171/(1+$B182)^$C$173</f>
        <v>134.7608866770465</v>
      </c>
      <c r="D182" s="33">
        <f t="shared" ref="D182:D193" si="55">$C$187 * (1 - $C$177*(B182-B$187))</f>
        <v>106.85062767370766</v>
      </c>
    </row>
    <row r="183" spans="2:4">
      <c r="B183">
        <v>2.5000000000000001E-2</v>
      </c>
      <c r="C183" s="33">
        <f t="shared" si="54"/>
        <v>115.45432824252876</v>
      </c>
      <c r="D183" s="33">
        <f t="shared" si="55"/>
        <v>99.289095527504401</v>
      </c>
    </row>
    <row r="184" spans="2:4">
      <c r="B184">
        <v>0.03</v>
      </c>
      <c r="C184" s="33">
        <f t="shared" si="54"/>
        <v>100</v>
      </c>
      <c r="D184" s="33">
        <f t="shared" si="55"/>
        <v>91.727563381301138</v>
      </c>
    </row>
    <row r="185" spans="2:4">
      <c r="B185">
        <v>3.5000000000000003E-2</v>
      </c>
      <c r="C185" s="33">
        <f t="shared" si="54"/>
        <v>87.527632940875733</v>
      </c>
      <c r="D185" s="33">
        <f t="shared" si="55"/>
        <v>84.166031235097847</v>
      </c>
    </row>
    <row r="186" spans="2:4">
      <c r="B186">
        <v>0.04</v>
      </c>
      <c r="C186" s="33">
        <f t="shared" si="54"/>
        <v>77.376510025522606</v>
      </c>
      <c r="D186" s="33">
        <f t="shared" si="55"/>
        <v>76.604499088894599</v>
      </c>
    </row>
    <row r="187" spans="2:4">
      <c r="B187">
        <v>4.4999999999999998E-2</v>
      </c>
      <c r="C187" s="33">
        <f t="shared" si="54"/>
        <v>69.042966942691336</v>
      </c>
      <c r="D187" s="33">
        <f t="shared" si="55"/>
        <v>69.042966942691336</v>
      </c>
    </row>
    <row r="188" spans="2:4">
      <c r="B188">
        <v>0.05</v>
      </c>
      <c r="C188" s="33">
        <f t="shared" si="54"/>
        <v>62.141420949859764</v>
      </c>
      <c r="D188" s="33">
        <f t="shared" si="55"/>
        <v>61.48143479648806</v>
      </c>
    </row>
    <row r="189" spans="2:4">
      <c r="B189">
        <v>5.5E-2</v>
      </c>
      <c r="C189" s="33">
        <f t="shared" si="54"/>
        <v>56.375364590517847</v>
      </c>
      <c r="D189" s="33">
        <f t="shared" si="55"/>
        <v>53.919902650284804</v>
      </c>
    </row>
    <row r="190" spans="2:4">
      <c r="B190">
        <v>0.06</v>
      </c>
      <c r="C190" s="33">
        <f t="shared" si="54"/>
        <v>51.515716884285915</v>
      </c>
      <c r="D190" s="33">
        <f t="shared" si="55"/>
        <v>46.358370504081542</v>
      </c>
    </row>
    <row r="191" spans="2:4">
      <c r="B191">
        <v>6.5000000000000002E-2</v>
      </c>
      <c r="C191" s="33">
        <f t="shared" si="54"/>
        <v>47.384619893079424</v>
      </c>
      <c r="D191" s="33">
        <f t="shared" si="55"/>
        <v>38.796838357878272</v>
      </c>
    </row>
    <row r="192" spans="2:4">
      <c r="B192">
        <v>7.0000000000000007E-2</v>
      </c>
      <c r="C192" s="33">
        <f t="shared" si="54"/>
        <v>43.843275398257582</v>
      </c>
      <c r="D192" s="33">
        <f t="shared" si="55"/>
        <v>31.235306211674999</v>
      </c>
    </row>
    <row r="193" spans="2:4">
      <c r="B193">
        <v>7.4999999999999997E-2</v>
      </c>
      <c r="C193" s="33">
        <f t="shared" si="54"/>
        <v>40.782786622770544</v>
      </c>
      <c r="D193" s="33">
        <f t="shared" si="55"/>
        <v>23.67377406547174</v>
      </c>
    </row>
    <row r="198" spans="2:4" ht="33.75">
      <c r="B198" s="15" t="s">
        <v>187</v>
      </c>
    </row>
    <row r="201" spans="2:4">
      <c r="B201" s="21" t="s">
        <v>3</v>
      </c>
      <c r="C201">
        <v>100</v>
      </c>
    </row>
    <row r="202" spans="2:4">
      <c r="B202" s="21" t="s">
        <v>0</v>
      </c>
      <c r="C202">
        <v>2</v>
      </c>
    </row>
    <row r="203" spans="2:4">
      <c r="B203" s="21" t="s">
        <v>181</v>
      </c>
      <c r="C203">
        <v>60</v>
      </c>
    </row>
    <row r="204" spans="2:4">
      <c r="B204" s="21" t="s">
        <v>182</v>
      </c>
      <c r="C204">
        <v>0.03</v>
      </c>
      <c r="D204" t="s">
        <v>183</v>
      </c>
    </row>
    <row r="205" spans="2:4">
      <c r="B205" s="21" t="s">
        <v>169</v>
      </c>
      <c r="C205">
        <f>C201*C204</f>
        <v>3</v>
      </c>
      <c r="D205" t="s">
        <v>183</v>
      </c>
    </row>
    <row r="206" spans="2:4">
      <c r="B206" s="21" t="s">
        <v>168</v>
      </c>
      <c r="C206">
        <v>4.4999999999999998E-2</v>
      </c>
      <c r="D206" t="s">
        <v>183</v>
      </c>
    </row>
    <row r="207" spans="2:4">
      <c r="B207" s="21" t="s">
        <v>185</v>
      </c>
      <c r="C207">
        <f>( C205 / C206^2 * (1 - 1/(1+C206)^C203) + C203*(C201-C205/C206)/(1+C206)^(C203+1) ) / C218</f>
        <v>21.903844753600076</v>
      </c>
    </row>
    <row r="208" spans="2:4">
      <c r="B208" s="21" t="s">
        <v>190</v>
      </c>
      <c r="C208">
        <v>3000</v>
      </c>
    </row>
    <row r="209" spans="2:6">
      <c r="B209" s="21" t="s">
        <v>191</v>
      </c>
      <c r="C209">
        <f>( 2*C205 / C206^3 *(1 - 1/(1+C206)^C203) - 2*C205*C203/C206^2/(1+C206)^(C203+1) + C203*(C203+1)*(100-C205/C206) /(1+C206)^(C203+2) ) / C218</f>
        <v>825.37280366272546</v>
      </c>
    </row>
    <row r="211" spans="2:6" ht="30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33">
        <f>$C$175*(1 - 1/(1+$B212)^$C$173) / $B212 + $C$171/(1+$B212)^$C$173</f>
        <v>159.07040332801421</v>
      </c>
      <c r="D212" s="33">
        <f>$C$218 * (1 - $C$207*($B212-$B$218))</f>
        <v>114.41215981991093</v>
      </c>
      <c r="E212" s="33">
        <f>$C$218 * (1 - $C$207*($B212-$B$218) + $C$208*($B212-$B$218)^2)</f>
        <v>300.82817056517752</v>
      </c>
      <c r="F212" s="33">
        <f>$C$218 * (1 - $C$207*($B212-$B$218) + 0.5*$C$209*($B212-$B$218)^2)</f>
        <v>140.05594405931785</v>
      </c>
    </row>
    <row r="213" spans="2:6">
      <c r="B213">
        <v>0.02</v>
      </c>
      <c r="C213" s="33">
        <f t="shared" ref="C213:C224" si="56">$C$175*(1 - 1/(1+$B213)^$C$173) / $B213 + $C$171/(1+$B213)^$C$173</f>
        <v>134.7608866770465</v>
      </c>
      <c r="D213" s="33">
        <f t="shared" ref="D213:D224" si="57">$C$218 * (1 - $C$207*($B213-$B$218))</f>
        <v>106.85062767370766</v>
      </c>
      <c r="E213" s="33">
        <f t="shared" ref="E213:E224" si="58">$C$218 * (1 - $C$207*($B213-$B$218) + $C$208*($B213-$B$218)^2)</f>
        <v>236.30619069125387</v>
      </c>
      <c r="F213" s="33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33">
        <f t="shared" si="56"/>
        <v>115.45432824252876</v>
      </c>
      <c r="D214" s="33">
        <f t="shared" si="57"/>
        <v>99.289095527504401</v>
      </c>
      <c r="E214" s="33">
        <f t="shared" si="58"/>
        <v>182.14065585873399</v>
      </c>
      <c r="F214" s="33">
        <f t="shared" si="59"/>
        <v>110.6863329672408</v>
      </c>
    </row>
    <row r="215" spans="2:6">
      <c r="B215">
        <v>0.03</v>
      </c>
      <c r="C215" s="33">
        <f t="shared" si="56"/>
        <v>100</v>
      </c>
      <c r="D215" s="33">
        <f t="shared" si="57"/>
        <v>91.727563381301138</v>
      </c>
      <c r="E215" s="33">
        <f t="shared" si="58"/>
        <v>138.33156606761779</v>
      </c>
      <c r="F215" s="33">
        <f t="shared" si="59"/>
        <v>98.138509441152863</v>
      </c>
    </row>
    <row r="216" spans="2:6">
      <c r="B216">
        <v>3.5000000000000003E-2</v>
      </c>
      <c r="C216" s="33">
        <f t="shared" si="56"/>
        <v>87.527632940875733</v>
      </c>
      <c r="D216" s="33">
        <f t="shared" si="57"/>
        <v>84.166031235097847</v>
      </c>
      <c r="E216" s="33">
        <f t="shared" si="58"/>
        <v>104.87892131790524</v>
      </c>
      <c r="F216" s="33">
        <f t="shared" si="59"/>
        <v>87.015340595031944</v>
      </c>
    </row>
    <row r="217" spans="2:6">
      <c r="B217">
        <v>0.04</v>
      </c>
      <c r="C217" s="33">
        <f t="shared" si="56"/>
        <v>77.376510025522606</v>
      </c>
      <c r="D217" s="33">
        <f t="shared" si="57"/>
        <v>76.604499088894599</v>
      </c>
      <c r="E217" s="33">
        <f t="shared" si="58"/>
        <v>81.782721609596436</v>
      </c>
      <c r="F217" s="33">
        <f t="shared" si="59"/>
        <v>77.316826428878116</v>
      </c>
    </row>
    <row r="218" spans="2:6">
      <c r="B218">
        <v>4.4999999999999998E-2</v>
      </c>
      <c r="C218" s="33">
        <f t="shared" si="56"/>
        <v>69.042966942691336</v>
      </c>
      <c r="D218" s="33">
        <f t="shared" si="57"/>
        <v>69.042966942691336</v>
      </c>
      <c r="E218" s="33">
        <f t="shared" si="58"/>
        <v>69.042966942691336</v>
      </c>
      <c r="F218" s="33">
        <f t="shared" si="59"/>
        <v>69.042966942691336</v>
      </c>
    </row>
    <row r="219" spans="2:6">
      <c r="B219">
        <v>0.05</v>
      </c>
      <c r="C219" s="33">
        <f t="shared" si="56"/>
        <v>62.141420949859764</v>
      </c>
      <c r="D219" s="33">
        <f t="shared" si="57"/>
        <v>61.48143479648806</v>
      </c>
      <c r="E219" s="33">
        <f t="shared" si="58"/>
        <v>66.659657317189925</v>
      </c>
      <c r="F219" s="33">
        <f t="shared" si="59"/>
        <v>62.193762136471591</v>
      </c>
    </row>
    <row r="220" spans="2:6">
      <c r="B220">
        <v>5.5E-2</v>
      </c>
      <c r="C220" s="33">
        <f t="shared" si="56"/>
        <v>56.375364590517847</v>
      </c>
      <c r="D220" s="33">
        <f t="shared" si="57"/>
        <v>53.919902650284804</v>
      </c>
      <c r="E220" s="33">
        <f t="shared" si="58"/>
        <v>74.632792733092202</v>
      </c>
      <c r="F220" s="33">
        <f t="shared" si="59"/>
        <v>56.769212010218901</v>
      </c>
    </row>
    <row r="221" spans="2:6">
      <c r="B221">
        <v>0.06</v>
      </c>
      <c r="C221" s="33">
        <f t="shared" si="56"/>
        <v>51.515716884285915</v>
      </c>
      <c r="D221" s="33">
        <f t="shared" si="57"/>
        <v>46.358370504081542</v>
      </c>
      <c r="E221" s="33">
        <f t="shared" si="58"/>
        <v>92.962373190398182</v>
      </c>
      <c r="F221" s="33">
        <f t="shared" si="59"/>
        <v>52.769316563933266</v>
      </c>
    </row>
    <row r="222" spans="2:6">
      <c r="B222">
        <v>6.5000000000000002E-2</v>
      </c>
      <c r="C222" s="33">
        <f t="shared" si="56"/>
        <v>47.384619893079424</v>
      </c>
      <c r="D222" s="33">
        <f t="shared" si="57"/>
        <v>38.796838357878272</v>
      </c>
      <c r="E222" s="33">
        <f t="shared" si="58"/>
        <v>121.64839868910792</v>
      </c>
      <c r="F222" s="33">
        <f t="shared" si="59"/>
        <v>50.194075797614687</v>
      </c>
    </row>
    <row r="223" spans="2:6">
      <c r="B223">
        <v>7.0000000000000007E-2</v>
      </c>
      <c r="C223" s="33">
        <f t="shared" si="56"/>
        <v>43.843275398257582</v>
      </c>
      <c r="D223" s="33">
        <f t="shared" si="57"/>
        <v>31.235306211674999</v>
      </c>
      <c r="E223" s="33">
        <f t="shared" si="58"/>
        <v>160.69086922922136</v>
      </c>
      <c r="F223" s="33">
        <f t="shared" si="59"/>
        <v>49.043489711263142</v>
      </c>
    </row>
    <row r="224" spans="2:6">
      <c r="B224">
        <v>7.4999999999999997E-2</v>
      </c>
      <c r="C224" s="33">
        <f t="shared" si="56"/>
        <v>40.782786622770544</v>
      </c>
      <c r="D224" s="33">
        <f t="shared" si="57"/>
        <v>23.67377406547174</v>
      </c>
      <c r="E224" s="33">
        <f t="shared" si="58"/>
        <v>210.08978481073834</v>
      </c>
      <c r="F224" s="33">
        <f t="shared" si="59"/>
        <v>49.317558304878645</v>
      </c>
    </row>
    <row r="229" spans="2:4" ht="33.75">
      <c r="B229" s="15" t="s">
        <v>193</v>
      </c>
    </row>
    <row r="232" spans="2:4">
      <c r="B232" s="21" t="s">
        <v>3</v>
      </c>
      <c r="C232">
        <v>100</v>
      </c>
    </row>
    <row r="233" spans="2:4">
      <c r="B233" s="21" t="s">
        <v>0</v>
      </c>
      <c r="C233">
        <v>2</v>
      </c>
    </row>
    <row r="234" spans="2:4">
      <c r="B234" s="21" t="s">
        <v>181</v>
      </c>
      <c r="C234">
        <v>60</v>
      </c>
    </row>
    <row r="235" spans="2:4">
      <c r="B235" s="21" t="s">
        <v>2</v>
      </c>
      <c r="C235">
        <v>0.03</v>
      </c>
      <c r="D235" t="s">
        <v>183</v>
      </c>
    </row>
    <row r="236" spans="2:4">
      <c r="B236" s="21" t="s">
        <v>169</v>
      </c>
      <c r="C236">
        <f>C232*C235</f>
        <v>3</v>
      </c>
      <c r="D236" t="s">
        <v>183</v>
      </c>
    </row>
    <row r="237" spans="2:4">
      <c r="B237" s="21" t="s">
        <v>46</v>
      </c>
      <c r="C237">
        <v>4.4999999999999998E-2</v>
      </c>
      <c r="D237" t="s">
        <v>183</v>
      </c>
    </row>
    <row r="238" spans="2:4">
      <c r="B238" s="21" t="s">
        <v>194</v>
      </c>
      <c r="C238">
        <f>C236*(1 - 1/(1+C237)^C234)/C237 + 100/(1+C237)^C234</f>
        <v>69.042966942691336</v>
      </c>
    </row>
    <row r="239" spans="2:4">
      <c r="B239" s="21" t="s">
        <v>185</v>
      </c>
      <c r="C239">
        <f>( C236 / C237^2 * (1 - 1/(1+C237)^C234) + C234*(C232-C236/C237)/(1+C237)^(C234+1) ) / C238</f>
        <v>21.903844753600076</v>
      </c>
    </row>
    <row r="240" spans="2:4">
      <c r="B240" s="21" t="s">
        <v>191</v>
      </c>
      <c r="C240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30">
      <c r="B245" s="47" t="s">
        <v>195</v>
      </c>
      <c r="C245">
        <f>C240</f>
        <v>825.37280366272546</v>
      </c>
      <c r="E245" s="9" t="s">
        <v>196</v>
      </c>
      <c r="F245">
        <f>C240</f>
        <v>825.37280366272546</v>
      </c>
    </row>
    <row r="246" spans="2:6">
      <c r="B246">
        <v>1.4999999999999999E-2</v>
      </c>
      <c r="C246">
        <f t="dataTable" ref="C246:C258" dt2D="0" dtr="0" r1="C237"/>
        <v>1631.5889067095873</v>
      </c>
      <c r="E246">
        <v>0</v>
      </c>
      <c r="F246">
        <f t="dataTable" ref="F246:F258" dt2D="0" dtr="0" r1="C235" ca="1"/>
        <v>3351.5716215288121</v>
      </c>
    </row>
    <row r="247" spans="2:6">
      <c r="B247">
        <v>0.02</v>
      </c>
      <c r="C247">
        <v>1475.7875100492283</v>
      </c>
      <c r="E247">
        <v>5.0000000000000001E-3</v>
      </c>
      <c r="F247">
        <v>1685.5053800947383</v>
      </c>
    </row>
    <row r="248" spans="2:6">
      <c r="B248">
        <v>2.5000000000000001E-2</v>
      </c>
      <c r="C248">
        <v>1326.6313018264875</v>
      </c>
      <c r="E248">
        <v>0.01</v>
      </c>
      <c r="F248">
        <v>1257.7582701472691</v>
      </c>
    </row>
    <row r="249" spans="2:6">
      <c r="B249">
        <v>0.03</v>
      </c>
      <c r="C249">
        <v>1185.8799466095745</v>
      </c>
      <c r="E249">
        <v>1.4999999999999999E-2</v>
      </c>
      <c r="F249">
        <v>1061.7989459067642</v>
      </c>
    </row>
    <row r="250" spans="2:6">
      <c r="B250">
        <v>3.5000000000000003E-2</v>
      </c>
      <c r="C250">
        <v>1054.8917380063833</v>
      </c>
      <c r="E250">
        <v>0.02</v>
      </c>
      <c r="F250">
        <v>949.38920240119558</v>
      </c>
    </row>
    <row r="251" spans="2:6">
      <c r="B251">
        <v>0.04</v>
      </c>
      <c r="C251">
        <v>934.57238969398941</v>
      </c>
      <c r="E251">
        <v>2.5000000000000001E-2</v>
      </c>
      <c r="F251">
        <v>876.48488265821641</v>
      </c>
    </row>
    <row r="252" spans="2:6">
      <c r="B252">
        <v>4.4999999999999998E-2</v>
      </c>
      <c r="C252">
        <v>825.37280366272546</v>
      </c>
      <c r="E252">
        <v>0.03</v>
      </c>
      <c r="F252">
        <v>825.37280366272546</v>
      </c>
    </row>
    <row r="253" spans="2:6">
      <c r="B253">
        <v>0.05</v>
      </c>
      <c r="C253">
        <v>727.3283156070637</v>
      </c>
      <c r="E253">
        <v>3.5000000000000003E-2</v>
      </c>
      <c r="F253">
        <v>787.55238195474931</v>
      </c>
    </row>
    <row r="254" spans="2:6">
      <c r="B254">
        <v>5.5E-2</v>
      </c>
      <c r="C254">
        <v>640.12663225331005</v>
      </c>
      <c r="E254">
        <v>0.04</v>
      </c>
      <c r="F254">
        <v>758.43546257846253</v>
      </c>
    </row>
    <row r="255" spans="2:6">
      <c r="B255">
        <v>0.06</v>
      </c>
      <c r="C255">
        <v>563.19018444607264</v>
      </c>
      <c r="E255">
        <v>4.4999999999999998E-2</v>
      </c>
      <c r="F255">
        <v>735.32769943990013</v>
      </c>
    </row>
    <row r="256" spans="2:6">
      <c r="B256">
        <v>6.5000000000000002E-2</v>
      </c>
      <c r="C256">
        <v>495.76023731324159</v>
      </c>
      <c r="E256">
        <v>0.05</v>
      </c>
      <c r="F256">
        <v>716.54284058140547</v>
      </c>
    </row>
    <row r="257" spans="2:6">
      <c r="B257">
        <v>7.0000000000000007E-2</v>
      </c>
      <c r="C257">
        <v>436.97350096127019</v>
      </c>
      <c r="E257">
        <v>5.5E-2</v>
      </c>
      <c r="F257">
        <v>700.97158158600701</v>
      </c>
    </row>
    <row r="258" spans="2:6">
      <c r="B258">
        <v>7.4999999999999997E-2</v>
      </c>
      <c r="C258">
        <v>385.92584512243974</v>
      </c>
      <c r="E258">
        <v>0.06</v>
      </c>
      <c r="F258">
        <v>687.85425712781694</v>
      </c>
    </row>
    <row r="263" spans="2:6">
      <c r="B263" s="21" t="s">
        <v>3</v>
      </c>
      <c r="C263">
        <v>100</v>
      </c>
    </row>
    <row r="264" spans="2:6">
      <c r="B264" s="21" t="s">
        <v>0</v>
      </c>
      <c r="C264">
        <v>2</v>
      </c>
    </row>
    <row r="265" spans="2:6">
      <c r="B265" s="21" t="s">
        <v>181</v>
      </c>
      <c r="C265">
        <v>111.69672213023868</v>
      </c>
    </row>
    <row r="266" spans="2:6">
      <c r="B266" s="21" t="s">
        <v>2</v>
      </c>
      <c r="C266">
        <v>0.06</v>
      </c>
      <c r="D266" t="s">
        <v>183</v>
      </c>
    </row>
    <row r="267" spans="2:6">
      <c r="B267" s="21" t="s">
        <v>169</v>
      </c>
      <c r="C267">
        <f>C263*C266</f>
        <v>6</v>
      </c>
      <c r="D267" t="s">
        <v>183</v>
      </c>
    </row>
    <row r="268" spans="2:6">
      <c r="B268" s="21" t="s">
        <v>46</v>
      </c>
      <c r="C268">
        <v>4.4999999999999998E-2</v>
      </c>
      <c r="D268" t="s">
        <v>183</v>
      </c>
    </row>
    <row r="269" spans="2:6">
      <c r="B269" s="21" t="s">
        <v>194</v>
      </c>
      <c r="C269">
        <f>C267*(1 - 1/(1+C268)^C265)/C268 + 100/(1+C268)^C265</f>
        <v>133.08918612484095</v>
      </c>
    </row>
    <row r="270" spans="2:6">
      <c r="B270" s="21" t="s">
        <v>185</v>
      </c>
      <c r="C270">
        <f>( C267 / C268^2 * (1 - 1/(1+C268)^C265) + C265*(C263-C267/C268)/(1+C268)^(C265+1) ) / C269</f>
        <v>21.903844753600076</v>
      </c>
    </row>
    <row r="271" spans="2:6">
      <c r="B271" s="21" t="s">
        <v>191</v>
      </c>
      <c r="C271">
        <f>( 2*C267 / C268^3 *(1 - 1/(1+C268)^C265) - 2*C267*C265/C268^2/(1+C268)^(C265+1) + C265*(C265+1)*(100-C267/C268) /(1+C268)^(C265+2) ) / C269</f>
        <v>926.21422626214394</v>
      </c>
    </row>
    <row r="274" spans="2:4">
      <c r="B274" s="42" t="s">
        <v>197</v>
      </c>
      <c r="C274" s="11" t="s">
        <v>200</v>
      </c>
    </row>
    <row r="275" spans="2:4">
      <c r="B275" s="11">
        <v>21.903844753600076</v>
      </c>
      <c r="C275" s="11">
        <f>(C270-B275)^2</f>
        <v>0</v>
      </c>
    </row>
    <row r="278" spans="2:4" ht="30">
      <c r="B278" s="9" t="s">
        <v>199</v>
      </c>
      <c r="C278" t="s">
        <v>198</v>
      </c>
      <c r="D278">
        <f>C271</f>
        <v>926.21422626214394</v>
      </c>
    </row>
    <row r="279" spans="2:4">
      <c r="B279">
        <v>0</v>
      </c>
      <c r="C279">
        <v>22.889517767512075</v>
      </c>
      <c r="D27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>
        <v>288.45538520215734</v>
      </c>
    </row>
    <row r="281" spans="2:4">
      <c r="B281">
        <v>0.01</v>
      </c>
      <c r="C281">
        <v>29.181020107663993</v>
      </c>
      <c r="D281">
        <v>338.34133886508783</v>
      </c>
    </row>
    <row r="282" spans="2:4">
      <c r="B282">
        <v>1.4999999999999999E-2</v>
      </c>
      <c r="C282">
        <v>33.765276579998869</v>
      </c>
      <c r="D282">
        <v>401.25967172499833</v>
      </c>
    </row>
    <row r="283" spans="2:4">
      <c r="B283">
        <v>0.02</v>
      </c>
      <c r="C283">
        <v>39.924338441125023</v>
      </c>
      <c r="D283">
        <v>480.57302833116262</v>
      </c>
    </row>
    <row r="284" spans="2:4">
      <c r="B284">
        <v>2.5000000000000001E-2</v>
      </c>
      <c r="C284">
        <v>48.414084301445897</v>
      </c>
      <c r="D284">
        <v>578.10364541786907</v>
      </c>
    </row>
    <row r="285" spans="2:4">
      <c r="B285">
        <v>0.03</v>
      </c>
      <c r="C285">
        <v>59.999999999999886</v>
      </c>
      <c r="D285">
        <v>687.85425712781694</v>
      </c>
    </row>
    <row r="286" spans="2:4">
      <c r="B286">
        <v>3.5000000000000003E-2</v>
      </c>
      <c r="C286">
        <v>73.964309460504083</v>
      </c>
      <c r="D286">
        <v>786.93795325776637</v>
      </c>
    </row>
    <row r="287" spans="2:4">
      <c r="B287">
        <v>0.04</v>
      </c>
      <c r="C287">
        <v>86.863690616626371</v>
      </c>
      <c r="D287">
        <v>851.81630765022896</v>
      </c>
    </row>
    <row r="288" spans="2:4">
      <c r="B288">
        <v>4.4999999999999998E-2</v>
      </c>
      <c r="C288">
        <v>96.454129839167592</v>
      </c>
      <c r="D288">
        <v>887.07793814817342</v>
      </c>
    </row>
    <row r="289" spans="2:12">
      <c r="B289">
        <v>0.05</v>
      </c>
      <c r="C289">
        <v>103.20201278788551</v>
      </c>
      <c r="D289">
        <v>906.62027757852866</v>
      </c>
    </row>
    <row r="290" spans="2:12">
      <c r="B290">
        <v>5.5E-2</v>
      </c>
      <c r="C290">
        <v>108.06193999267354</v>
      </c>
      <c r="D290">
        <v>918.44524814801537</v>
      </c>
    </row>
    <row r="291" spans="2:12">
      <c r="B291">
        <v>0.06</v>
      </c>
      <c r="C291">
        <v>111.69672213023868</v>
      </c>
      <c r="D291">
        <v>926.21422626214394</v>
      </c>
    </row>
    <row r="296" spans="2:12" ht="33.75">
      <c r="B296" s="15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5">
        <v>39583</v>
      </c>
      <c r="D302">
        <v>3.7100000000000001E-2</v>
      </c>
      <c r="F302">
        <v>3.875E-2</v>
      </c>
      <c r="G302" s="25">
        <v>40436</v>
      </c>
      <c r="H302">
        <v>0.69730000000000003</v>
      </c>
      <c r="J302">
        <v>0.14000000000000001</v>
      </c>
      <c r="K302" s="25">
        <v>40862</v>
      </c>
      <c r="L302">
        <v>0.36470000000000002</v>
      </c>
    </row>
    <row r="303" spans="2:12">
      <c r="B303">
        <v>0.04</v>
      </c>
      <c r="C303" s="25">
        <v>42050</v>
      </c>
      <c r="D303">
        <v>0.14949999999999999</v>
      </c>
      <c r="F303">
        <v>4.2500000000000003E-2</v>
      </c>
      <c r="G303" s="25">
        <v>40558</v>
      </c>
      <c r="H303">
        <v>0.29409999999999997</v>
      </c>
      <c r="J303">
        <v>0.10375</v>
      </c>
      <c r="K303" s="25">
        <v>41228</v>
      </c>
      <c r="L303">
        <v>0.13919999999999999</v>
      </c>
    </row>
    <row r="304" spans="2:12">
      <c r="B304">
        <v>4.2500000000000003E-2</v>
      </c>
      <c r="C304" s="25">
        <v>42231</v>
      </c>
      <c r="D304">
        <v>9.1200000000000003E-2</v>
      </c>
      <c r="F304">
        <v>3.875E-2</v>
      </c>
      <c r="G304" s="25">
        <v>41320</v>
      </c>
      <c r="H304">
        <v>5.0000000000000001E-3</v>
      </c>
      <c r="J304">
        <v>0.12</v>
      </c>
      <c r="K304" s="25">
        <v>41501</v>
      </c>
      <c r="L304">
        <v>7.8100000000000003E-2</v>
      </c>
    </row>
    <row r="305" spans="2:12">
      <c r="B305">
        <v>4.4999999999999998E-2</v>
      </c>
      <c r="C305" s="25">
        <v>49720</v>
      </c>
      <c r="D305">
        <v>6.9000000000000006E-2</v>
      </c>
      <c r="F305">
        <v>4.4999999999999998E-2</v>
      </c>
      <c r="G305" s="25">
        <v>49720</v>
      </c>
      <c r="H305">
        <v>3.5000000000000001E-3</v>
      </c>
      <c r="J305">
        <v>0.125</v>
      </c>
      <c r="K305" s="25">
        <v>41866</v>
      </c>
      <c r="L305">
        <v>8.5699999999999998E-2</v>
      </c>
    </row>
    <row r="306" spans="2:12">
      <c r="B306">
        <v>4.6249999999999999E-2</v>
      </c>
      <c r="C306" s="25">
        <v>49734</v>
      </c>
      <c r="D306">
        <v>0.65310000000000001</v>
      </c>
      <c r="G306" s="11" t="s">
        <v>206</v>
      </c>
      <c r="H306" s="38">
        <f>SUM(H302:H305)</f>
        <v>0.99990000000000001</v>
      </c>
      <c r="J306">
        <v>0.06</v>
      </c>
      <c r="K306" s="25">
        <v>46068</v>
      </c>
      <c r="L306">
        <v>6.0600000000000001E-2</v>
      </c>
    </row>
    <row r="307" spans="2:12">
      <c r="C307" s="11" t="s">
        <v>206</v>
      </c>
      <c r="D307" s="11">
        <f>SUM(D302:D306)</f>
        <v>0.99990000000000001</v>
      </c>
      <c r="J307">
        <v>6.7500000000000004E-2</v>
      </c>
      <c r="K307" s="25">
        <v>46249</v>
      </c>
      <c r="L307">
        <v>2.58E-2</v>
      </c>
    </row>
    <row r="308" spans="2:12">
      <c r="J308">
        <v>5.3749999999999999E-2</v>
      </c>
      <c r="K308" s="25">
        <v>47894</v>
      </c>
      <c r="L308">
        <v>2.8899999999999999E-2</v>
      </c>
    </row>
    <row r="309" spans="2:12">
      <c r="J309">
        <v>0.05</v>
      </c>
      <c r="K309" s="25">
        <v>40770</v>
      </c>
      <c r="L309">
        <v>4.5499999999999999E-2</v>
      </c>
    </row>
    <row r="310" spans="2:12">
      <c r="J310">
        <v>0.04</v>
      </c>
      <c r="K310" s="25">
        <v>42050</v>
      </c>
      <c r="L310">
        <v>7.7399999999999997E-2</v>
      </c>
    </row>
    <row r="311" spans="2:12">
      <c r="J311">
        <v>4.4999999999999998E-2</v>
      </c>
      <c r="K311" s="25">
        <v>49720</v>
      </c>
      <c r="L311">
        <v>4.5699999999999998E-2</v>
      </c>
    </row>
    <row r="312" spans="2:12">
      <c r="J312">
        <v>4.4999999999999998E-2</v>
      </c>
      <c r="K312" s="25">
        <v>42415</v>
      </c>
      <c r="L312">
        <v>4.8500000000000001E-2</v>
      </c>
    </row>
    <row r="313" spans="2:12">
      <c r="K313" s="11" t="s">
        <v>206</v>
      </c>
      <c r="L313" s="11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11">
        <f>SUM(C317:C328)</f>
        <v>4.2612999999999994</v>
      </c>
      <c r="D329" s="11">
        <f>SUM(D317:D328)</f>
        <v>4.266</v>
      </c>
      <c r="E329" s="11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5">
        <v>39583</v>
      </c>
      <c r="C335">
        <v>0</v>
      </c>
      <c r="D335">
        <v>3.7100000000000001E-2</v>
      </c>
      <c r="J335" s="1"/>
    </row>
    <row r="336" spans="2:10">
      <c r="B336" s="25">
        <v>40436</v>
      </c>
      <c r="C336">
        <v>2.3333333333333335</v>
      </c>
      <c r="E336">
        <v>0.69730000000000003</v>
      </c>
      <c r="J336" s="1"/>
    </row>
    <row r="337" spans="2:10">
      <c r="B337" s="25">
        <v>40558</v>
      </c>
      <c r="C337">
        <v>2.6666666666666665</v>
      </c>
      <c r="E337">
        <v>0.29409999999999997</v>
      </c>
      <c r="J337" s="1"/>
    </row>
    <row r="338" spans="2:10">
      <c r="B338" s="25">
        <v>40770</v>
      </c>
      <c r="C338">
        <v>3.25</v>
      </c>
      <c r="F338">
        <v>4.5499999999999999E-2</v>
      </c>
      <c r="J338" s="1"/>
    </row>
    <row r="339" spans="2:10">
      <c r="B339" s="25">
        <v>40862</v>
      </c>
      <c r="C339">
        <v>3.5</v>
      </c>
      <c r="F339">
        <v>0.36470000000000002</v>
      </c>
      <c r="J339" s="1"/>
    </row>
    <row r="340" spans="2:10">
      <c r="B340" s="25">
        <v>41228</v>
      </c>
      <c r="C340">
        <v>4.5</v>
      </c>
      <c r="F340">
        <v>0.13919999999999999</v>
      </c>
      <c r="J340" s="1"/>
    </row>
    <row r="341" spans="2:10">
      <c r="B341" s="25">
        <v>41320</v>
      </c>
      <c r="C341">
        <v>4.75</v>
      </c>
      <c r="E341">
        <v>5.0000000000000001E-3</v>
      </c>
      <c r="J341" s="1"/>
    </row>
    <row r="342" spans="2:10">
      <c r="B342" s="25">
        <v>41501</v>
      </c>
      <c r="C342">
        <v>5.25</v>
      </c>
      <c r="F342">
        <v>7.8100000000000003E-2</v>
      </c>
      <c r="J342" s="1"/>
    </row>
    <row r="343" spans="2:10">
      <c r="B343" s="25">
        <v>41866</v>
      </c>
      <c r="C343">
        <v>6.25</v>
      </c>
      <c r="F343">
        <v>8.5699999999999998E-2</v>
      </c>
      <c r="J343" s="1"/>
    </row>
    <row r="344" spans="2:10">
      <c r="B344" s="25">
        <v>42050</v>
      </c>
      <c r="C344">
        <v>6.75</v>
      </c>
      <c r="D344">
        <v>0.14949999999999999</v>
      </c>
      <c r="J344" s="1"/>
    </row>
    <row r="345" spans="2:10">
      <c r="B345" s="25">
        <v>42050</v>
      </c>
      <c r="C345">
        <v>6.75</v>
      </c>
      <c r="F345">
        <v>7.7399999999999997E-2</v>
      </c>
      <c r="J345" s="1"/>
    </row>
    <row r="346" spans="2:10">
      <c r="B346" s="25">
        <v>42231</v>
      </c>
      <c r="C346">
        <v>7.25</v>
      </c>
      <c r="D346">
        <v>9.1200000000000003E-2</v>
      </c>
      <c r="J346" s="1"/>
    </row>
    <row r="347" spans="2:10">
      <c r="B347" s="25">
        <v>42415</v>
      </c>
      <c r="C347">
        <v>7.75</v>
      </c>
      <c r="F347">
        <v>4.8500000000000001E-2</v>
      </c>
      <c r="J347" s="1"/>
    </row>
    <row r="348" spans="2:10">
      <c r="B348" s="25">
        <v>46068</v>
      </c>
      <c r="C348">
        <v>17.75</v>
      </c>
      <c r="F348">
        <v>6.0600000000000001E-2</v>
      </c>
      <c r="J348" s="1"/>
    </row>
    <row r="349" spans="2:10">
      <c r="B349" s="25">
        <v>46249</v>
      </c>
      <c r="C349">
        <v>18.25</v>
      </c>
      <c r="F349">
        <v>2.58E-2</v>
      </c>
      <c r="J349" s="1"/>
    </row>
    <row r="350" spans="2:10">
      <c r="B350" s="25">
        <v>47894</v>
      </c>
      <c r="C350">
        <v>22.75</v>
      </c>
      <c r="F350">
        <v>2.8899999999999999E-2</v>
      </c>
      <c r="J350" s="1"/>
    </row>
    <row r="351" spans="2:10">
      <c r="B351" s="25">
        <v>49720</v>
      </c>
      <c r="C351">
        <v>27.75</v>
      </c>
      <c r="D351">
        <v>6.9000000000000006E-2</v>
      </c>
      <c r="J351" s="1"/>
    </row>
    <row r="352" spans="2:10">
      <c r="B352" s="25">
        <v>49720</v>
      </c>
      <c r="C352">
        <v>27.75</v>
      </c>
      <c r="E352">
        <v>3.5000000000000001E-3</v>
      </c>
      <c r="J352" s="1"/>
    </row>
    <row r="353" spans="2:10">
      <c r="B353" s="25">
        <v>49720</v>
      </c>
      <c r="C353">
        <v>27.75</v>
      </c>
      <c r="F353">
        <v>4.5699999999999998E-2</v>
      </c>
      <c r="J353" s="1"/>
    </row>
    <row r="354" spans="2:10">
      <c r="B354" s="25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conditionalFormatting sqref="C10:M22">
    <cfRule type="colorScale" priority="5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28:M40">
    <cfRule type="colorScale" priority="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51:K63">
    <cfRule type="colorScale" priority="3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69:K81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92:K10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zoomScale="90" zoomScaleNormal="90" workbookViewId="0">
      <selection activeCell="F43" sqref="F43"/>
    </sheetView>
  </sheetViews>
  <sheetFormatPr defaultRowHeight="15"/>
  <cols>
    <col min="1" max="1" width="2.28515625" bestFit="1" customWidth="1"/>
    <col min="2" max="2" width="21.28515625" customWidth="1"/>
    <col min="3" max="3" width="13.28515625" bestFit="1" customWidth="1"/>
    <col min="4" max="5" width="13.7109375" bestFit="1" customWidth="1"/>
    <col min="6" max="6" width="11.7109375" bestFit="1" customWidth="1"/>
    <col min="7" max="7" width="14.28515625" bestFit="1" customWidth="1"/>
    <col min="8" max="8" width="13.28515625" bestFit="1" customWidth="1"/>
    <col min="9" max="9" width="12.7109375" customWidth="1"/>
    <col min="10" max="10" width="6.42578125" bestFit="1" customWidth="1"/>
    <col min="11" max="12" width="6.7109375" bestFit="1" customWidth="1"/>
    <col min="13" max="13" width="8.5703125" bestFit="1" customWidth="1"/>
    <col min="14" max="14" width="11.28515625" bestFit="1" customWidth="1"/>
    <col min="15" max="15" width="11.85546875" bestFit="1" customWidth="1"/>
    <col min="16" max="16" width="13.42578125" bestFit="1" customWidth="1"/>
    <col min="17" max="17" width="4.7109375" bestFit="1" customWidth="1"/>
  </cols>
  <sheetData>
    <row r="2" spans="2:15" ht="33.75">
      <c r="B2" s="15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21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21" t="s">
        <v>219</v>
      </c>
      <c r="C6">
        <v>0</v>
      </c>
      <c r="D6">
        <v>0.04</v>
      </c>
      <c r="E6">
        <v>0.03</v>
      </c>
      <c r="L6" s="50"/>
      <c r="N6" s="16"/>
      <c r="O6" s="16"/>
    </row>
    <row r="7" spans="2:15">
      <c r="B7" s="21" t="s">
        <v>225</v>
      </c>
      <c r="C7">
        <v>0.5</v>
      </c>
      <c r="D7">
        <v>1</v>
      </c>
      <c r="E7">
        <v>1</v>
      </c>
      <c r="N7" s="16"/>
      <c r="O7" s="16"/>
    </row>
    <row r="8" spans="2:15">
      <c r="B8" s="21"/>
      <c r="N8" s="20"/>
      <c r="O8" s="20"/>
    </row>
    <row r="9" spans="2:15">
      <c r="B9" s="21" t="s">
        <v>226</v>
      </c>
      <c r="C9" s="16">
        <v>-50000</v>
      </c>
      <c r="D9" s="16">
        <v>10000000</v>
      </c>
      <c r="E9" s="16">
        <v>-10049000</v>
      </c>
    </row>
    <row r="10" spans="2:15">
      <c r="B10" s="21" t="s">
        <v>220</v>
      </c>
      <c r="C10" s="17">
        <f>C9*C5/100</f>
        <v>-49019.608</v>
      </c>
      <c r="D10" s="17">
        <f t="shared" ref="D10:E10" si="0">D9*D5/100</f>
        <v>9808653</v>
      </c>
      <c r="E10" s="17">
        <f t="shared" si="0"/>
        <v>-9760573.0995500013</v>
      </c>
      <c r="F10" s="18">
        <f>SUM(C10:E10)</f>
        <v>-939.70755000039935</v>
      </c>
    </row>
    <row r="11" spans="2:15">
      <c r="B11" s="21" t="s">
        <v>221</v>
      </c>
      <c r="C11" s="20">
        <f>C9</f>
        <v>-50000</v>
      </c>
      <c r="D11" s="20">
        <f>D9*D6/2</f>
        <v>200000</v>
      </c>
      <c r="E11" s="20">
        <f>E9*E6/2</f>
        <v>-150735</v>
      </c>
      <c r="F11" s="18">
        <f>SUM(C11:E11)</f>
        <v>-735</v>
      </c>
    </row>
    <row r="12" spans="2:15">
      <c r="B12" s="21" t="s">
        <v>222</v>
      </c>
      <c r="C12" s="16">
        <v>0</v>
      </c>
      <c r="D12" s="16">
        <f>D9*(1+D6/2)</f>
        <v>10200000</v>
      </c>
      <c r="E12" s="16">
        <f>E9*(1+E6/2)</f>
        <v>-10199734.999999998</v>
      </c>
      <c r="F12" s="18">
        <f>SUM(C12:E12)</f>
        <v>265.00000000186265</v>
      </c>
    </row>
    <row r="14" spans="2:15">
      <c r="F14" s="17"/>
    </row>
    <row r="17" spans="2:7" ht="33.75">
      <c r="B17" s="15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>
        <f>2/12</f>
        <v>0.16666666666666666</v>
      </c>
      <c r="D26">
        <v>4.63</v>
      </c>
      <c r="E26">
        <v>0.06</v>
      </c>
    </row>
    <row r="27" spans="2:7">
      <c r="B27" t="s">
        <v>234</v>
      </c>
      <c r="C27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>
        <f>4/12</f>
        <v>0.33333333333333331</v>
      </c>
      <c r="D28">
        <v>4.7699999999999996</v>
      </c>
    </row>
    <row r="29" spans="2:7">
      <c r="B29" t="s">
        <v>236</v>
      </c>
      <c r="C2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75">
      <c r="B43" s="15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33">
        <f>D47</f>
        <v>5.2499999999999998E-2</v>
      </c>
      <c r="G47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33">
        <f>D48</f>
        <v>5.5E-2</v>
      </c>
      <c r="G48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33">
        <f>2*(   (   (1+D49/2) / (1 - D49/2 * SUM(G$47:G48))   )^(1/B49) - 1   )</f>
        <v>5.7597427721776118E-2</v>
      </c>
      <c r="G4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33">
        <f>2*(   (   (1+D50/2) / (1 - D50/2 * SUM(G$47:G49))   )^(1/B50) - 1   )</f>
        <v>6.0191654633161562E-2</v>
      </c>
      <c r="G50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33">
        <f>2*(   (   (1+D51/2) / (1 - D51/2 * SUM(G$47:G50))   )^(1/B51) - 1   )</f>
        <v>6.2822395619879234E-2</v>
      </c>
      <c r="G51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33">
        <f>2*(   (   (1+D52/2) / (1 - D52/2 * SUM(G$47:G51))   )^(1/B52) - 1   )</f>
        <v>6.5494468664716532E-2</v>
      </c>
      <c r="G52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33">
        <f>2*(   (   (1+D53/2) / (1 - D53/2 * SUM(G$47:G52))   )^(1/B53) - 1   )</f>
        <v>6.8213193794184335E-2</v>
      </c>
      <c r="G53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33">
        <f>2*(   (   (1+D54/2) / (1 - D54/2 * SUM(G$47:G53))   )^(1/B54) - 1   )</f>
        <v>6.8693830749960494E-2</v>
      </c>
      <c r="G54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33">
        <f>2*(   (   (1+D55/2) / (1 - D55/2 * SUM(G$47:G54))   )^(1/B55) - 1   )</f>
        <v>7.0946692697691827E-2</v>
      </c>
      <c r="G55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33">
        <f>2*(   (   (1+D56/2) / (1 - D56/2 * SUM(G$47:G55))   )^(1/B56) - 1   )</f>
        <v>7.2045451642976488E-2</v>
      </c>
      <c r="G56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33">
        <f>2*(   (   (1+D57/2) / (1 - D57/2 * SUM(G$47:G56))   )^(1/B57) - 1   )</f>
        <v>7.2560011894222232E-2</v>
      </c>
      <c r="G57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33">
        <f>2*(   (   (1+D58/2) / (1 - D58/2 * SUM(G$47:G57))   )^(1/B58) - 1   )</f>
        <v>7.3094063591545577E-2</v>
      </c>
      <c r="G58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33">
        <f>2*(   (   (1+D59/2) / (1 - D59/2 * SUM(G$47:G58))   )^(1/B59) - 1   )</f>
        <v>7.4284113257554019E-2</v>
      </c>
      <c r="G5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33">
        <f>2*(   (   (1+D60/2) / (1 - D60/2 * SUM(G$47:G59))   )^(1/B60) - 1   )</f>
        <v>7.4845000366334347E-2</v>
      </c>
      <c r="G60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33">
        <f>2*(   (   (1+D61/2) / (1 - D61/2 * SUM(G$47:G60))   )^(1/B61) - 1   )</f>
        <v>7.5423040046126655E-2</v>
      </c>
      <c r="G61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33">
        <f>2*(   (   (1+D62/2) / (1 - D62/2 * SUM(G$47:G61))   )^(1/B62) - 1   )</f>
        <v>7.6704923360141564E-2</v>
      </c>
      <c r="G62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33">
        <f>2*(   (   (1+D63/2) / (1 - D63/2 * SUM(G$47:G62))   )^(1/B63) - 1   )</f>
        <v>7.8016817506624925E-2</v>
      </c>
      <c r="G63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33">
        <f>2*(   (   (1+D64/2) / (1 - D64/2 * SUM(G$47:G63))   )^(1/B64) - 1   )</f>
        <v>7.7904720705180619E-2</v>
      </c>
      <c r="G64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33">
        <f>2*(   (   (1+D65/2) / (1 - D65/2 * SUM(G$47:G64))   )^(1/B65) - 1   )</f>
        <v>7.9290638275567815E-2</v>
      </c>
      <c r="G65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33">
        <f>2*(   (   (1+D66/2) / (1 - D66/2 * SUM(G$47:G65))   )^(1/B66) - 1   )</f>
        <v>8.0713230798289626E-2</v>
      </c>
      <c r="G66">
        <f t="shared" si="1"/>
        <v>0.45326829053303058</v>
      </c>
    </row>
    <row r="70" spans="2:7" ht="33.75">
      <c r="B70" s="15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>
        <f>C$73*C$74/2</f>
        <v>5</v>
      </c>
      <c r="E80" s="33">
        <f>D80/(1+F47/2)^B80</f>
        <v>4.8721071863580994</v>
      </c>
    </row>
    <row r="81" spans="2:5">
      <c r="B81">
        <v>2</v>
      </c>
      <c r="C81">
        <v>1</v>
      </c>
      <c r="D81">
        <f t="shared" ref="D81:D98" si="2">C$73*C$74/2</f>
        <v>5</v>
      </c>
      <c r="E81" s="33">
        <f t="shared" ref="E81:E99" si="3">D81/(1+F48/2)^B81</f>
        <v>4.7359416531988314</v>
      </c>
    </row>
    <row r="82" spans="2:5">
      <c r="B82">
        <v>3</v>
      </c>
      <c r="C82">
        <v>1.5</v>
      </c>
      <c r="D82">
        <f t="shared" si="2"/>
        <v>5</v>
      </c>
      <c r="E82" s="33">
        <f t="shared" si="3"/>
        <v>4.591755621737776</v>
      </c>
    </row>
    <row r="83" spans="2:5">
      <c r="B83">
        <v>4</v>
      </c>
      <c r="C83">
        <v>2</v>
      </c>
      <c r="D83">
        <f t="shared" si="2"/>
        <v>5</v>
      </c>
      <c r="E83" s="33">
        <f t="shared" si="3"/>
        <v>4.4407823943312215</v>
      </c>
    </row>
    <row r="84" spans="2:5">
      <c r="B84">
        <v>5</v>
      </c>
      <c r="C84">
        <v>2.5</v>
      </c>
      <c r="D84">
        <f t="shared" si="2"/>
        <v>5</v>
      </c>
      <c r="E84" s="33">
        <f t="shared" si="3"/>
        <v>4.2836185801325479</v>
      </c>
    </row>
    <row r="85" spans="2:5">
      <c r="B85">
        <v>6</v>
      </c>
      <c r="C85">
        <v>3</v>
      </c>
      <c r="D85">
        <f t="shared" si="2"/>
        <v>5</v>
      </c>
      <c r="E85" s="33">
        <f t="shared" si="3"/>
        <v>4.1210298531117173</v>
      </c>
    </row>
    <row r="86" spans="2:5">
      <c r="B86">
        <v>7</v>
      </c>
      <c r="C86">
        <v>3.5</v>
      </c>
      <c r="D86">
        <f t="shared" si="2"/>
        <v>5</v>
      </c>
      <c r="E86" s="33">
        <f t="shared" si="3"/>
        <v>3.9537831284165721</v>
      </c>
    </row>
    <row r="87" spans="2:5">
      <c r="B87">
        <v>8</v>
      </c>
      <c r="C87">
        <v>4</v>
      </c>
      <c r="D87">
        <f t="shared" si="2"/>
        <v>5</v>
      </c>
      <c r="E87" s="33">
        <f t="shared" si="3"/>
        <v>3.8162798586191968</v>
      </c>
    </row>
    <row r="88" spans="2:5">
      <c r="B88">
        <v>9</v>
      </c>
      <c r="C88">
        <v>4.5</v>
      </c>
      <c r="D88">
        <f t="shared" si="2"/>
        <v>5</v>
      </c>
      <c r="E88" s="33">
        <f t="shared" si="3"/>
        <v>3.6535889471915857</v>
      </c>
    </row>
    <row r="89" spans="2:5">
      <c r="B89">
        <v>10</v>
      </c>
      <c r="C89">
        <v>5</v>
      </c>
      <c r="D89">
        <f t="shared" si="2"/>
        <v>5</v>
      </c>
      <c r="E89" s="33">
        <f t="shared" si="3"/>
        <v>3.5097580913375559</v>
      </c>
    </row>
    <row r="90" spans="2:5">
      <c r="B90">
        <v>11</v>
      </c>
      <c r="C90">
        <v>5.5</v>
      </c>
      <c r="D90">
        <f t="shared" si="2"/>
        <v>5</v>
      </c>
      <c r="E90" s="33">
        <f t="shared" si="3"/>
        <v>3.3784826743991747</v>
      </c>
    </row>
    <row r="91" spans="2:5">
      <c r="B91">
        <v>12</v>
      </c>
      <c r="C91">
        <v>6</v>
      </c>
      <c r="D91">
        <f t="shared" si="2"/>
        <v>5</v>
      </c>
      <c r="E91" s="33">
        <f t="shared" si="3"/>
        <v>3.2501384096544035</v>
      </c>
    </row>
    <row r="92" spans="2:5">
      <c r="B92">
        <v>13</v>
      </c>
      <c r="C92">
        <v>6.5</v>
      </c>
      <c r="D92">
        <f t="shared" si="2"/>
        <v>5</v>
      </c>
      <c r="E92" s="33">
        <f t="shared" si="3"/>
        <v>3.1122380863050267</v>
      </c>
    </row>
    <row r="93" spans="2:5">
      <c r="B93">
        <v>14</v>
      </c>
      <c r="C93">
        <v>7</v>
      </c>
      <c r="D93">
        <f t="shared" si="2"/>
        <v>5</v>
      </c>
      <c r="E93" s="33">
        <f t="shared" si="3"/>
        <v>2.9894460672137306</v>
      </c>
    </row>
    <row r="94" spans="2:5">
      <c r="B94">
        <v>15</v>
      </c>
      <c r="C94">
        <v>7.5</v>
      </c>
      <c r="D94">
        <f t="shared" si="2"/>
        <v>5</v>
      </c>
      <c r="E94" s="33">
        <f t="shared" si="3"/>
        <v>2.869593856871484</v>
      </c>
    </row>
    <row r="95" spans="2:5">
      <c r="B95">
        <v>16</v>
      </c>
      <c r="C95">
        <v>8</v>
      </c>
      <c r="D95">
        <f t="shared" si="2"/>
        <v>5</v>
      </c>
      <c r="E95" s="33">
        <f t="shared" si="3"/>
        <v>2.7381249008838959</v>
      </c>
    </row>
    <row r="96" spans="2:5">
      <c r="B96">
        <v>17</v>
      </c>
      <c r="C96">
        <v>8.5</v>
      </c>
      <c r="D96">
        <f t="shared" si="2"/>
        <v>5</v>
      </c>
      <c r="E96" s="33">
        <f t="shared" si="3"/>
        <v>2.6088309886599332</v>
      </c>
    </row>
    <row r="97" spans="2:10">
      <c r="B97">
        <v>18</v>
      </c>
      <c r="C97">
        <v>9</v>
      </c>
      <c r="D97">
        <f t="shared" si="2"/>
        <v>5</v>
      </c>
      <c r="E97" s="33">
        <f t="shared" si="3"/>
        <v>2.5133246518881847</v>
      </c>
    </row>
    <row r="98" spans="2:10">
      <c r="B98">
        <v>19</v>
      </c>
      <c r="C98">
        <v>9.5</v>
      </c>
      <c r="D98">
        <f t="shared" si="2"/>
        <v>5</v>
      </c>
      <c r="E98" s="33">
        <f t="shared" si="3"/>
        <v>2.3886425030457632</v>
      </c>
    </row>
    <row r="99" spans="2:10">
      <c r="B99">
        <v>20</v>
      </c>
      <c r="C99">
        <v>10</v>
      </c>
      <c r="D99">
        <f>C$73*C$74/2+C73</f>
        <v>105</v>
      </c>
      <c r="E99" s="33">
        <f t="shared" si="3"/>
        <v>47.59317050596821</v>
      </c>
    </row>
    <row r="100" spans="2:10">
      <c r="D100" s="11" t="s">
        <v>261</v>
      </c>
      <c r="E100" s="38">
        <f>SUM(E80:E99)</f>
        <v>115.42063795932489</v>
      </c>
    </row>
    <row r="103" spans="2:10" ht="33.75">
      <c r="B103" s="15" t="s">
        <v>263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  <c r="I106" t="s">
        <v>297</v>
      </c>
    </row>
    <row r="107" spans="2:10">
      <c r="B107">
        <v>1</v>
      </c>
      <c r="C107">
        <v>0.5</v>
      </c>
      <c r="D107" s="33">
        <v>5.2499999999999998E-2</v>
      </c>
      <c r="E107" s="33">
        <f>2*(   (1+D108/2)^B108 / (1+D$107/2) / H107 - 1   )</f>
        <v>5.7503045066991554E-2</v>
      </c>
      <c r="F107" t="str">
        <f>CONCATENATE("[",C107,",",C108,"]")</f>
        <v>[0.5,1]</v>
      </c>
      <c r="H107">
        <v>1</v>
      </c>
      <c r="J107" s="24"/>
    </row>
    <row r="108" spans="2:10">
      <c r="B108">
        <v>2</v>
      </c>
      <c r="C108">
        <v>1</v>
      </c>
      <c r="D108" s="33">
        <v>5.5E-2</v>
      </c>
      <c r="E108" s="33">
        <f>2*(   (1+D109/2)^B109 / (1+D$107/2) / H108 - 1   )</f>
        <v>6.2802136410947451E-2</v>
      </c>
      <c r="F108" t="str">
        <f t="shared" ref="F108:F125" si="4">CONCATENATE("[",C108,",",C109,"]")</f>
        <v>[1,1.5]</v>
      </c>
      <c r="G108">
        <f>1+E107/2</f>
        <v>1.0287515225334958</v>
      </c>
      <c r="H108">
        <f>H107*G108</f>
        <v>1.0287515225334958</v>
      </c>
      <c r="I108">
        <f>PRODUCT(G$108:G108)</f>
        <v>1.0287515225334958</v>
      </c>
      <c r="J108" s="24"/>
    </row>
    <row r="109" spans="2:10">
      <c r="B109">
        <v>3</v>
      </c>
      <c r="C109">
        <v>1.5</v>
      </c>
      <c r="D109" s="33">
        <v>5.7597427721776118E-2</v>
      </c>
      <c r="E109" s="33">
        <f t="shared" ref="E109:E125" si="5">2*(   (1+D110/2)^B110 / (1+D$107/2) / H109 - 1   )</f>
        <v>6.7993976736746564E-2</v>
      </c>
      <c r="F109" t="str">
        <f t="shared" si="4"/>
        <v>[1.5,2]</v>
      </c>
      <c r="G109">
        <f t="shared" ref="G109:G125" si="6">1+E108/2</f>
        <v>1.0314010682054737</v>
      </c>
      <c r="H109">
        <f t="shared" ref="H109:H125" si="7">H108*G109</f>
        <v>1.0610554192590551</v>
      </c>
      <c r="I109">
        <f>PRODUCT(G$108:G109)</f>
        <v>1.0610554192590551</v>
      </c>
      <c r="J109" s="24"/>
    </row>
    <row r="110" spans="2:10">
      <c r="B110">
        <v>4</v>
      </c>
      <c r="C110">
        <v>2</v>
      </c>
      <c r="D110" s="33">
        <v>6.0191654633161562E-2</v>
      </c>
      <c r="E110" s="33">
        <f t="shared" si="5"/>
        <v>7.3378995472472397E-2</v>
      </c>
      <c r="F110" t="str">
        <f t="shared" si="4"/>
        <v>[2,2.5]</v>
      </c>
      <c r="G110">
        <f t="shared" si="6"/>
        <v>1.0339969883683733</v>
      </c>
      <c r="H110">
        <f t="shared" si="7"/>
        <v>1.0971281080058046</v>
      </c>
      <c r="I110">
        <f>PRODUCT(G$108:G110)</f>
        <v>1.0971281080058046</v>
      </c>
      <c r="J110" s="24"/>
    </row>
    <row r="111" spans="2:10">
      <c r="B111">
        <v>5</v>
      </c>
      <c r="C111">
        <v>2.5</v>
      </c>
      <c r="D111" s="33">
        <v>6.2822395619879234E-2</v>
      </c>
      <c r="E111" s="33">
        <f t="shared" si="5"/>
        <v>7.8906842617537887E-2</v>
      </c>
      <c r="F111" t="str">
        <f t="shared" si="4"/>
        <v>[2.5,3]</v>
      </c>
      <c r="G111">
        <f t="shared" si="6"/>
        <v>1.0366894977362362</v>
      </c>
      <c r="H111">
        <f t="shared" si="7"/>
        <v>1.1373811872408448</v>
      </c>
      <c r="I111">
        <f>PRODUCT(G$108:G111)</f>
        <v>1.1373811872408448</v>
      </c>
      <c r="J111" s="24"/>
    </row>
    <row r="112" spans="2:10">
      <c r="B112">
        <v>6</v>
      </c>
      <c r="C112">
        <v>3</v>
      </c>
      <c r="D112" s="33">
        <v>6.5494468664716532E-2</v>
      </c>
      <c r="E112" s="33">
        <f t="shared" si="5"/>
        <v>8.4600859107881732E-2</v>
      </c>
      <c r="F112" t="str">
        <f t="shared" si="4"/>
        <v>[3,3.5]</v>
      </c>
      <c r="G112">
        <f t="shared" si="6"/>
        <v>1.0394534213087689</v>
      </c>
      <c r="H112">
        <f t="shared" si="7"/>
        <v>1.1822547664097256</v>
      </c>
      <c r="I112">
        <f>PRODUCT(G$108:G112)</f>
        <v>1.1822547664097256</v>
      </c>
      <c r="J112" s="24"/>
    </row>
    <row r="113" spans="2:10">
      <c r="B113">
        <v>7</v>
      </c>
      <c r="C113">
        <v>3.5</v>
      </c>
      <c r="D113" s="33">
        <v>6.8213193794184335E-2</v>
      </c>
      <c r="E113" s="33">
        <f t="shared" si="5"/>
        <v>7.2061418392479926E-2</v>
      </c>
      <c r="F113" t="str">
        <f t="shared" si="4"/>
        <v>[3.5,4]</v>
      </c>
      <c r="G113">
        <f t="shared" si="6"/>
        <v>1.0423004295539409</v>
      </c>
      <c r="H113">
        <f t="shared" si="7"/>
        <v>1.2322646508710511</v>
      </c>
      <c r="I113">
        <f>PRODUCT(G$108:G113)</f>
        <v>1.2322646508710511</v>
      </c>
      <c r="J113" s="24"/>
    </row>
    <row r="114" spans="2:10">
      <c r="B114">
        <v>8</v>
      </c>
      <c r="C114">
        <v>4</v>
      </c>
      <c r="D114" s="33">
        <v>6.8693830749960494E-2</v>
      </c>
      <c r="E114" s="33">
        <f t="shared" si="5"/>
        <v>8.9058136412781597E-2</v>
      </c>
      <c r="F114" t="str">
        <f t="shared" si="4"/>
        <v>[4,4.5]</v>
      </c>
      <c r="G114">
        <f t="shared" si="6"/>
        <v>1.03603070919624</v>
      </c>
      <c r="H114">
        <f t="shared" si="7"/>
        <v>1.2766640201593922</v>
      </c>
      <c r="I114">
        <f>PRODUCT(G$108:G114)</f>
        <v>1.2766640201593922</v>
      </c>
      <c r="J114" s="24"/>
    </row>
    <row r="115" spans="2:10">
      <c r="B115">
        <v>9</v>
      </c>
      <c r="C115">
        <v>4.5</v>
      </c>
      <c r="D115" s="33">
        <v>7.0946692697691827E-2</v>
      </c>
      <c r="E115" s="33">
        <f t="shared" si="5"/>
        <v>8.1960552329244596E-2</v>
      </c>
      <c r="F115" t="str">
        <f t="shared" si="4"/>
        <v>[4.5,5]</v>
      </c>
      <c r="G115">
        <f t="shared" si="6"/>
        <v>1.0445290682063908</v>
      </c>
      <c r="H115">
        <f t="shared" si="7"/>
        <v>1.3335126793897147</v>
      </c>
      <c r="I115">
        <f>PRODUCT(G$108:G115)</f>
        <v>1.3335126793897147</v>
      </c>
      <c r="J115" s="24"/>
    </row>
    <row r="116" spans="2:10">
      <c r="B116">
        <v>10</v>
      </c>
      <c r="C116">
        <v>5</v>
      </c>
      <c r="D116" s="33">
        <v>7.2045451642976488E-2</v>
      </c>
      <c r="E116" s="33">
        <f t="shared" si="5"/>
        <v>7.7712647712024907E-2</v>
      </c>
      <c r="F116" t="str">
        <f t="shared" si="4"/>
        <v>[5,5.5]</v>
      </c>
      <c r="G116">
        <f t="shared" si="6"/>
        <v>1.0409802761646223</v>
      </c>
      <c r="H116">
        <f t="shared" si="7"/>
        <v>1.3881603972601306</v>
      </c>
      <c r="I116">
        <f>PRODUCT(G$108:G116)</f>
        <v>1.3881603972601306</v>
      </c>
      <c r="J116" s="24"/>
    </row>
    <row r="117" spans="2:10">
      <c r="B117">
        <v>11</v>
      </c>
      <c r="C117">
        <v>5.5</v>
      </c>
      <c r="D117" s="33">
        <v>7.2560011894222232E-2</v>
      </c>
      <c r="E117" s="33">
        <f t="shared" si="5"/>
        <v>7.8977722526234029E-2</v>
      </c>
      <c r="F117" t="str">
        <f t="shared" si="4"/>
        <v>[5.5,6]</v>
      </c>
      <c r="G117">
        <f t="shared" si="6"/>
        <v>1.0388563238560125</v>
      </c>
      <c r="H117">
        <f t="shared" si="7"/>
        <v>1.4420992072201613</v>
      </c>
      <c r="I117">
        <f>PRODUCT(G$108:G117)</f>
        <v>1.4420992072201613</v>
      </c>
      <c r="J117" s="24"/>
    </row>
    <row r="118" spans="2:10">
      <c r="B118">
        <v>12</v>
      </c>
      <c r="C118">
        <v>6</v>
      </c>
      <c r="D118" s="33">
        <v>7.3094063591545577E-2</v>
      </c>
      <c r="E118" s="33">
        <f t="shared" si="5"/>
        <v>8.861810666490344E-2</v>
      </c>
      <c r="F118" t="str">
        <f t="shared" si="4"/>
        <v>[6,6.5]</v>
      </c>
      <c r="G118">
        <f t="shared" si="6"/>
        <v>1.039488861263117</v>
      </c>
      <c r="H118">
        <f t="shared" si="7"/>
        <v>1.4990460627417292</v>
      </c>
      <c r="I118">
        <f>PRODUCT(G$108:G118)</f>
        <v>1.4990460627417292</v>
      </c>
      <c r="J118" s="24"/>
    </row>
    <row r="119" spans="2:10">
      <c r="B119">
        <v>13</v>
      </c>
      <c r="C119">
        <v>6.5</v>
      </c>
      <c r="D119" s="33">
        <v>7.4284113257554019E-2</v>
      </c>
      <c r="E119" s="33">
        <f t="shared" si="5"/>
        <v>8.2150349148625068E-2</v>
      </c>
      <c r="F119" t="str">
        <f t="shared" si="4"/>
        <v>[6.5,7]</v>
      </c>
      <c r="G119">
        <f t="shared" si="6"/>
        <v>1.0443090533324517</v>
      </c>
      <c r="H119">
        <f t="shared" si="7"/>
        <v>1.5654673746835543</v>
      </c>
      <c r="I119">
        <f>PRODUCT(G$108:G119)</f>
        <v>1.5654673746835543</v>
      </c>
      <c r="J119" s="24"/>
    </row>
    <row r="120" spans="2:10">
      <c r="B120">
        <v>14</v>
      </c>
      <c r="C120">
        <v>7</v>
      </c>
      <c r="D120" s="33">
        <v>7.4845000366334347E-2</v>
      </c>
      <c r="E120" s="33">
        <f t="shared" si="5"/>
        <v>8.3532525033290117E-2</v>
      </c>
      <c r="F120" t="str">
        <f t="shared" si="4"/>
        <v>[7,7.5]</v>
      </c>
      <c r="G120">
        <f t="shared" si="6"/>
        <v>1.0410751745743125</v>
      </c>
      <c r="H120">
        <f t="shared" si="7"/>
        <v>1.6297692203890721</v>
      </c>
      <c r="I120">
        <f>PRODUCT(G$108:G120)</f>
        <v>1.6297692203890721</v>
      </c>
      <c r="J120" s="24"/>
    </row>
    <row r="121" spans="2:10">
      <c r="B121">
        <v>15</v>
      </c>
      <c r="C121">
        <v>7.5</v>
      </c>
      <c r="D121" s="33">
        <v>7.5423040046126655E-2</v>
      </c>
      <c r="E121" s="33">
        <f t="shared" si="5"/>
        <v>9.6028457975126269E-2</v>
      </c>
      <c r="F121" t="str">
        <f t="shared" si="4"/>
        <v>[7.5,8]</v>
      </c>
      <c r="G121">
        <f t="shared" si="6"/>
        <v>1.0417662625166451</v>
      </c>
      <c r="H121">
        <f t="shared" si="7"/>
        <v>1.6978385894893901</v>
      </c>
      <c r="I121">
        <f>PRODUCT(G$108:G121)</f>
        <v>1.6978385894893901</v>
      </c>
      <c r="J121" s="24"/>
    </row>
    <row r="122" spans="2:10">
      <c r="B122">
        <v>16</v>
      </c>
      <c r="C122">
        <v>8</v>
      </c>
      <c r="D122" s="33">
        <v>7.6704923360141564E-2</v>
      </c>
      <c r="E122" s="33">
        <f t="shared" si="5"/>
        <v>9.9120190450034951E-2</v>
      </c>
      <c r="F122" t="str">
        <f t="shared" si="4"/>
        <v>[8,8.5]</v>
      </c>
      <c r="G122">
        <f t="shared" si="6"/>
        <v>1.0480142289875631</v>
      </c>
      <c r="H122">
        <f t="shared" si="7"/>
        <v>1.7793590003090549</v>
      </c>
      <c r="I122">
        <f>PRODUCT(G$108:G122)</f>
        <v>1.7793590003090549</v>
      </c>
      <c r="J122" s="24"/>
    </row>
    <row r="123" spans="2:10">
      <c r="B123">
        <v>17</v>
      </c>
      <c r="C123">
        <v>8.5</v>
      </c>
      <c r="D123" s="33">
        <v>7.8016817506624925E-2</v>
      </c>
      <c r="E123" s="33">
        <f t="shared" si="5"/>
        <v>7.5999999999998291E-2</v>
      </c>
      <c r="F123" t="str">
        <f t="shared" si="4"/>
        <v>[8.5,9]</v>
      </c>
      <c r="G123">
        <f t="shared" si="6"/>
        <v>1.0495600952250175</v>
      </c>
      <c r="H123">
        <f t="shared" si="7"/>
        <v>1.8675442018038635</v>
      </c>
      <c r="I123">
        <f>PRODUCT(G$108:G123)</f>
        <v>1.8675442018038635</v>
      </c>
      <c r="J123" s="24"/>
    </row>
    <row r="124" spans="2:10">
      <c r="B124">
        <v>18</v>
      </c>
      <c r="C124">
        <v>9</v>
      </c>
      <c r="D124" s="33">
        <v>7.7904720705180619E-2</v>
      </c>
      <c r="E124" s="33">
        <f t="shared" si="5"/>
        <v>0.10439582204824616</v>
      </c>
      <c r="F124" t="str">
        <f t="shared" si="4"/>
        <v>[9,9.5]</v>
      </c>
      <c r="G124">
        <f t="shared" si="6"/>
        <v>1.0379999999999991</v>
      </c>
      <c r="H124">
        <f t="shared" si="7"/>
        <v>1.9385108814724088</v>
      </c>
      <c r="I124">
        <f>PRODUCT(G$108:G124)</f>
        <v>1.9385108814724088</v>
      </c>
      <c r="J124" s="24"/>
    </row>
    <row r="125" spans="2:10">
      <c r="B125">
        <v>19</v>
      </c>
      <c r="C125">
        <v>9.5</v>
      </c>
      <c r="D125" s="33">
        <v>7.9290638275567815E-2</v>
      </c>
      <c r="E125" s="33">
        <f t="shared" si="5"/>
        <v>0.10792817669798849</v>
      </c>
      <c r="F125" t="str">
        <f t="shared" si="4"/>
        <v>[9.5,10]</v>
      </c>
      <c r="G125">
        <f t="shared" si="6"/>
        <v>1.0521979110241231</v>
      </c>
      <c r="H125">
        <f t="shared" si="7"/>
        <v>2.0396970999828001</v>
      </c>
      <c r="I125">
        <f>PRODUCT(G$108:G125)</f>
        <v>2.0396970999828001</v>
      </c>
      <c r="J125" s="24"/>
    </row>
    <row r="126" spans="2:10">
      <c r="B126">
        <v>20</v>
      </c>
      <c r="C126">
        <v>10</v>
      </c>
      <c r="D126" s="33">
        <v>8.0713230798289626E-2</v>
      </c>
      <c r="E126" s="33"/>
    </row>
    <row r="130" spans="1:17" ht="33.75">
      <c r="B130" s="15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48"/>
      <c r="Q133" t="s">
        <v>290</v>
      </c>
    </row>
    <row r="134" spans="1:17">
      <c r="B134" t="s">
        <v>291</v>
      </c>
      <c r="C134">
        <f>3/12</f>
        <v>0.25</v>
      </c>
      <c r="D134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48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48"/>
      <c r="D137" s="48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9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9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Jai Choi</cp:lastModifiedBy>
  <dcterms:created xsi:type="dcterms:W3CDTF">2022-09-29T04:08:41Z</dcterms:created>
  <dcterms:modified xsi:type="dcterms:W3CDTF">2024-04-16T13:27:27Z</dcterms:modified>
</cp:coreProperties>
</file>