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VSCodeProjects\KAIST_MFE\BAF504투자분석\hw2\"/>
    </mc:Choice>
  </mc:AlternateContent>
  <xr:revisionPtr revIDLastSave="0" documentId="13_ncr:1_{B355F83D-6E38-4BBF-9294-CB7E3C1E009B}" xr6:coauthVersionLast="47" xr6:coauthVersionMax="47" xr10:uidLastSave="{00000000-0000-0000-0000-000000000000}"/>
  <bookViews>
    <workbookView xWindow="-120" yWindow="-120" windowWidth="29040" windowHeight="15840" activeTab="5" xr2:uid="{4CD03CBC-E5AB-40F1-B310-7E7E33E23AA5}"/>
  </bookViews>
  <sheets>
    <sheet name="wrds_riskfree" sheetId="5" r:id="rId1"/>
    <sheet name="pivot_RETX" sheetId="4" r:id="rId2"/>
    <sheet name="pivot_RET" sheetId="2" r:id="rId3"/>
    <sheet name="portfolio_RET" sheetId="1" r:id="rId4"/>
    <sheet name="portfolio_RET_30%" sheetId="6" r:id="rId5"/>
    <sheet name="portfolio_RET_30%(2)" sheetId="7" r:id="rId6"/>
    <sheet name="historical_VaR_ES" sheetId="8" r:id="rId7"/>
  </sheets>
  <definedNames>
    <definedName name="ExternalData_1" localSheetId="6" hidden="1">historical_VaR_ES!$A$1:$D$61</definedName>
    <definedName name="ExternalData_1" localSheetId="2" hidden="1">pivot_RET!$A$1:$D$61</definedName>
    <definedName name="ExternalData_1" localSheetId="1" hidden="1">pivot_RETX!$A$1:$D$61</definedName>
    <definedName name="ExternalData_1" localSheetId="0" hidden="1">wrds_riskfree!$A$1:$C$61</definedName>
    <definedName name="solver_adj" localSheetId="3" hidden="1">portfolio_RET!$E$71:$G$71</definedName>
    <definedName name="solver_adj" localSheetId="5" hidden="1">'portfolio_RET_30%(2)'!$O$42:$P$42</definedName>
    <definedName name="solver_cvg" localSheetId="3" hidden="1">0.0001</definedName>
    <definedName name="solver_cvg" localSheetId="5" hidden="1">0.0001</definedName>
    <definedName name="solver_drv" localSheetId="3" hidden="1">2</definedName>
    <definedName name="solver_drv" localSheetId="5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st" localSheetId="3" hidden="1">1</definedName>
    <definedName name="solver_est" localSheetId="5" hidden="1">1</definedName>
    <definedName name="solver_itr" localSheetId="3" hidden="1">2147483647</definedName>
    <definedName name="solver_itr" localSheetId="5" hidden="1">2147483647</definedName>
    <definedName name="solver_lhs1" localSheetId="3" hidden="1">portfolio_RET!$E$71</definedName>
    <definedName name="solver_lhs1" localSheetId="5" hidden="1">'portfolio_RET_30%(2)'!$Q$42</definedName>
    <definedName name="solver_lhs2" localSheetId="3" hidden="1">portfolio_RET!$F$71</definedName>
    <definedName name="solver_lhs2" localSheetId="5" hidden="1">'portfolio_RET_30%(2)'!$H$41</definedName>
    <definedName name="solver_lhs3" localSheetId="3" hidden="1">portfolio_RET!$G$71</definedName>
    <definedName name="solver_lhs4" localSheetId="3" hidden="1">portfolio_RET!$H$71</definedName>
    <definedName name="solver_mip" localSheetId="3" hidden="1">2147483647</definedName>
    <definedName name="solver_mip" localSheetId="5" hidden="1">2147483647</definedName>
    <definedName name="solver_mni" localSheetId="3" hidden="1">30</definedName>
    <definedName name="solver_mni" localSheetId="5" hidden="1">30</definedName>
    <definedName name="solver_mrt" localSheetId="3" hidden="1">0.075</definedName>
    <definedName name="solver_mrt" localSheetId="5" hidden="1">0.075</definedName>
    <definedName name="solver_msl" localSheetId="3" hidden="1">2</definedName>
    <definedName name="solver_msl" localSheetId="5" hidden="1">2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od" localSheetId="3" hidden="1">2147483647</definedName>
    <definedName name="solver_nod" localSheetId="5" hidden="1">2147483647</definedName>
    <definedName name="solver_num" localSheetId="3" hidden="1">4</definedName>
    <definedName name="solver_num" localSheetId="4" hidden="1">0</definedName>
    <definedName name="solver_num" localSheetId="5" hidden="1">1</definedName>
    <definedName name="solver_nwt" localSheetId="3" hidden="1">1</definedName>
    <definedName name="solver_nwt" localSheetId="5" hidden="1">1</definedName>
    <definedName name="solver_opt" localSheetId="3" hidden="1">portfolio_RET!$L$71</definedName>
    <definedName name="solver_opt" localSheetId="4" hidden="1">'portfolio_RET_30%'!$O$18</definedName>
    <definedName name="solver_opt" localSheetId="5" hidden="1">'portfolio_RET_30%(2)'!$U$42</definedName>
    <definedName name="solver_pre" localSheetId="3" hidden="1">0.000001</definedName>
    <definedName name="solver_pre" localSheetId="5" hidden="1">0.000001</definedName>
    <definedName name="solver_rbv" localSheetId="3" hidden="1">2</definedName>
    <definedName name="solver_rbv" localSheetId="5" hidden="1">1</definedName>
    <definedName name="solver_rel1" localSheetId="3" hidden="1">3</definedName>
    <definedName name="solver_rel1" localSheetId="5" hidden="1">2</definedName>
    <definedName name="solver_rel2" localSheetId="3" hidden="1">3</definedName>
    <definedName name="solver_rel2" localSheetId="5" hidden="1">2</definedName>
    <definedName name="solver_rel3" localSheetId="3" hidden="1">3</definedName>
    <definedName name="solver_rel4" localSheetId="3" hidden="1">2</definedName>
    <definedName name="solver_rhs1" localSheetId="3" hidden="1">0</definedName>
    <definedName name="solver_rhs1" localSheetId="5" hidden="1">1</definedName>
    <definedName name="solver_rhs2" localSheetId="3" hidden="1">0</definedName>
    <definedName name="solver_rhs2" localSheetId="5" hidden="1">1</definedName>
    <definedName name="solver_rhs3" localSheetId="3" hidden="1">0</definedName>
    <definedName name="solver_rhs4" localSheetId="3" hidden="1">1</definedName>
    <definedName name="solver_rlx" localSheetId="3" hidden="1">2</definedName>
    <definedName name="solver_rlx" localSheetId="5" hidden="1">2</definedName>
    <definedName name="solver_rsd" localSheetId="3" hidden="1">0</definedName>
    <definedName name="solver_rsd" localSheetId="5" hidden="1">0</definedName>
    <definedName name="solver_scl" localSheetId="3" hidden="1">2</definedName>
    <definedName name="solver_scl" localSheetId="5" hidden="1">1</definedName>
    <definedName name="solver_sho" localSheetId="3" hidden="1">2</definedName>
    <definedName name="solver_sho" localSheetId="5" hidden="1">2</definedName>
    <definedName name="solver_ssz" localSheetId="3" hidden="1">100</definedName>
    <definedName name="solver_ssz" localSheetId="5" hidden="1">100</definedName>
    <definedName name="solver_tim" localSheetId="3" hidden="1">2147483647</definedName>
    <definedName name="solver_tim" localSheetId="5" hidden="1">2147483647</definedName>
    <definedName name="solver_tol" localSheetId="3" hidden="1">0.01</definedName>
    <definedName name="solver_tol" localSheetId="5" hidden="1">0.01</definedName>
    <definedName name="solver_typ" localSheetId="3" hidden="1">1</definedName>
    <definedName name="solver_typ" localSheetId="4" hidden="1">1</definedName>
    <definedName name="solver_typ" localSheetId="5" hidden="1">1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er" localSheetId="3" hidden="1">3</definedName>
    <definedName name="solver_ver" localSheetId="4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2" i="7" l="1"/>
  <c r="U43" i="7"/>
  <c r="U41" i="7"/>
  <c r="S42" i="7"/>
  <c r="S43" i="7"/>
  <c r="S41" i="7"/>
  <c r="Q42" i="7"/>
  <c r="Q43" i="7"/>
  <c r="Q41" i="7"/>
  <c r="J8" i="8"/>
  <c r="J6" i="8"/>
  <c r="J5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P25" i="7"/>
  <c r="P26" i="7" s="1"/>
  <c r="I41" i="7"/>
  <c r="M41" i="7" s="1"/>
  <c r="P22" i="7" s="1"/>
  <c r="J41" i="7" a="1"/>
  <c r="J41" i="7" s="1"/>
  <c r="K41" i="7" s="1"/>
  <c r="H41" i="7"/>
  <c r="I71" i="1"/>
  <c r="M71" i="1" s="1"/>
  <c r="J71" i="1" a="1"/>
  <c r="J71" i="1" s="1"/>
  <c r="K71" i="1" s="1"/>
  <c r="H71" i="1"/>
  <c r="E2" i="6" a="1"/>
  <c r="E2" i="6" s="1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2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2" i="6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2" i="1"/>
  <c r="P3" i="4"/>
  <c r="P5" i="4" s="1"/>
  <c r="P2" i="4"/>
  <c r="P4" i="4" s="1"/>
  <c r="P4" i="2"/>
  <c r="P5" i="2"/>
  <c r="P3" i="2"/>
  <c r="P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2" i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2" i="1" a="1"/>
  <c r="J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2" i="1"/>
  <c r="O16" i="4"/>
  <c r="O17" i="4"/>
  <c r="N16" i="4"/>
  <c r="O18" i="4"/>
  <c r="N17" i="4"/>
  <c r="M16" i="4"/>
  <c r="G3" i="4"/>
  <c r="H3" i="4"/>
  <c r="I3" i="4"/>
  <c r="G4" i="4"/>
  <c r="H4" i="4"/>
  <c r="I4" i="4"/>
  <c r="G5" i="4"/>
  <c r="H5" i="4"/>
  <c r="I5" i="4"/>
  <c r="G6" i="4"/>
  <c r="H6" i="4"/>
  <c r="N8" i="4" s="1"/>
  <c r="N12" i="4" s="1"/>
  <c r="I6" i="4"/>
  <c r="O8" i="4" s="1"/>
  <c r="O12" i="4" s="1"/>
  <c r="G7" i="4"/>
  <c r="H7" i="4"/>
  <c r="I7" i="4"/>
  <c r="G8" i="4"/>
  <c r="H8" i="4"/>
  <c r="I8" i="4"/>
  <c r="G9" i="4"/>
  <c r="H9" i="4"/>
  <c r="I9" i="4"/>
  <c r="G10" i="4"/>
  <c r="M8" i="4" s="1"/>
  <c r="M12" i="4" s="1"/>
  <c r="H10" i="4"/>
  <c r="I10" i="4"/>
  <c r="G11" i="4"/>
  <c r="H11" i="4"/>
  <c r="I11" i="4"/>
  <c r="G12" i="4"/>
  <c r="H12" i="4"/>
  <c r="I12" i="4"/>
  <c r="G13" i="4"/>
  <c r="H13" i="4"/>
  <c r="I13" i="4"/>
  <c r="G14" i="4"/>
  <c r="H14" i="4"/>
  <c r="I14" i="4"/>
  <c r="G15" i="4"/>
  <c r="H15" i="4"/>
  <c r="I15" i="4"/>
  <c r="G16" i="4"/>
  <c r="H16" i="4"/>
  <c r="I16" i="4"/>
  <c r="G17" i="4"/>
  <c r="H17" i="4"/>
  <c r="I17" i="4"/>
  <c r="G18" i="4"/>
  <c r="H18" i="4"/>
  <c r="I18" i="4"/>
  <c r="G19" i="4"/>
  <c r="H19" i="4"/>
  <c r="I19" i="4"/>
  <c r="G20" i="4"/>
  <c r="H20" i="4"/>
  <c r="I20" i="4"/>
  <c r="G21" i="4"/>
  <c r="H21" i="4"/>
  <c r="I21" i="4"/>
  <c r="G22" i="4"/>
  <c r="H22" i="4"/>
  <c r="I22" i="4"/>
  <c r="G23" i="4"/>
  <c r="H23" i="4"/>
  <c r="I23" i="4"/>
  <c r="G24" i="4"/>
  <c r="H24" i="4"/>
  <c r="I24" i="4"/>
  <c r="G25" i="4"/>
  <c r="H25" i="4"/>
  <c r="I25" i="4"/>
  <c r="G26" i="4"/>
  <c r="H26" i="4"/>
  <c r="I26" i="4"/>
  <c r="G27" i="4"/>
  <c r="H27" i="4"/>
  <c r="I27" i="4"/>
  <c r="G28" i="4"/>
  <c r="H28" i="4"/>
  <c r="I28" i="4"/>
  <c r="G29" i="4"/>
  <c r="H29" i="4"/>
  <c r="I29" i="4"/>
  <c r="G30" i="4"/>
  <c r="H30" i="4"/>
  <c r="I30" i="4"/>
  <c r="G31" i="4"/>
  <c r="H31" i="4"/>
  <c r="I31" i="4"/>
  <c r="G32" i="4"/>
  <c r="H32" i="4"/>
  <c r="I32" i="4"/>
  <c r="G33" i="4"/>
  <c r="H33" i="4"/>
  <c r="I33" i="4"/>
  <c r="G34" i="4"/>
  <c r="H34" i="4"/>
  <c r="I34" i="4"/>
  <c r="G35" i="4"/>
  <c r="H35" i="4"/>
  <c r="I35" i="4"/>
  <c r="G36" i="4"/>
  <c r="H36" i="4"/>
  <c r="I36" i="4"/>
  <c r="G37" i="4"/>
  <c r="H37" i="4"/>
  <c r="I37" i="4"/>
  <c r="G38" i="4"/>
  <c r="H38" i="4"/>
  <c r="I38" i="4"/>
  <c r="G39" i="4"/>
  <c r="H39" i="4"/>
  <c r="I39" i="4"/>
  <c r="G40" i="4"/>
  <c r="H40" i="4"/>
  <c r="I40" i="4"/>
  <c r="G41" i="4"/>
  <c r="H41" i="4"/>
  <c r="I41" i="4"/>
  <c r="G42" i="4"/>
  <c r="H42" i="4"/>
  <c r="I42" i="4"/>
  <c r="G43" i="4"/>
  <c r="H43" i="4"/>
  <c r="I43" i="4"/>
  <c r="G44" i="4"/>
  <c r="H44" i="4"/>
  <c r="I44" i="4"/>
  <c r="G45" i="4"/>
  <c r="H45" i="4"/>
  <c r="I45" i="4"/>
  <c r="G46" i="4"/>
  <c r="H46" i="4"/>
  <c r="I46" i="4"/>
  <c r="G47" i="4"/>
  <c r="H47" i="4"/>
  <c r="I47" i="4"/>
  <c r="G48" i="4"/>
  <c r="H48" i="4"/>
  <c r="I48" i="4"/>
  <c r="G49" i="4"/>
  <c r="H49" i="4"/>
  <c r="I49" i="4"/>
  <c r="G50" i="4"/>
  <c r="H50" i="4"/>
  <c r="I50" i="4"/>
  <c r="G51" i="4"/>
  <c r="H51" i="4"/>
  <c r="I51" i="4"/>
  <c r="G52" i="4"/>
  <c r="H52" i="4"/>
  <c r="I52" i="4"/>
  <c r="G53" i="4"/>
  <c r="H53" i="4"/>
  <c r="I53" i="4"/>
  <c r="G54" i="4"/>
  <c r="H54" i="4"/>
  <c r="I54" i="4"/>
  <c r="G55" i="4"/>
  <c r="H55" i="4"/>
  <c r="I55" i="4"/>
  <c r="G56" i="4"/>
  <c r="H56" i="4"/>
  <c r="I56" i="4"/>
  <c r="G57" i="4"/>
  <c r="H57" i="4"/>
  <c r="I57" i="4"/>
  <c r="G58" i="4"/>
  <c r="H58" i="4"/>
  <c r="I58" i="4"/>
  <c r="G59" i="4"/>
  <c r="H59" i="4"/>
  <c r="I59" i="4"/>
  <c r="G60" i="4"/>
  <c r="H60" i="4"/>
  <c r="I60" i="4"/>
  <c r="G61" i="4"/>
  <c r="H61" i="4"/>
  <c r="I61" i="4"/>
  <c r="G2" i="4"/>
  <c r="N2" i="4"/>
  <c r="O2" i="4"/>
  <c r="N3" i="4"/>
  <c r="O3" i="4"/>
  <c r="M3" i="4"/>
  <c r="M2" i="4"/>
  <c r="M7" i="4"/>
  <c r="M11" i="4" s="1"/>
  <c r="O5" i="4"/>
  <c r="N5" i="4"/>
  <c r="M5" i="4"/>
  <c r="O4" i="4"/>
  <c r="N4" i="4"/>
  <c r="M4" i="4"/>
  <c r="N13" i="2"/>
  <c r="O13" i="2"/>
  <c r="M13" i="2"/>
  <c r="N11" i="2"/>
  <c r="O11" i="2"/>
  <c r="N12" i="2"/>
  <c r="O12" i="2"/>
  <c r="M12" i="2"/>
  <c r="M11" i="2"/>
  <c r="N9" i="2"/>
  <c r="O9" i="2"/>
  <c r="M9" i="2"/>
  <c r="N8" i="2"/>
  <c r="O8" i="2"/>
  <c r="M8" i="2"/>
  <c r="N7" i="2"/>
  <c r="O7" i="2"/>
  <c r="M7" i="2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5" i="1"/>
  <c r="C14" i="1"/>
  <c r="C13" i="1"/>
  <c r="C3" i="1"/>
  <c r="C4" i="1"/>
  <c r="C5" i="1"/>
  <c r="C6" i="1"/>
  <c r="C7" i="1"/>
  <c r="C8" i="1"/>
  <c r="C9" i="1"/>
  <c r="C10" i="1"/>
  <c r="C11" i="1"/>
  <c r="C12" i="1"/>
  <c r="C2" i="1"/>
  <c r="E2" i="1" s="1" a="1"/>
  <c r="E2" i="1" s="1"/>
  <c r="O17" i="2"/>
  <c r="O16" i="2"/>
  <c r="N16" i="2"/>
  <c r="O18" i="2"/>
  <c r="N17" i="2"/>
  <c r="M16" i="2"/>
  <c r="R41" i="7" l="1"/>
  <c r="R43" i="7"/>
  <c r="R42" i="7"/>
  <c r="E2" i="7" a="1"/>
  <c r="E2" i="7" s="1"/>
  <c r="L41" i="7"/>
  <c r="P23" i="7"/>
  <c r="P29" i="7"/>
  <c r="P28" i="7"/>
  <c r="L71" i="1"/>
  <c r="I67" i="6"/>
  <c r="J60" i="6" a="1"/>
  <c r="J60" i="6" s="1"/>
  <c r="K60" i="6" s="1"/>
  <c r="I55" i="6"/>
  <c r="J48" i="6" a="1"/>
  <c r="J48" i="6" s="1"/>
  <c r="K48" i="6" s="1"/>
  <c r="I43" i="6"/>
  <c r="J36" i="6" a="1"/>
  <c r="J36" i="6" s="1"/>
  <c r="K36" i="6" s="1"/>
  <c r="I31" i="6"/>
  <c r="J24" i="6" a="1"/>
  <c r="J24" i="6" s="1"/>
  <c r="K24" i="6" s="1"/>
  <c r="I19" i="6"/>
  <c r="J12" i="6" a="1"/>
  <c r="J12" i="6" s="1"/>
  <c r="K12" i="6" s="1"/>
  <c r="I7" i="6"/>
  <c r="J66" i="6" a="1"/>
  <c r="J66" i="6" s="1"/>
  <c r="K66" i="6" s="1"/>
  <c r="I37" i="6"/>
  <c r="J16" i="6" a="1"/>
  <c r="J16" i="6" s="1"/>
  <c r="K16" i="6" s="1"/>
  <c r="I52" i="6"/>
  <c r="J33" i="6" a="1"/>
  <c r="J33" i="6" s="1"/>
  <c r="K33" i="6" s="1"/>
  <c r="I33" i="6"/>
  <c r="I21" i="6"/>
  <c r="J65" i="6" a="1"/>
  <c r="J65" i="6" s="1"/>
  <c r="K65" i="6" s="1"/>
  <c r="I60" i="6"/>
  <c r="J53" i="6" a="1"/>
  <c r="J53" i="6" s="1"/>
  <c r="K53" i="6" s="1"/>
  <c r="I48" i="6"/>
  <c r="J41" i="6" a="1"/>
  <c r="J41" i="6" s="1"/>
  <c r="K41" i="6" s="1"/>
  <c r="I36" i="6"/>
  <c r="J29" i="6" a="1"/>
  <c r="J29" i="6" s="1"/>
  <c r="K29" i="6" s="1"/>
  <c r="I24" i="6"/>
  <c r="J17" i="6" a="1"/>
  <c r="J17" i="6" s="1"/>
  <c r="K17" i="6" s="1"/>
  <c r="I12" i="6"/>
  <c r="I65" i="6"/>
  <c r="J58" i="6" a="1"/>
  <c r="J58" i="6" s="1"/>
  <c r="K58" i="6" s="1"/>
  <c r="I53" i="6"/>
  <c r="J46" i="6" a="1"/>
  <c r="J46" i="6" s="1"/>
  <c r="K46" i="6" s="1"/>
  <c r="I41" i="6"/>
  <c r="J34" i="6" a="1"/>
  <c r="J34" i="6" s="1"/>
  <c r="K34" i="6" s="1"/>
  <c r="I29" i="6"/>
  <c r="J22" i="6" a="1"/>
  <c r="J22" i="6" s="1"/>
  <c r="K22" i="6" s="1"/>
  <c r="I17" i="6"/>
  <c r="J10" i="6" a="1"/>
  <c r="J10" i="6" s="1"/>
  <c r="K10" i="6" s="1"/>
  <c r="J37" i="6" a="1"/>
  <c r="J37" i="6" s="1"/>
  <c r="K37" i="6" s="1"/>
  <c r="J13" i="6" a="1"/>
  <c r="J13" i="6" s="1"/>
  <c r="K13" i="6" s="1"/>
  <c r="I49" i="6"/>
  <c r="J18" i="6" a="1"/>
  <c r="J18" i="6" s="1"/>
  <c r="K18" i="6" s="1"/>
  <c r="I30" i="6"/>
  <c r="I11" i="6"/>
  <c r="I64" i="6"/>
  <c r="I16" i="6"/>
  <c r="I45" i="6"/>
  <c r="J63" i="6" a="1"/>
  <c r="J63" i="6" s="1"/>
  <c r="K63" i="6" s="1"/>
  <c r="I58" i="6"/>
  <c r="J51" i="6" a="1"/>
  <c r="J51" i="6" s="1"/>
  <c r="K51" i="6" s="1"/>
  <c r="I46" i="6"/>
  <c r="J39" i="6" a="1"/>
  <c r="J39" i="6" s="1"/>
  <c r="K39" i="6" s="1"/>
  <c r="I34" i="6"/>
  <c r="J27" i="6" a="1"/>
  <c r="J27" i="6" s="1"/>
  <c r="K27" i="6" s="1"/>
  <c r="I22" i="6"/>
  <c r="J15" i="6" a="1"/>
  <c r="J15" i="6" s="1"/>
  <c r="K15" i="6" s="1"/>
  <c r="I10" i="6"/>
  <c r="I18" i="6"/>
  <c r="I6" i="6"/>
  <c r="I59" i="6"/>
  <c r="I23" i="6"/>
  <c r="J26" i="6" a="1"/>
  <c r="J26" i="6" s="1"/>
  <c r="K26" i="6" s="1"/>
  <c r="I63" i="6"/>
  <c r="J56" i="6" a="1"/>
  <c r="J56" i="6" s="1"/>
  <c r="K56" i="6" s="1"/>
  <c r="I51" i="6"/>
  <c r="J44" i="6" a="1"/>
  <c r="J44" i="6" s="1"/>
  <c r="K44" i="6" s="1"/>
  <c r="I39" i="6"/>
  <c r="J32" i="6" a="1"/>
  <c r="J32" i="6" s="1"/>
  <c r="K32" i="6" s="1"/>
  <c r="I27" i="6"/>
  <c r="J20" i="6" a="1"/>
  <c r="J20" i="6" s="1"/>
  <c r="K20" i="6" s="1"/>
  <c r="I15" i="6"/>
  <c r="J8" i="6" a="1"/>
  <c r="J8" i="6" s="1"/>
  <c r="K8" i="6" s="1"/>
  <c r="J61" i="6" a="1"/>
  <c r="J61" i="6" s="1"/>
  <c r="K61" i="6" s="1"/>
  <c r="I56" i="6"/>
  <c r="J49" i="6" a="1"/>
  <c r="J49" i="6" s="1"/>
  <c r="K49" i="6" s="1"/>
  <c r="I32" i="6"/>
  <c r="I8" i="6"/>
  <c r="I61" i="6"/>
  <c r="J42" i="6" a="1"/>
  <c r="J42" i="6" s="1"/>
  <c r="K42" i="6" s="1"/>
  <c r="I25" i="6"/>
  <c r="I13" i="6"/>
  <c r="J40" i="6" a="1"/>
  <c r="J40" i="6" s="1"/>
  <c r="K40" i="6" s="1"/>
  <c r="J9" i="6" a="1"/>
  <c r="J9" i="6" s="1"/>
  <c r="K9" i="6" s="1"/>
  <c r="I57" i="6"/>
  <c r="J38" i="6" a="1"/>
  <c r="J38" i="6" s="1"/>
  <c r="K38" i="6" s="1"/>
  <c r="J14" i="6" a="1"/>
  <c r="J14" i="6" s="1"/>
  <c r="K14" i="6" s="1"/>
  <c r="I66" i="6"/>
  <c r="J59" i="6" a="1"/>
  <c r="J59" i="6" s="1"/>
  <c r="K59" i="6" s="1"/>
  <c r="I54" i="6"/>
  <c r="J47" i="6" a="1"/>
  <c r="J47" i="6" s="1"/>
  <c r="K47" i="6" s="1"/>
  <c r="I42" i="6"/>
  <c r="J35" i="6" a="1"/>
  <c r="J35" i="6" s="1"/>
  <c r="K35" i="6" s="1"/>
  <c r="J23" i="6" a="1"/>
  <c r="J23" i="6" s="1"/>
  <c r="K23" i="6" s="1"/>
  <c r="J11" i="6" a="1"/>
  <c r="J11" i="6" s="1"/>
  <c r="K11" i="6" s="1"/>
  <c r="J28" i="6" a="1"/>
  <c r="J28" i="6" s="1"/>
  <c r="K28" i="6" s="1"/>
  <c r="I28" i="6"/>
  <c r="J21" i="6" a="1"/>
  <c r="J21" i="6" s="1"/>
  <c r="K21" i="6" s="1"/>
  <c r="J64" i="6" a="1"/>
  <c r="J64" i="6" s="1"/>
  <c r="K64" i="6" s="1"/>
  <c r="J52" i="6" a="1"/>
  <c r="J52" i="6" s="1"/>
  <c r="K52" i="6" s="1"/>
  <c r="I47" i="6"/>
  <c r="J57" i="6" a="1"/>
  <c r="J57" i="6" s="1"/>
  <c r="K57" i="6" s="1"/>
  <c r="J62" i="6" a="1"/>
  <c r="J62" i="6" s="1"/>
  <c r="K62" i="6" s="1"/>
  <c r="J67" i="6" a="1"/>
  <c r="J67" i="6" s="1"/>
  <c r="K67" i="6" s="1"/>
  <c r="I62" i="6"/>
  <c r="J55" i="6" a="1"/>
  <c r="J55" i="6" s="1"/>
  <c r="K55" i="6" s="1"/>
  <c r="I50" i="6"/>
  <c r="J43" i="6" a="1"/>
  <c r="J43" i="6" s="1"/>
  <c r="K43" i="6" s="1"/>
  <c r="I38" i="6"/>
  <c r="J31" i="6" a="1"/>
  <c r="J31" i="6" s="1"/>
  <c r="K31" i="6" s="1"/>
  <c r="I26" i="6"/>
  <c r="J19" i="6" a="1"/>
  <c r="J19" i="6" s="1"/>
  <c r="K19" i="6" s="1"/>
  <c r="I14" i="6"/>
  <c r="J7" i="6" a="1"/>
  <c r="J7" i="6" s="1"/>
  <c r="K7" i="6" s="1"/>
  <c r="I44" i="6"/>
  <c r="J25" i="6" a="1"/>
  <c r="J25" i="6" s="1"/>
  <c r="K25" i="6" s="1"/>
  <c r="I20" i="6"/>
  <c r="J54" i="6" a="1"/>
  <c r="J54" i="6" s="1"/>
  <c r="K54" i="6" s="1"/>
  <c r="J30" i="6" a="1"/>
  <c r="J30" i="6" s="1"/>
  <c r="K30" i="6" s="1"/>
  <c r="J6" i="6" a="1"/>
  <c r="J6" i="6" s="1"/>
  <c r="K6" i="6" s="1"/>
  <c r="I35" i="6"/>
  <c r="J45" i="6" a="1"/>
  <c r="J45" i="6" s="1"/>
  <c r="K45" i="6" s="1"/>
  <c r="I40" i="6"/>
  <c r="J50" i="6" a="1"/>
  <c r="J50" i="6" s="1"/>
  <c r="K50" i="6" s="1"/>
  <c r="I9" i="6"/>
  <c r="N7" i="4"/>
  <c r="N11" i="4" s="1"/>
  <c r="N13" i="4" s="1"/>
  <c r="O7" i="4"/>
  <c r="O11" i="4" s="1"/>
  <c r="O13" i="4" s="1"/>
  <c r="M13" i="4"/>
  <c r="N9" i="4"/>
  <c r="O9" i="4"/>
  <c r="M9" i="4"/>
  <c r="I7" i="7" l="1"/>
  <c r="I3" i="7"/>
  <c r="J3" i="7" a="1"/>
  <c r="J3" i="7" s="1"/>
  <c r="K3" i="7" s="1"/>
  <c r="L3" i="7" s="1"/>
  <c r="J8" i="7" a="1"/>
  <c r="J8" i="7" s="1"/>
  <c r="K8" i="7" s="1"/>
  <c r="I35" i="7"/>
  <c r="M35" i="7" s="1"/>
  <c r="J29" i="7" a="1"/>
  <c r="J29" i="7" s="1"/>
  <c r="K29" i="7" s="1"/>
  <c r="I10" i="7"/>
  <c r="M10" i="7" s="1"/>
  <c r="J10" i="7" a="1"/>
  <c r="J10" i="7" s="1"/>
  <c r="K10" i="7" s="1"/>
  <c r="I6" i="7"/>
  <c r="M6" i="7" s="1"/>
  <c r="J6" i="7" a="1"/>
  <c r="J6" i="7" s="1"/>
  <c r="K6" i="7" s="1"/>
  <c r="I9" i="7"/>
  <c r="M9" i="7" s="1"/>
  <c r="I5" i="7"/>
  <c r="M5" i="7" s="1"/>
  <c r="I16" i="7"/>
  <c r="M16" i="7" s="1"/>
  <c r="J16" i="7" a="1"/>
  <c r="J16" i="7" s="1"/>
  <c r="K16" i="7" s="1"/>
  <c r="I12" i="7"/>
  <c r="J12" i="7" a="1"/>
  <c r="J12" i="7" s="1"/>
  <c r="K12" i="7" s="1"/>
  <c r="J9" i="7" a="1"/>
  <c r="J9" i="7" s="1"/>
  <c r="K9" i="7" s="1"/>
  <c r="I8" i="7"/>
  <c r="M8" i="7" s="1"/>
  <c r="I19" i="7"/>
  <c r="M19" i="7" s="1"/>
  <c r="J19" i="7" a="1"/>
  <c r="J19" i="7" s="1"/>
  <c r="K19" i="7" s="1"/>
  <c r="I15" i="7"/>
  <c r="J15" i="7" a="1"/>
  <c r="J15" i="7" s="1"/>
  <c r="K15" i="7" s="1"/>
  <c r="J7" i="7" a="1"/>
  <c r="J7" i="7" s="1"/>
  <c r="K7" i="7" s="1"/>
  <c r="L7" i="7" s="1"/>
  <c r="J26" i="7" a="1"/>
  <c r="J26" i="7" s="1"/>
  <c r="K26" i="7" s="1"/>
  <c r="I11" i="7"/>
  <c r="I22" i="7"/>
  <c r="M22" i="7" s="1"/>
  <c r="J22" i="7" a="1"/>
  <c r="J22" i="7" s="1"/>
  <c r="K22" i="7" s="1"/>
  <c r="I18" i="7"/>
  <c r="M18" i="7" s="1"/>
  <c r="J18" i="7" a="1"/>
  <c r="J18" i="7" s="1"/>
  <c r="K18" i="7" s="1"/>
  <c r="J23" i="7" a="1"/>
  <c r="J23" i="7" s="1"/>
  <c r="K23" i="7" s="1"/>
  <c r="I14" i="7"/>
  <c r="M14" i="7" s="1"/>
  <c r="I25" i="7"/>
  <c r="M25" i="7" s="1"/>
  <c r="J25" i="7" a="1"/>
  <c r="J25" i="7" s="1"/>
  <c r="K25" i="7" s="1"/>
  <c r="I21" i="7"/>
  <c r="M21" i="7" s="1"/>
  <c r="J21" i="7" a="1"/>
  <c r="J21" i="7" s="1"/>
  <c r="K21" i="7" s="1"/>
  <c r="L21" i="7" s="1"/>
  <c r="I17" i="7"/>
  <c r="M17" i="7" s="1"/>
  <c r="I28" i="7"/>
  <c r="J28" i="7" a="1"/>
  <c r="J28" i="7" s="1"/>
  <c r="K28" i="7" s="1"/>
  <c r="L28" i="7" s="1"/>
  <c r="I24" i="7"/>
  <c r="M24" i="7" s="1"/>
  <c r="J24" i="7" a="1"/>
  <c r="J24" i="7" s="1"/>
  <c r="K24" i="7" s="1"/>
  <c r="I20" i="7"/>
  <c r="M20" i="7" s="1"/>
  <c r="I31" i="7"/>
  <c r="J31" i="7" a="1"/>
  <c r="J31" i="7" s="1"/>
  <c r="K31" i="7" s="1"/>
  <c r="I27" i="7"/>
  <c r="M27" i="7" s="1"/>
  <c r="J27" i="7" a="1"/>
  <c r="J27" i="7" s="1"/>
  <c r="K27" i="7" s="1"/>
  <c r="J35" i="7" a="1"/>
  <c r="J35" i="7" s="1"/>
  <c r="K35" i="7" s="1"/>
  <c r="I23" i="7"/>
  <c r="M23" i="7" s="1"/>
  <c r="I34" i="7"/>
  <c r="J14" i="7" a="1"/>
  <c r="J14" i="7" s="1"/>
  <c r="K14" i="7" s="1"/>
  <c r="J34" i="7" a="1"/>
  <c r="J34" i="7" s="1"/>
  <c r="K34" i="7" s="1"/>
  <c r="J11" i="7" a="1"/>
  <c r="J11" i="7" s="1"/>
  <c r="K11" i="7" s="1"/>
  <c r="I30" i="7"/>
  <c r="J30" i="7" a="1"/>
  <c r="J30" i="7" s="1"/>
  <c r="K30" i="7" s="1"/>
  <c r="J13" i="7" a="1"/>
  <c r="J13" i="7" s="1"/>
  <c r="K13" i="7" s="1"/>
  <c r="I26" i="7"/>
  <c r="M26" i="7" s="1"/>
  <c r="I37" i="7"/>
  <c r="J32" i="7" a="1"/>
  <c r="J32" i="7" s="1"/>
  <c r="K32" i="7" s="1"/>
  <c r="J37" i="7" a="1"/>
  <c r="J37" i="7" s="1"/>
  <c r="K37" i="7" s="1"/>
  <c r="I33" i="7"/>
  <c r="M33" i="7" s="1"/>
  <c r="J5" i="7" a="1"/>
  <c r="J5" i="7" s="1"/>
  <c r="K5" i="7" s="1"/>
  <c r="J33" i="7" a="1"/>
  <c r="J33" i="7" s="1"/>
  <c r="K33" i="7" s="1"/>
  <c r="J20" i="7" a="1"/>
  <c r="J20" i="7" s="1"/>
  <c r="K20" i="7" s="1"/>
  <c r="I32" i="7"/>
  <c r="M32" i="7" s="1"/>
  <c r="I13" i="7"/>
  <c r="M13" i="7" s="1"/>
  <c r="I29" i="7"/>
  <c r="I4" i="7"/>
  <c r="M4" i="7" s="1"/>
  <c r="J4" i="7" a="1"/>
  <c r="J4" i="7" s="1"/>
  <c r="K4" i="7" s="1"/>
  <c r="I36" i="7"/>
  <c r="M36" i="7" s="1"/>
  <c r="J17" i="7" a="1"/>
  <c r="J17" i="7" s="1"/>
  <c r="K17" i="7" s="1"/>
  <c r="J36" i="7" a="1"/>
  <c r="J36" i="7" s="1"/>
  <c r="K36" i="7" s="1"/>
  <c r="M7" i="7"/>
  <c r="M3" i="7"/>
  <c r="M12" i="7"/>
  <c r="M15" i="7"/>
  <c r="M28" i="7"/>
  <c r="J2" i="7" a="1"/>
  <c r="J2" i="7" s="1"/>
  <c r="K2" i="7" s="1"/>
  <c r="I2" i="7"/>
  <c r="J5" i="6" a="1"/>
  <c r="J5" i="6" s="1"/>
  <c r="K5" i="6" s="1"/>
  <c r="J4" i="6" a="1"/>
  <c r="J4" i="6" s="1"/>
  <c r="K4" i="6" s="1"/>
  <c r="I5" i="6"/>
  <c r="L5" i="6" s="1"/>
  <c r="I3" i="6"/>
  <c r="M3" i="6" s="1"/>
  <c r="J3" i="6" a="1"/>
  <c r="J3" i="6" s="1"/>
  <c r="K3" i="6" s="1"/>
  <c r="L3" i="6" s="1"/>
  <c r="I4" i="6"/>
  <c r="L4" i="6" s="1"/>
  <c r="M5" i="6"/>
  <c r="M54" i="6"/>
  <c r="L54" i="6"/>
  <c r="M61" i="6"/>
  <c r="L61" i="6"/>
  <c r="L39" i="6"/>
  <c r="M39" i="6"/>
  <c r="M64" i="6"/>
  <c r="L64" i="6"/>
  <c r="J2" i="6" a="1"/>
  <c r="J2" i="6" s="1"/>
  <c r="K2" i="6" s="1"/>
  <c r="I2" i="6"/>
  <c r="M50" i="6"/>
  <c r="L50" i="6"/>
  <c r="M9" i="6"/>
  <c r="L9" i="6"/>
  <c r="M14" i="6"/>
  <c r="L14" i="6"/>
  <c r="M47" i="6"/>
  <c r="L47" i="6"/>
  <c r="M8" i="6"/>
  <c r="L8" i="6"/>
  <c r="L22" i="6"/>
  <c r="M22" i="6"/>
  <c r="M11" i="6"/>
  <c r="L11" i="6"/>
  <c r="L41" i="6"/>
  <c r="M41" i="6"/>
  <c r="L48" i="6"/>
  <c r="M48" i="6"/>
  <c r="M7" i="6"/>
  <c r="L7" i="6"/>
  <c r="M66" i="6"/>
  <c r="L66" i="6"/>
  <c r="M32" i="6"/>
  <c r="L32" i="6"/>
  <c r="L51" i="6"/>
  <c r="M51" i="6"/>
  <c r="M30" i="6"/>
  <c r="L30" i="6"/>
  <c r="L40" i="6"/>
  <c r="M40" i="6"/>
  <c r="M26" i="6"/>
  <c r="L26" i="6"/>
  <c r="M34" i="6"/>
  <c r="L34" i="6"/>
  <c r="M53" i="6"/>
  <c r="L53" i="6"/>
  <c r="M60" i="6"/>
  <c r="L60" i="6"/>
  <c r="M19" i="6"/>
  <c r="L19" i="6"/>
  <c r="M56" i="6"/>
  <c r="L56" i="6"/>
  <c r="L63" i="6"/>
  <c r="M63" i="6"/>
  <c r="M49" i="6"/>
  <c r="L49" i="6"/>
  <c r="M59" i="6"/>
  <c r="L59" i="6"/>
  <c r="M35" i="6"/>
  <c r="L35" i="6"/>
  <c r="L38" i="6"/>
  <c r="M38" i="6"/>
  <c r="L28" i="6"/>
  <c r="M28" i="6"/>
  <c r="L57" i="6"/>
  <c r="M57" i="6"/>
  <c r="M46" i="6"/>
  <c r="L46" i="6"/>
  <c r="M65" i="6"/>
  <c r="L65" i="6"/>
  <c r="L21" i="6"/>
  <c r="M21" i="6"/>
  <c r="L31" i="6"/>
  <c r="M31" i="6"/>
  <c r="M23" i="6"/>
  <c r="L23" i="6"/>
  <c r="M33" i="6"/>
  <c r="L33" i="6"/>
  <c r="M43" i="6"/>
  <c r="L43" i="6"/>
  <c r="L58" i="6"/>
  <c r="M58" i="6"/>
  <c r="L15" i="6"/>
  <c r="M15" i="6"/>
  <c r="M6" i="6"/>
  <c r="L6" i="6"/>
  <c r="M52" i="6"/>
  <c r="L52" i="6"/>
  <c r="M20" i="6"/>
  <c r="L20" i="6"/>
  <c r="M62" i="6"/>
  <c r="L62" i="6"/>
  <c r="M13" i="6"/>
  <c r="L13" i="6"/>
  <c r="M18" i="6"/>
  <c r="L18" i="6"/>
  <c r="M45" i="6"/>
  <c r="L45" i="6"/>
  <c r="M17" i="6"/>
  <c r="L17" i="6"/>
  <c r="M24" i="6"/>
  <c r="L24" i="6"/>
  <c r="L55" i="6"/>
  <c r="M55" i="6"/>
  <c r="M42" i="6"/>
  <c r="L42" i="6"/>
  <c r="M25" i="6"/>
  <c r="L25" i="6"/>
  <c r="L27" i="6"/>
  <c r="M27" i="6"/>
  <c r="M37" i="6"/>
  <c r="L37" i="6"/>
  <c r="M12" i="6"/>
  <c r="L12" i="6"/>
  <c r="M44" i="6"/>
  <c r="L44" i="6"/>
  <c r="M10" i="6"/>
  <c r="L10" i="6"/>
  <c r="L16" i="6"/>
  <c r="M16" i="6"/>
  <c r="M29" i="6"/>
  <c r="L29" i="6"/>
  <c r="M36" i="6"/>
  <c r="L36" i="6"/>
  <c r="M67" i="6"/>
  <c r="L67" i="6"/>
  <c r="L27" i="7" l="1"/>
  <c r="L34" i="7"/>
  <c r="L5" i="7"/>
  <c r="L15" i="7"/>
  <c r="L32" i="7"/>
  <c r="L29" i="7"/>
  <c r="L24" i="7"/>
  <c r="L12" i="7"/>
  <c r="L4" i="7"/>
  <c r="L18" i="7"/>
  <c r="L37" i="7"/>
  <c r="L31" i="7"/>
  <c r="M29" i="7"/>
  <c r="L8" i="7"/>
  <c r="M37" i="7"/>
  <c r="L20" i="7"/>
  <c r="M31" i="7"/>
  <c r="L9" i="7"/>
  <c r="M34" i="7"/>
  <c r="L17" i="7"/>
  <c r="L6" i="7"/>
  <c r="L33" i="7"/>
  <c r="L11" i="7"/>
  <c r="L30" i="7"/>
  <c r="L22" i="7"/>
  <c r="L36" i="7"/>
  <c r="M30" i="7"/>
  <c r="M11" i="7"/>
  <c r="L25" i="7"/>
  <c r="L26" i="7"/>
  <c r="L23" i="7"/>
  <c r="L35" i="7"/>
  <c r="L10" i="7"/>
  <c r="L14" i="7"/>
  <c r="L19" i="7"/>
  <c r="L16" i="7"/>
  <c r="L13" i="7"/>
  <c r="M2" i="7"/>
  <c r="L2" i="7"/>
  <c r="M4" i="6"/>
  <c r="M2" i="6"/>
  <c r="L2" i="6"/>
  <c r="I2" i="4" l="1"/>
  <c r="H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N4" i="2"/>
  <c r="O4" i="2"/>
  <c r="N5" i="2"/>
  <c r="O5" i="2"/>
  <c r="M4" i="2"/>
  <c r="M5" i="2"/>
  <c r="H2" i="2"/>
  <c r="G2" i="2"/>
  <c r="G3" i="2"/>
  <c r="H3" i="2"/>
  <c r="I3" i="2"/>
  <c r="G4" i="2"/>
  <c r="H4" i="2"/>
  <c r="I4" i="2"/>
  <c r="G5" i="2"/>
  <c r="H5" i="2"/>
  <c r="I5" i="2"/>
  <c r="G6" i="2"/>
  <c r="H6" i="2"/>
  <c r="I6" i="2"/>
  <c r="G7" i="2"/>
  <c r="H7" i="2"/>
  <c r="I7" i="2"/>
  <c r="G8" i="2"/>
  <c r="H8" i="2"/>
  <c r="I8" i="2"/>
  <c r="G9" i="2"/>
  <c r="H9" i="2"/>
  <c r="I9" i="2"/>
  <c r="G10" i="2"/>
  <c r="H10" i="2"/>
  <c r="I10" i="2"/>
  <c r="G11" i="2"/>
  <c r="H11" i="2"/>
  <c r="I11" i="2"/>
  <c r="G12" i="2"/>
  <c r="H12" i="2"/>
  <c r="I12" i="2"/>
  <c r="G13" i="2"/>
  <c r="H13" i="2"/>
  <c r="I13" i="2"/>
  <c r="G14" i="2"/>
  <c r="H14" i="2"/>
  <c r="I14" i="2"/>
  <c r="G15" i="2"/>
  <c r="H15" i="2"/>
  <c r="I15" i="2"/>
  <c r="G16" i="2"/>
  <c r="H16" i="2"/>
  <c r="I16" i="2"/>
  <c r="G17" i="2"/>
  <c r="H17" i="2"/>
  <c r="I17" i="2"/>
  <c r="G18" i="2"/>
  <c r="H18" i="2"/>
  <c r="I18" i="2"/>
  <c r="G19" i="2"/>
  <c r="H19" i="2"/>
  <c r="I19" i="2"/>
  <c r="G20" i="2"/>
  <c r="H20" i="2"/>
  <c r="I20" i="2"/>
  <c r="G21" i="2"/>
  <c r="H21" i="2"/>
  <c r="I21" i="2"/>
  <c r="G22" i="2"/>
  <c r="H22" i="2"/>
  <c r="I22" i="2"/>
  <c r="G23" i="2"/>
  <c r="H23" i="2"/>
  <c r="I23" i="2"/>
  <c r="G24" i="2"/>
  <c r="H24" i="2"/>
  <c r="I24" i="2"/>
  <c r="G25" i="2"/>
  <c r="H25" i="2"/>
  <c r="I25" i="2"/>
  <c r="G26" i="2"/>
  <c r="H26" i="2"/>
  <c r="I26" i="2"/>
  <c r="G27" i="2"/>
  <c r="H27" i="2"/>
  <c r="I27" i="2"/>
  <c r="G28" i="2"/>
  <c r="H28" i="2"/>
  <c r="I28" i="2"/>
  <c r="G29" i="2"/>
  <c r="H29" i="2"/>
  <c r="I29" i="2"/>
  <c r="G30" i="2"/>
  <c r="H30" i="2"/>
  <c r="I30" i="2"/>
  <c r="G31" i="2"/>
  <c r="H31" i="2"/>
  <c r="I31" i="2"/>
  <c r="G32" i="2"/>
  <c r="H32" i="2"/>
  <c r="I32" i="2"/>
  <c r="G33" i="2"/>
  <c r="H33" i="2"/>
  <c r="I33" i="2"/>
  <c r="G34" i="2"/>
  <c r="H34" i="2"/>
  <c r="I34" i="2"/>
  <c r="G35" i="2"/>
  <c r="H35" i="2"/>
  <c r="I35" i="2"/>
  <c r="G36" i="2"/>
  <c r="H36" i="2"/>
  <c r="I36" i="2"/>
  <c r="G37" i="2"/>
  <c r="H37" i="2"/>
  <c r="I37" i="2"/>
  <c r="G38" i="2"/>
  <c r="H38" i="2"/>
  <c r="I38" i="2"/>
  <c r="G39" i="2"/>
  <c r="H39" i="2"/>
  <c r="I39" i="2"/>
  <c r="G40" i="2"/>
  <c r="H40" i="2"/>
  <c r="I40" i="2"/>
  <c r="G41" i="2"/>
  <c r="H41" i="2"/>
  <c r="I41" i="2"/>
  <c r="G42" i="2"/>
  <c r="H42" i="2"/>
  <c r="I42" i="2"/>
  <c r="G43" i="2"/>
  <c r="H43" i="2"/>
  <c r="I43" i="2"/>
  <c r="G44" i="2"/>
  <c r="H44" i="2"/>
  <c r="I44" i="2"/>
  <c r="G45" i="2"/>
  <c r="H45" i="2"/>
  <c r="I45" i="2"/>
  <c r="G46" i="2"/>
  <c r="H46" i="2"/>
  <c r="I46" i="2"/>
  <c r="G47" i="2"/>
  <c r="H47" i="2"/>
  <c r="I47" i="2"/>
  <c r="G48" i="2"/>
  <c r="H48" i="2"/>
  <c r="I48" i="2"/>
  <c r="G49" i="2"/>
  <c r="H49" i="2"/>
  <c r="I49" i="2"/>
  <c r="G50" i="2"/>
  <c r="H50" i="2"/>
  <c r="I50" i="2"/>
  <c r="G51" i="2"/>
  <c r="H51" i="2"/>
  <c r="I51" i="2"/>
  <c r="G52" i="2"/>
  <c r="H52" i="2"/>
  <c r="I52" i="2"/>
  <c r="G53" i="2"/>
  <c r="H53" i="2"/>
  <c r="I53" i="2"/>
  <c r="G54" i="2"/>
  <c r="H54" i="2"/>
  <c r="I54" i="2"/>
  <c r="G55" i="2"/>
  <c r="H55" i="2"/>
  <c r="I55" i="2"/>
  <c r="G56" i="2"/>
  <c r="H56" i="2"/>
  <c r="I56" i="2"/>
  <c r="G57" i="2"/>
  <c r="H57" i="2"/>
  <c r="I57" i="2"/>
  <c r="G58" i="2"/>
  <c r="H58" i="2"/>
  <c r="I58" i="2"/>
  <c r="G59" i="2"/>
  <c r="H59" i="2"/>
  <c r="I59" i="2"/>
  <c r="G60" i="2"/>
  <c r="H60" i="2"/>
  <c r="I60" i="2"/>
  <c r="G61" i="2"/>
  <c r="H61" i="2"/>
  <c r="I61" i="2"/>
  <c r="I2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O3" i="2"/>
  <c r="N3" i="2"/>
  <c r="M3" i="2"/>
  <c r="N2" i="2"/>
  <c r="O2" i="2"/>
  <c r="M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Jaepil Choi</author>
  </authors>
  <commentList>
    <comment ref="L15" authorId="0" shapeId="0" xr:uid="{AAC9BA02-246C-4C9C-831F-89E3B43F95EE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pandas와 달리 excel의 data analysis의 covariance는 population var/covar를 쓴다. 그래서 값이 다름.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Jaepil Choi</author>
  </authors>
  <commentList>
    <comment ref="E2" authorId="0" shapeId="0" xr:uid="{7BC11BDC-FFA3-4009-811A-F9B4F1AA6B7A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FILTER function을 통해 모든 weight가 &gt;0인 경우만 남김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Jaepil Choi</author>
  </authors>
  <commentList>
    <comment ref="E2" authorId="0" shapeId="0" xr:uid="{4D4BB501-F84E-494D-9B56-BB05FFF129E6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FILTER function을 통해 모든 weight가 &gt;0인 경우만 남김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Jaepil Choi</author>
  </authors>
  <commentList>
    <comment ref="E2" authorId="0" shapeId="0" xr:uid="{01BABD23-C871-47AF-9CE9-C4BDBD749A1A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FILTER function을 통해 모든 weight가 &gt;0인 경우만 남김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Jaepil Choi</author>
  </authors>
  <commentList>
    <comment ref="J5" authorId="0" shapeId="0" xr:uid="{2C4E9DD0-E7A4-4B15-A87B-A3AF06BD185B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정확히 5%에서 interpolate해서 찾지 않았기 때문에 부정확</t>
        </r>
      </text>
    </comment>
    <comment ref="J8" authorId="0" shapeId="0" xr:uid="{6B6F5B93-A1CA-437F-9E32-5DE60336F155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내 데이터의 경우 5%가 정수로 딱 떨어져서 interpolation할게 없음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40B367-ED53-49C4-8708-792E85179582}" keepAlive="1" name="Query - pivot_RET" description="Connection to the 'pivot_RET' query in the workbook." type="5" refreshedVersion="8" background="1" saveData="1">
    <dbPr connection="Provider=Microsoft.Mashup.OleDb.1;Data Source=$Workbook$;Location=pivot_RET;Extended Properties=&quot;&quot;" command="SELECT * FROM [pivot_RET]"/>
  </connection>
  <connection id="2" xr16:uid="{D1FF934A-5877-4652-9875-C82ADFEBF75E}" keepAlive="1" name="Query - pivot_RET (2)" description="Connection to the 'pivot_RET (2)' query in the workbook." type="5" refreshedVersion="8" background="1" saveData="1">
    <dbPr connection="Provider=Microsoft.Mashup.OleDb.1;Data Source=$Workbook$;Location=&quot;pivot_RET (2)&quot;;Extended Properties=&quot;&quot;" command="SELECT * FROM [pivot_RET (2)]"/>
  </connection>
  <connection id="3" xr16:uid="{5EDD2E5B-8878-41E8-8987-3AF22AD63523}" keepAlive="1" name="Query - pivot_RETX" description="Connection to the 'pivot_RETX' query in the workbook." type="5" refreshedVersion="8" background="1" saveData="1">
    <dbPr connection="Provider=Microsoft.Mashup.OleDb.1;Data Source=$Workbook$;Location=pivot_RETX;Extended Properties=&quot;&quot;" command="SELECT * FROM [pivot_RETX]"/>
  </connection>
  <connection id="4" xr16:uid="{15DD64B1-6730-4BF6-B4BD-B3CCB670E74A}" keepAlive="1" name="Query - wrds_riskfree" description="Connection to the 'wrds_riskfree' query in the workbook." type="5" refreshedVersion="8" background="1" saveData="1">
    <dbPr connection="Provider=Microsoft.Mashup.OleDb.1;Data Source=$Workbook$;Location=wrds_riskfree;Extended Properties=&quot;&quot;" command="SELECT * FROM [wrds_riskfre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<sst xmlns="http://schemas.openxmlformats.org/spreadsheetml/2006/main" count="196" uniqueCount="57">
  <si>
    <t>date</t>
  </si>
  <si>
    <t>MSFT</t>
  </si>
  <si>
    <t>KO</t>
  </si>
  <si>
    <t>GOOG</t>
  </si>
  <si>
    <t>AVG(M)</t>
  </si>
  <si>
    <t>SD(M)</t>
  </si>
  <si>
    <t>AVG(Ann)</t>
  </si>
  <si>
    <t>SD(Ann)</t>
  </si>
  <si>
    <t>Sharpe(Ann)</t>
  </si>
  <si>
    <t>TTERMLBL</t>
  </si>
  <si>
    <t>MCALDT</t>
  </si>
  <si>
    <t>TMYTM</t>
  </si>
  <si>
    <t>CRSP Risk Free Rates - 1-Month (Nominal)</t>
  </si>
  <si>
    <t>RiskFree</t>
  </si>
  <si>
    <t>excess_MSFT</t>
  </si>
  <si>
    <t>excess_KO</t>
  </si>
  <si>
    <t>excess_GOOG</t>
  </si>
  <si>
    <t>MSFT_w</t>
  </si>
  <si>
    <t>KO_w</t>
  </si>
  <si>
    <t>GOOG_w</t>
  </si>
  <si>
    <t>_MSFT_w</t>
  </si>
  <si>
    <t>_KO_w</t>
  </si>
  <si>
    <t>_GOOG_w</t>
  </si>
  <si>
    <t>AVG_excess(M)</t>
  </si>
  <si>
    <t>SD_excess(M)</t>
  </si>
  <si>
    <t>var-cov matrix</t>
  </si>
  <si>
    <t>excess_return</t>
  </si>
  <si>
    <t>variance</t>
  </si>
  <si>
    <t>sd</t>
  </si>
  <si>
    <t>sharpe</t>
  </si>
  <si>
    <t>E[R]</t>
  </si>
  <si>
    <t>AVG_excess(Ann)</t>
  </si>
  <si>
    <t>SD_excess(Ann)</t>
  </si>
  <si>
    <t>Sharpe(M)</t>
  </si>
  <si>
    <t>min_w</t>
  </si>
  <si>
    <t>KO&gt;30% ?</t>
  </si>
  <si>
    <t>Opt E[R]</t>
  </si>
  <si>
    <t>Opt sd</t>
  </si>
  <si>
    <t>5% VaR</t>
  </si>
  <si>
    <t>Optimal Portfolio using Solver</t>
  </si>
  <si>
    <t>weight_sum</t>
  </si>
  <si>
    <t>Conf.level</t>
  </si>
  <si>
    <t>5% ES</t>
  </si>
  <si>
    <t>critical value</t>
  </si>
  <si>
    <t>alpha</t>
  </si>
  <si>
    <t>Optimal Portfolio Weights</t>
  </si>
  <si>
    <t>Port_return</t>
  </si>
  <si>
    <t>Tail</t>
  </si>
  <si>
    <t>historical VaR</t>
  </si>
  <si>
    <t>historical ES</t>
  </si>
  <si>
    <t>5% # of observations</t>
  </si>
  <si>
    <t>risky_w</t>
  </si>
  <si>
    <t>riskfree_w</t>
  </si>
  <si>
    <t>2fund_return</t>
  </si>
  <si>
    <t>utility</t>
  </si>
  <si>
    <t>A</t>
  </si>
  <si>
    <t>2fund_variance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</si>
</sst>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83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164" fontId="0" fillId="0" borderId="1" xfId="0" applyNumberFormat="1" applyBorder="1"/>
    <xf numFmtId="10" fontId="0" fillId="0" borderId="1" xfId="1" applyNumberFormat="1" applyFont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NumberFormat="1" applyBorder="1"/>
    <xf numFmtId="183" fontId="0" fillId="0" borderId="0" xfId="1" applyNumberFormat="1" applyFont="1"/>
    <xf numFmtId="0" fontId="0" fillId="0" borderId="0" xfId="0" applyBorder="1"/>
    <xf numFmtId="0" fontId="0" fillId="0" borderId="0" xfId="0" applyFill="1" applyBorder="1"/>
    <xf numFmtId="183" fontId="0" fillId="0" borderId="0" xfId="1" applyNumberFormat="1" applyFont="1" applyFill="1" applyBorder="1"/>
    <xf numFmtId="0" fontId="0" fillId="0" borderId="0" xfId="0" applyFill="1"/>
    <xf numFmtId="0" fontId="0" fillId="3" borderId="0" xfId="0" applyFill="1"/>
    <xf numFmtId="0" fontId="0" fillId="3" borderId="1" xfId="0" applyFill="1" applyBorder="1"/>
  </cellXfs>
  <cellStyles count="2">
    <cellStyle name="Normal" xfId="0" builtinId="0"/>
    <cellStyle name="Percent" xfId="1" builtinId="5"/>
  </cellStyles>
  <dxfs count="11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0" formatCode="General"/>
    </dxf>
    <dxf>
      <numFmt numFmtId="19" formatCode="yyyy/mm/dd"/>
    </dxf>
    <dxf>
      <numFmt numFmtId="0" formatCode="General"/>
    </dxf>
    <dxf>
      <numFmt numFmtId="19" formatCode="yyyy/mm/dd"/>
    </dxf>
    <dxf>
      <numFmt numFmtId="19" formatCode="yyyy/mm/dd"/>
    </dxf>
    <dxf>
      <numFmt numFmtId="19" formatCode="yyyy/mm/d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Opportunity</a:t>
            </a:r>
            <a:r>
              <a:rPr lang="en-US" baseline="0"/>
              <a:t> Set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Long-only Portfolios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portfolio_RET!$K$2:$K$67</c:f>
              <c:numCache>
                <c:formatCode>0.0000</c:formatCode>
                <c:ptCount val="66"/>
                <c:pt idx="0">
                  <c:v>7.7321304407954095E-2</c:v>
                </c:pt>
                <c:pt idx="1">
                  <c:v>7.15256446854797E-2</c:v>
                </c:pt>
                <c:pt idx="2">
                  <c:v>6.6129726585382589E-2</c:v>
                </c:pt>
                <c:pt idx="3">
                  <c:v>6.123930753282078E-2</c:v>
                </c:pt>
                <c:pt idx="4">
                  <c:v>5.6984682101414962E-2</c:v>
                </c:pt>
                <c:pt idx="5">
                  <c:v>5.3517701366531265E-2</c:v>
                </c:pt>
                <c:pt idx="6">
                  <c:v>5.0999253751139347E-2</c:v>
                </c:pt>
                <c:pt idx="7">
                  <c:v>4.9574111843248954E-2</c:v>
                </c:pt>
                <c:pt idx="8">
                  <c:v>4.9337109817852005E-2</c:v>
                </c:pt>
                <c:pt idx="9">
                  <c:v>5.0305043520193882E-2</c:v>
                </c:pt>
                <c:pt idx="10">
                  <c:v>5.2411196897384334E-2</c:v>
                </c:pt>
                <c:pt idx="11">
                  <c:v>7.3985193339716357E-2</c:v>
                </c:pt>
                <c:pt idx="12">
                  <c:v>6.8270216081553689E-2</c:v>
                </c:pt>
                <c:pt idx="13">
                  <c:v>6.2989881190448599E-2</c:v>
                </c:pt>
                <c:pt idx="14">
                  <c:v>5.8262483805701329E-2</c:v>
                </c:pt>
                <c:pt idx="15">
                  <c:v>5.4232813538395409E-2</c:v>
                </c:pt>
                <c:pt idx="16">
                  <c:v>5.1066312453799695E-2</c:v>
                </c:pt>
                <c:pt idx="17">
                  <c:v>4.8930845376161332E-2</c:v>
                </c:pt>
                <c:pt idx="18">
                  <c:v>4.7964321626397445E-2</c:v>
                </c:pt>
                <c:pt idx="19">
                  <c:v>4.8237058649892452E-2</c:v>
                </c:pt>
                <c:pt idx="20">
                  <c:v>4.972867043832771E-2</c:v>
                </c:pt>
                <c:pt idx="21">
                  <c:v>7.0967287237736057E-2</c:v>
                </c:pt>
                <c:pt idx="22">
                  <c:v>6.5368564816515526E-2</c:v>
                </c:pt>
                <c:pt idx="23">
                  <c:v>6.024642589163795E-2</c:v>
                </c:pt>
                <c:pt idx="24">
                  <c:v>5.5732428239941546E-2</c:v>
                </c:pt>
                <c:pt idx="25">
                  <c:v>5.1985232908796537E-2</c:v>
                </c:pt>
                <c:pt idx="26">
                  <c:v>4.9180427833655421E-2</c:v>
                </c:pt>
                <c:pt idx="27">
                  <c:v>4.7485299635560203E-2</c:v>
                </c:pt>
                <c:pt idx="28">
                  <c:v>4.7020017432094344E-2</c:v>
                </c:pt>
                <c:pt idx="29">
                  <c:v>4.7820493048566066E-2</c:v>
                </c:pt>
                <c:pt idx="30">
                  <c:v>6.8309773740306556E-2</c:v>
                </c:pt>
                <c:pt idx="31">
                  <c:v>6.2869694088013212E-2</c:v>
                </c:pt>
                <c:pt idx="32">
                  <c:v>5.7955679956729261E-2</c:v>
                </c:pt>
                <c:pt idx="33">
                  <c:v>5.3712311456790562E-2</c:v>
                </c:pt>
                <c:pt idx="34">
                  <c:v>5.0309572877074771E-2</c:v>
                </c:pt>
                <c:pt idx="35">
                  <c:v>4.7926850536772155E-2</c:v>
                </c:pt>
                <c:pt idx="36">
                  <c:v>4.672046703461423E-2</c:v>
                </c:pt>
                <c:pt idx="37">
                  <c:v>4.6781515962491325E-2</c:v>
                </c:pt>
                <c:pt idx="38">
                  <c:v>6.6056164172776738E-2</c:v>
                </c:pt>
                <c:pt idx="39">
                  <c:v>6.0823267829590973E-2</c:v>
                </c:pt>
                <c:pt idx="40">
                  <c:v>5.6173055391152228E-2</c:v>
                </c:pt>
                <c:pt idx="41">
                  <c:v>5.2261300718052676E-2</c:v>
                </c:pt>
                <c:pt idx="42">
                  <c:v>4.9264227506031079E-2</c:v>
                </c:pt>
                <c:pt idx="43">
                  <c:v>4.7355821490575184E-2</c:v>
                </c:pt>
                <c:pt idx="44">
                  <c:v>4.6669826489782816E-2</c:v>
                </c:pt>
                <c:pt idx="45">
                  <c:v>6.4248974841550649E-2</c:v>
                </c:pt>
                <c:pt idx="46">
                  <c:v>5.9276164606191957E-2</c:v>
                </c:pt>
                <c:pt idx="47">
                  <c:v>5.4948027907364409E-2</c:v>
                </c:pt>
                <c:pt idx="48">
                  <c:v>5.1427589965451506E-2</c:v>
                </c:pt>
                <c:pt idx="49">
                  <c:v>4.8889645188513048E-2</c:v>
                </c:pt>
                <c:pt idx="50">
                  <c:v>4.7491967341022671E-2</c:v>
                </c:pt>
                <c:pt idx="51">
                  <c:v>6.2926679694387186E-2</c:v>
                </c:pt>
                <c:pt idx="52">
                  <c:v>5.8268171222125978E-2</c:v>
                </c:pt>
                <c:pt idx="53">
                  <c:v>5.4318336646476541E-2</c:v>
                </c:pt>
                <c:pt idx="54">
                  <c:v>5.1241318999093885E-2</c:v>
                </c:pt>
                <c:pt idx="55">
                  <c:v>4.9201148439358834E-2</c:v>
                </c:pt>
                <c:pt idx="56">
                  <c:v>6.2120250906851693E-2</c:v>
                </c:pt>
                <c:pt idx="57">
                  <c:v>5.7827486292610288E-2</c:v>
                </c:pt>
                <c:pt idx="58">
                  <c:v>5.4304695260832009E-2</c:v>
                </c:pt>
                <c:pt idx="59">
                  <c:v>5.1709485030114237E-2</c:v>
                </c:pt>
                <c:pt idx="60">
                  <c:v>6.1849870123556722E-2</c:v>
                </c:pt>
                <c:pt idx="61">
                  <c:v>5.7967049868640798E-2</c:v>
                </c:pt>
                <c:pt idx="62">
                  <c:v>5.4907562911716661E-2</c:v>
                </c:pt>
                <c:pt idx="63">
                  <c:v>6.2122536989983559E-2</c:v>
                </c:pt>
                <c:pt idx="64">
                  <c:v>5.8682722126920495E-2</c:v>
                </c:pt>
                <c:pt idx="65">
                  <c:v>6.2931193187824863E-2</c:v>
                </c:pt>
              </c:numCache>
            </c:numRef>
          </c:xVal>
          <c:yVal>
            <c:numRef>
              <c:f>portfolio_RET!$M$2:$M$67</c:f>
              <c:numCache>
                <c:formatCode>0.00%</c:formatCode>
                <c:ptCount val="66"/>
                <c:pt idx="0">
                  <c:v>1.9821050000000003E-2</c:v>
                </c:pt>
                <c:pt idx="1">
                  <c:v>1.8607913333333337E-2</c:v>
                </c:pt>
                <c:pt idx="2">
                  <c:v>1.739477666666667E-2</c:v>
                </c:pt>
                <c:pt idx="3">
                  <c:v>1.6181640000000001E-2</c:v>
                </c:pt>
                <c:pt idx="4">
                  <c:v>1.4968503333333334E-2</c:v>
                </c:pt>
                <c:pt idx="5">
                  <c:v>1.3755366666666668E-2</c:v>
                </c:pt>
                <c:pt idx="6">
                  <c:v>1.2542230000000001E-2</c:v>
                </c:pt>
                <c:pt idx="7">
                  <c:v>1.1329093333333335E-2</c:v>
                </c:pt>
                <c:pt idx="8">
                  <c:v>1.0115956666666667E-2</c:v>
                </c:pt>
                <c:pt idx="9">
                  <c:v>8.9028200000000005E-3</c:v>
                </c:pt>
                <c:pt idx="10">
                  <c:v>7.6896833333333333E-3</c:v>
                </c:pt>
                <c:pt idx="11">
                  <c:v>2.0326375000000004E-2</c:v>
                </c:pt>
                <c:pt idx="12">
                  <c:v>1.9113238333333338E-2</c:v>
                </c:pt>
                <c:pt idx="13">
                  <c:v>1.7900101666666668E-2</c:v>
                </c:pt>
                <c:pt idx="14">
                  <c:v>1.6686965000000005E-2</c:v>
                </c:pt>
                <c:pt idx="15">
                  <c:v>1.5473828333333335E-2</c:v>
                </c:pt>
                <c:pt idx="16">
                  <c:v>1.4260691666666669E-2</c:v>
                </c:pt>
                <c:pt idx="17">
                  <c:v>1.3047555000000002E-2</c:v>
                </c:pt>
                <c:pt idx="18">
                  <c:v>1.1834418333333336E-2</c:v>
                </c:pt>
                <c:pt idx="19">
                  <c:v>1.0621281666666668E-2</c:v>
                </c:pt>
                <c:pt idx="20">
                  <c:v>9.4081450000000014E-3</c:v>
                </c:pt>
                <c:pt idx="21">
                  <c:v>2.0831700000000005E-2</c:v>
                </c:pt>
                <c:pt idx="22">
                  <c:v>1.9618563333333339E-2</c:v>
                </c:pt>
                <c:pt idx="23">
                  <c:v>1.8405426666666672E-2</c:v>
                </c:pt>
                <c:pt idx="24">
                  <c:v>1.7192290000000006E-2</c:v>
                </c:pt>
                <c:pt idx="25">
                  <c:v>1.5979153333333336E-2</c:v>
                </c:pt>
                <c:pt idx="26">
                  <c:v>1.476601666666667E-2</c:v>
                </c:pt>
                <c:pt idx="27">
                  <c:v>1.3552880000000003E-2</c:v>
                </c:pt>
                <c:pt idx="28">
                  <c:v>1.2339743333333337E-2</c:v>
                </c:pt>
                <c:pt idx="29">
                  <c:v>1.1126606666666669E-2</c:v>
                </c:pt>
                <c:pt idx="30">
                  <c:v>2.1337025000000003E-2</c:v>
                </c:pt>
                <c:pt idx="31">
                  <c:v>2.0123888333333336E-2</c:v>
                </c:pt>
                <c:pt idx="32">
                  <c:v>1.891075166666667E-2</c:v>
                </c:pt>
                <c:pt idx="33">
                  <c:v>1.7697615000000003E-2</c:v>
                </c:pt>
                <c:pt idx="34">
                  <c:v>1.6484478333333333E-2</c:v>
                </c:pt>
                <c:pt idx="35">
                  <c:v>1.5271341666666669E-2</c:v>
                </c:pt>
                <c:pt idx="36">
                  <c:v>1.4058205000000001E-2</c:v>
                </c:pt>
                <c:pt idx="37">
                  <c:v>1.2845068333333334E-2</c:v>
                </c:pt>
                <c:pt idx="38">
                  <c:v>2.1842350000000003E-2</c:v>
                </c:pt>
                <c:pt idx="39">
                  <c:v>2.0629213333333341E-2</c:v>
                </c:pt>
                <c:pt idx="40">
                  <c:v>1.9416076666666671E-2</c:v>
                </c:pt>
                <c:pt idx="41">
                  <c:v>1.8202940000000004E-2</c:v>
                </c:pt>
                <c:pt idx="42">
                  <c:v>1.6989803333333338E-2</c:v>
                </c:pt>
                <c:pt idx="43">
                  <c:v>1.5776666666666668E-2</c:v>
                </c:pt>
                <c:pt idx="44">
                  <c:v>1.4563530000000005E-2</c:v>
                </c:pt>
                <c:pt idx="45">
                  <c:v>2.2347675000000004E-2</c:v>
                </c:pt>
                <c:pt idx="46">
                  <c:v>2.1134538333333338E-2</c:v>
                </c:pt>
                <c:pt idx="47">
                  <c:v>1.9921401666666672E-2</c:v>
                </c:pt>
                <c:pt idx="48">
                  <c:v>1.8708265000000005E-2</c:v>
                </c:pt>
                <c:pt idx="49">
                  <c:v>1.7495128333333339E-2</c:v>
                </c:pt>
                <c:pt idx="50">
                  <c:v>1.6281991666666669E-2</c:v>
                </c:pt>
                <c:pt idx="51">
                  <c:v>2.2853000000000005E-2</c:v>
                </c:pt>
                <c:pt idx="52">
                  <c:v>2.1639863333333339E-2</c:v>
                </c:pt>
                <c:pt idx="53">
                  <c:v>2.0426726666666672E-2</c:v>
                </c:pt>
                <c:pt idx="54">
                  <c:v>1.9213590000000003E-2</c:v>
                </c:pt>
                <c:pt idx="55">
                  <c:v>1.800045333333334E-2</c:v>
                </c:pt>
                <c:pt idx="56">
                  <c:v>2.3358325000000006E-2</c:v>
                </c:pt>
                <c:pt idx="57">
                  <c:v>2.214518833333334E-2</c:v>
                </c:pt>
                <c:pt idx="58">
                  <c:v>2.0932051666666673E-2</c:v>
                </c:pt>
                <c:pt idx="59">
                  <c:v>1.9718915000000004E-2</c:v>
                </c:pt>
                <c:pt idx="60">
                  <c:v>2.3863650000000007E-2</c:v>
                </c:pt>
                <c:pt idx="61">
                  <c:v>2.2650513333333341E-2</c:v>
                </c:pt>
                <c:pt idx="62">
                  <c:v>2.1437376666666674E-2</c:v>
                </c:pt>
                <c:pt idx="63">
                  <c:v>2.4368975000000008E-2</c:v>
                </c:pt>
                <c:pt idx="64">
                  <c:v>2.3155838333333342E-2</c:v>
                </c:pt>
                <c:pt idx="65">
                  <c:v>2.4874300000000009E-2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8C-4A0C-B47F-7DB9F35F9987}"/>
            </c:ext>
          </c:extLst>
        </c:ser>
        <c:ser>
          <c:idx val="0"/>
          <c:order val="1"/>
          <c:tx>
            <c:v>Risk-free Rate (Monthly)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B8C-4A0C-B47F-7DB9F35F99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Ref>
              <c:f>pivot_RET!$P$2</c:f>
              <c:numCache>
                <c:formatCode>General</c:formatCode>
                <c:ptCount val="1"/>
                <c:pt idx="0">
                  <c:v>1.5270852946406563E-3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B8C-4A0C-B47F-7DB9F35F9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921792"/>
        <c:axId val="1232926592"/>
      </c:scatterChart>
      <c:valAx>
        <c:axId val="123292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926592"/>
        <c:crosses val="autoZero"/>
        <c:crossBetween val="midCat"/>
      </c:valAx>
      <c:valAx>
        <c:axId val="12329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E[R]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92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Opportunity</a:t>
            </a:r>
            <a:r>
              <a:rPr lang="en-US" baseline="0"/>
              <a:t> Set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Long-only Portfolios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'portfolio_RET_30%'!$K$2:$K$67</c:f>
              <c:numCache>
                <c:formatCode>0.0000</c:formatCode>
                <c:ptCount val="66"/>
                <c:pt idx="0">
                  <c:v>7.7321304407954095E-2</c:v>
                </c:pt>
                <c:pt idx="1">
                  <c:v>7.15256446854797E-2</c:v>
                </c:pt>
                <c:pt idx="2">
                  <c:v>6.6129726585382589E-2</c:v>
                </c:pt>
                <c:pt idx="3">
                  <c:v>6.123930753282078E-2</c:v>
                </c:pt>
                <c:pt idx="4">
                  <c:v>5.6984682101414962E-2</c:v>
                </c:pt>
                <c:pt idx="5">
                  <c:v>5.3517701366531265E-2</c:v>
                </c:pt>
                <c:pt idx="6">
                  <c:v>5.0999253751139347E-2</c:v>
                </c:pt>
                <c:pt idx="7">
                  <c:v>4.9574111843248954E-2</c:v>
                </c:pt>
                <c:pt idx="8">
                  <c:v>4.9337109817852005E-2</c:v>
                </c:pt>
                <c:pt idx="9">
                  <c:v>5.0305043520193882E-2</c:v>
                </c:pt>
                <c:pt idx="10">
                  <c:v>5.2411196897384334E-2</c:v>
                </c:pt>
                <c:pt idx="11">
                  <c:v>7.3985193339716357E-2</c:v>
                </c:pt>
                <c:pt idx="12">
                  <c:v>6.8270216081553689E-2</c:v>
                </c:pt>
                <c:pt idx="13">
                  <c:v>6.2989881190448599E-2</c:v>
                </c:pt>
                <c:pt idx="14">
                  <c:v>5.8262483805701329E-2</c:v>
                </c:pt>
                <c:pt idx="15">
                  <c:v>5.4232813538395409E-2</c:v>
                </c:pt>
                <c:pt idx="16">
                  <c:v>5.1066312453799695E-2</c:v>
                </c:pt>
                <c:pt idx="17">
                  <c:v>4.8930845376161332E-2</c:v>
                </c:pt>
                <c:pt idx="18">
                  <c:v>4.7964321626397445E-2</c:v>
                </c:pt>
                <c:pt idx="19">
                  <c:v>4.8237058649892452E-2</c:v>
                </c:pt>
                <c:pt idx="20">
                  <c:v>4.972867043832771E-2</c:v>
                </c:pt>
                <c:pt idx="21">
                  <c:v>7.0967287237736057E-2</c:v>
                </c:pt>
                <c:pt idx="22">
                  <c:v>6.5368564816515526E-2</c:v>
                </c:pt>
                <c:pt idx="23">
                  <c:v>6.024642589163795E-2</c:v>
                </c:pt>
                <c:pt idx="24">
                  <c:v>5.5732428239941546E-2</c:v>
                </c:pt>
                <c:pt idx="25">
                  <c:v>5.1985232908796537E-2</c:v>
                </c:pt>
                <c:pt idx="26">
                  <c:v>4.9180427833655421E-2</c:v>
                </c:pt>
                <c:pt idx="27">
                  <c:v>4.7485299635560203E-2</c:v>
                </c:pt>
                <c:pt idx="28">
                  <c:v>4.7020017432094344E-2</c:v>
                </c:pt>
                <c:pt idx="29">
                  <c:v>4.7820493048566066E-2</c:v>
                </c:pt>
                <c:pt idx="30">
                  <c:v>6.8309773740306556E-2</c:v>
                </c:pt>
                <c:pt idx="31">
                  <c:v>6.2869694088013212E-2</c:v>
                </c:pt>
                <c:pt idx="32">
                  <c:v>5.7955679956729261E-2</c:v>
                </c:pt>
                <c:pt idx="33">
                  <c:v>5.3712311456790562E-2</c:v>
                </c:pt>
                <c:pt idx="34">
                  <c:v>5.0309572877074771E-2</c:v>
                </c:pt>
                <c:pt idx="35">
                  <c:v>4.7926850536772155E-2</c:v>
                </c:pt>
                <c:pt idx="36">
                  <c:v>4.672046703461423E-2</c:v>
                </c:pt>
                <c:pt idx="37">
                  <c:v>4.6781515962491325E-2</c:v>
                </c:pt>
                <c:pt idx="38">
                  <c:v>6.6056164172776738E-2</c:v>
                </c:pt>
                <c:pt idx="39">
                  <c:v>6.0823267829590973E-2</c:v>
                </c:pt>
                <c:pt idx="40">
                  <c:v>5.6173055391152228E-2</c:v>
                </c:pt>
                <c:pt idx="41">
                  <c:v>5.2261300718052676E-2</c:v>
                </c:pt>
                <c:pt idx="42">
                  <c:v>4.9264227506031079E-2</c:v>
                </c:pt>
                <c:pt idx="43">
                  <c:v>4.7355821490575184E-2</c:v>
                </c:pt>
                <c:pt idx="44">
                  <c:v>4.6669826489782816E-2</c:v>
                </c:pt>
                <c:pt idx="45">
                  <c:v>6.4248974841550649E-2</c:v>
                </c:pt>
                <c:pt idx="46">
                  <c:v>5.9276164606191957E-2</c:v>
                </c:pt>
                <c:pt idx="47">
                  <c:v>5.4948027907364409E-2</c:v>
                </c:pt>
                <c:pt idx="48">
                  <c:v>5.1427589965451506E-2</c:v>
                </c:pt>
                <c:pt idx="49">
                  <c:v>4.8889645188513048E-2</c:v>
                </c:pt>
                <c:pt idx="50">
                  <c:v>4.7491967341022671E-2</c:v>
                </c:pt>
                <c:pt idx="51">
                  <c:v>6.2926679694387186E-2</c:v>
                </c:pt>
                <c:pt idx="52">
                  <c:v>5.8268171222125978E-2</c:v>
                </c:pt>
                <c:pt idx="53">
                  <c:v>5.4318336646476541E-2</c:v>
                </c:pt>
                <c:pt idx="54">
                  <c:v>5.1241318999093885E-2</c:v>
                </c:pt>
                <c:pt idx="55">
                  <c:v>4.9201148439358834E-2</c:v>
                </c:pt>
                <c:pt idx="56">
                  <c:v>6.2120250906851693E-2</c:v>
                </c:pt>
                <c:pt idx="57">
                  <c:v>5.7827486292610288E-2</c:v>
                </c:pt>
                <c:pt idx="58">
                  <c:v>5.4304695260832009E-2</c:v>
                </c:pt>
                <c:pt idx="59">
                  <c:v>5.1709485030114237E-2</c:v>
                </c:pt>
                <c:pt idx="60">
                  <c:v>6.1849870123556722E-2</c:v>
                </c:pt>
                <c:pt idx="61">
                  <c:v>5.7967049868640798E-2</c:v>
                </c:pt>
                <c:pt idx="62">
                  <c:v>5.4907562911716661E-2</c:v>
                </c:pt>
                <c:pt idx="63">
                  <c:v>6.2122536989983559E-2</c:v>
                </c:pt>
                <c:pt idx="64">
                  <c:v>5.8682722126920495E-2</c:v>
                </c:pt>
                <c:pt idx="65">
                  <c:v>6.2931193187824863E-2</c:v>
                </c:pt>
              </c:numCache>
            </c:numRef>
          </c:xVal>
          <c:yVal>
            <c:numRef>
              <c:f>'portfolio_RET_30%'!$M$2:$M$67</c:f>
              <c:numCache>
                <c:formatCode>0.00%</c:formatCode>
                <c:ptCount val="66"/>
                <c:pt idx="0">
                  <c:v>1.9821050000000003E-2</c:v>
                </c:pt>
                <c:pt idx="1">
                  <c:v>1.8607913333333337E-2</c:v>
                </c:pt>
                <c:pt idx="2">
                  <c:v>1.739477666666667E-2</c:v>
                </c:pt>
                <c:pt idx="3">
                  <c:v>1.6181640000000001E-2</c:v>
                </c:pt>
                <c:pt idx="4">
                  <c:v>1.4968503333333334E-2</c:v>
                </c:pt>
                <c:pt idx="5">
                  <c:v>1.3755366666666668E-2</c:v>
                </c:pt>
                <c:pt idx="6">
                  <c:v>1.2542230000000001E-2</c:v>
                </c:pt>
                <c:pt idx="7">
                  <c:v>1.1329093333333335E-2</c:v>
                </c:pt>
                <c:pt idx="8">
                  <c:v>1.0115956666666667E-2</c:v>
                </c:pt>
                <c:pt idx="9">
                  <c:v>8.9028200000000005E-3</c:v>
                </c:pt>
                <c:pt idx="10">
                  <c:v>7.6896833333333333E-3</c:v>
                </c:pt>
                <c:pt idx="11">
                  <c:v>2.0326375000000004E-2</c:v>
                </c:pt>
                <c:pt idx="12">
                  <c:v>1.9113238333333338E-2</c:v>
                </c:pt>
                <c:pt idx="13">
                  <c:v>1.7900101666666668E-2</c:v>
                </c:pt>
                <c:pt idx="14">
                  <c:v>1.6686965000000005E-2</c:v>
                </c:pt>
                <c:pt idx="15">
                  <c:v>1.5473828333333335E-2</c:v>
                </c:pt>
                <c:pt idx="16">
                  <c:v>1.4260691666666669E-2</c:v>
                </c:pt>
                <c:pt idx="17">
                  <c:v>1.3047555000000002E-2</c:v>
                </c:pt>
                <c:pt idx="18">
                  <c:v>1.1834418333333336E-2</c:v>
                </c:pt>
                <c:pt idx="19">
                  <c:v>1.0621281666666668E-2</c:v>
                </c:pt>
                <c:pt idx="20">
                  <c:v>9.4081450000000014E-3</c:v>
                </c:pt>
                <c:pt idx="21">
                  <c:v>2.0831700000000005E-2</c:v>
                </c:pt>
                <c:pt idx="22">
                  <c:v>1.9618563333333339E-2</c:v>
                </c:pt>
                <c:pt idx="23">
                  <c:v>1.8405426666666672E-2</c:v>
                </c:pt>
                <c:pt idx="24">
                  <c:v>1.7192290000000006E-2</c:v>
                </c:pt>
                <c:pt idx="25">
                  <c:v>1.5979153333333336E-2</c:v>
                </c:pt>
                <c:pt idx="26">
                  <c:v>1.476601666666667E-2</c:v>
                </c:pt>
                <c:pt idx="27">
                  <c:v>1.3552880000000003E-2</c:v>
                </c:pt>
                <c:pt idx="28">
                  <c:v>1.2339743333333337E-2</c:v>
                </c:pt>
                <c:pt idx="29">
                  <c:v>1.1126606666666669E-2</c:v>
                </c:pt>
                <c:pt idx="30">
                  <c:v>2.1337025000000003E-2</c:v>
                </c:pt>
                <c:pt idx="31">
                  <c:v>2.0123888333333336E-2</c:v>
                </c:pt>
                <c:pt idx="32">
                  <c:v>1.891075166666667E-2</c:v>
                </c:pt>
                <c:pt idx="33">
                  <c:v>1.7697615000000003E-2</c:v>
                </c:pt>
                <c:pt idx="34">
                  <c:v>1.6484478333333333E-2</c:v>
                </c:pt>
                <c:pt idx="35">
                  <c:v>1.5271341666666669E-2</c:v>
                </c:pt>
                <c:pt idx="36">
                  <c:v>1.4058205000000001E-2</c:v>
                </c:pt>
                <c:pt idx="37">
                  <c:v>1.2845068333333334E-2</c:v>
                </c:pt>
                <c:pt idx="38">
                  <c:v>2.1842350000000003E-2</c:v>
                </c:pt>
                <c:pt idx="39">
                  <c:v>2.0629213333333341E-2</c:v>
                </c:pt>
                <c:pt idx="40">
                  <c:v>1.9416076666666671E-2</c:v>
                </c:pt>
                <c:pt idx="41">
                  <c:v>1.8202940000000004E-2</c:v>
                </c:pt>
                <c:pt idx="42">
                  <c:v>1.6989803333333338E-2</c:v>
                </c:pt>
                <c:pt idx="43">
                  <c:v>1.5776666666666668E-2</c:v>
                </c:pt>
                <c:pt idx="44">
                  <c:v>1.4563530000000005E-2</c:v>
                </c:pt>
                <c:pt idx="45">
                  <c:v>2.2347675000000004E-2</c:v>
                </c:pt>
                <c:pt idx="46">
                  <c:v>2.1134538333333338E-2</c:v>
                </c:pt>
                <c:pt idx="47">
                  <c:v>1.9921401666666672E-2</c:v>
                </c:pt>
                <c:pt idx="48">
                  <c:v>1.8708265000000005E-2</c:v>
                </c:pt>
                <c:pt idx="49">
                  <c:v>1.7495128333333339E-2</c:v>
                </c:pt>
                <c:pt idx="50">
                  <c:v>1.6281991666666669E-2</c:v>
                </c:pt>
                <c:pt idx="51">
                  <c:v>2.2853000000000005E-2</c:v>
                </c:pt>
                <c:pt idx="52">
                  <c:v>2.1639863333333339E-2</c:v>
                </c:pt>
                <c:pt idx="53">
                  <c:v>2.0426726666666672E-2</c:v>
                </c:pt>
                <c:pt idx="54">
                  <c:v>1.9213590000000003E-2</c:v>
                </c:pt>
                <c:pt idx="55">
                  <c:v>1.800045333333334E-2</c:v>
                </c:pt>
                <c:pt idx="56">
                  <c:v>2.3358325000000006E-2</c:v>
                </c:pt>
                <c:pt idx="57">
                  <c:v>2.214518833333334E-2</c:v>
                </c:pt>
                <c:pt idx="58">
                  <c:v>2.0932051666666673E-2</c:v>
                </c:pt>
                <c:pt idx="59">
                  <c:v>1.9718915000000004E-2</c:v>
                </c:pt>
                <c:pt idx="60">
                  <c:v>2.3863650000000007E-2</c:v>
                </c:pt>
                <c:pt idx="61">
                  <c:v>2.2650513333333341E-2</c:v>
                </c:pt>
                <c:pt idx="62">
                  <c:v>2.1437376666666674E-2</c:v>
                </c:pt>
                <c:pt idx="63">
                  <c:v>2.4368975000000008E-2</c:v>
                </c:pt>
                <c:pt idx="64">
                  <c:v>2.3155838333333342E-2</c:v>
                </c:pt>
                <c:pt idx="65">
                  <c:v>2.4874300000000009E-2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86-4215-B4A8-1E99FCC0EACE}"/>
            </c:ext>
          </c:extLst>
        </c:ser>
        <c:ser>
          <c:idx val="0"/>
          <c:order val="1"/>
          <c:tx>
            <c:v>Risk-free Rate (Monthly)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F86-4215-B4A8-1E99FCC0EA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Ref>
              <c:f>pivot_RET!$P$2</c:f>
              <c:numCache>
                <c:formatCode>General</c:formatCode>
                <c:ptCount val="1"/>
                <c:pt idx="0">
                  <c:v>1.5270852946406563E-3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86-4215-B4A8-1E99FCC0E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921792"/>
        <c:axId val="1232926592"/>
      </c:scatterChart>
      <c:valAx>
        <c:axId val="123292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926592"/>
        <c:crosses val="autoZero"/>
        <c:crossBetween val="midCat"/>
      </c:valAx>
      <c:valAx>
        <c:axId val="12329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E[R]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92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Opportunity</a:t>
            </a:r>
            <a:r>
              <a:rPr lang="en-US" baseline="0"/>
              <a:t> Set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Long-only Portfolios with KO&gt;=30%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'portfolio_RET_30%(2)'!$K$2:$K$37</c:f>
              <c:numCache>
                <c:formatCode>0.0000</c:formatCode>
                <c:ptCount val="36"/>
                <c:pt idx="0">
                  <c:v>6.123930753282078E-2</c:v>
                </c:pt>
                <c:pt idx="1">
                  <c:v>5.6984682101414962E-2</c:v>
                </c:pt>
                <c:pt idx="2">
                  <c:v>5.3517701366531265E-2</c:v>
                </c:pt>
                <c:pt idx="3">
                  <c:v>5.0999253751139347E-2</c:v>
                </c:pt>
                <c:pt idx="4">
                  <c:v>4.9574111843248954E-2</c:v>
                </c:pt>
                <c:pt idx="5">
                  <c:v>4.9337109817852005E-2</c:v>
                </c:pt>
                <c:pt idx="6">
                  <c:v>5.0305043520193882E-2</c:v>
                </c:pt>
                <c:pt idx="7">
                  <c:v>5.2411196897384334E-2</c:v>
                </c:pt>
                <c:pt idx="8">
                  <c:v>5.8262483805701329E-2</c:v>
                </c:pt>
                <c:pt idx="9">
                  <c:v>5.4232813538395409E-2</c:v>
                </c:pt>
                <c:pt idx="10">
                  <c:v>5.1066312453799695E-2</c:v>
                </c:pt>
                <c:pt idx="11">
                  <c:v>4.8930845376161332E-2</c:v>
                </c:pt>
                <c:pt idx="12">
                  <c:v>4.7964321626397445E-2</c:v>
                </c:pt>
                <c:pt idx="13">
                  <c:v>4.8237058649892452E-2</c:v>
                </c:pt>
                <c:pt idx="14">
                  <c:v>4.972867043832771E-2</c:v>
                </c:pt>
                <c:pt idx="15">
                  <c:v>5.5732428239941546E-2</c:v>
                </c:pt>
                <c:pt idx="16">
                  <c:v>5.1985232908796537E-2</c:v>
                </c:pt>
                <c:pt idx="17">
                  <c:v>4.9180427833655421E-2</c:v>
                </c:pt>
                <c:pt idx="18">
                  <c:v>4.7485299635560203E-2</c:v>
                </c:pt>
                <c:pt idx="19">
                  <c:v>4.7020017432094344E-2</c:v>
                </c:pt>
                <c:pt idx="20">
                  <c:v>4.7820493048566066E-2</c:v>
                </c:pt>
                <c:pt idx="21">
                  <c:v>5.3712311456790562E-2</c:v>
                </c:pt>
                <c:pt idx="22">
                  <c:v>5.0309572877074771E-2</c:v>
                </c:pt>
                <c:pt idx="23">
                  <c:v>4.7926850536772155E-2</c:v>
                </c:pt>
                <c:pt idx="24">
                  <c:v>4.672046703461423E-2</c:v>
                </c:pt>
                <c:pt idx="25">
                  <c:v>4.6781515962491325E-2</c:v>
                </c:pt>
                <c:pt idx="26">
                  <c:v>5.2261300718052676E-2</c:v>
                </c:pt>
                <c:pt idx="27">
                  <c:v>4.9264227506031079E-2</c:v>
                </c:pt>
                <c:pt idx="28">
                  <c:v>4.7355821490575184E-2</c:v>
                </c:pt>
                <c:pt idx="29">
                  <c:v>4.6669826489782816E-2</c:v>
                </c:pt>
                <c:pt idx="30">
                  <c:v>5.1427589965451506E-2</c:v>
                </c:pt>
                <c:pt idx="31">
                  <c:v>4.8889645188513048E-2</c:v>
                </c:pt>
                <c:pt idx="32">
                  <c:v>4.7491967341022671E-2</c:v>
                </c:pt>
                <c:pt idx="33">
                  <c:v>5.1241318999093885E-2</c:v>
                </c:pt>
                <c:pt idx="34">
                  <c:v>4.9201148439358834E-2</c:v>
                </c:pt>
                <c:pt idx="35">
                  <c:v>5.1709485030114237E-2</c:v>
                </c:pt>
              </c:numCache>
            </c:numRef>
          </c:xVal>
          <c:yVal>
            <c:numRef>
              <c:f>'portfolio_RET_30%(2)'!$M$2:$M$37</c:f>
              <c:numCache>
                <c:formatCode>0.00%</c:formatCode>
                <c:ptCount val="36"/>
                <c:pt idx="0">
                  <c:v>1.6181640000000001E-2</c:v>
                </c:pt>
                <c:pt idx="1">
                  <c:v>1.4968503333333334E-2</c:v>
                </c:pt>
                <c:pt idx="2">
                  <c:v>1.3755366666666668E-2</c:v>
                </c:pt>
                <c:pt idx="3">
                  <c:v>1.2542230000000001E-2</c:v>
                </c:pt>
                <c:pt idx="4">
                  <c:v>1.1329093333333335E-2</c:v>
                </c:pt>
                <c:pt idx="5">
                  <c:v>1.0115956666666667E-2</c:v>
                </c:pt>
                <c:pt idx="6">
                  <c:v>8.9028200000000005E-3</c:v>
                </c:pt>
                <c:pt idx="7">
                  <c:v>7.6896833333333333E-3</c:v>
                </c:pt>
                <c:pt idx="8">
                  <c:v>1.6686965000000005E-2</c:v>
                </c:pt>
                <c:pt idx="9">
                  <c:v>1.5473828333333335E-2</c:v>
                </c:pt>
                <c:pt idx="10">
                  <c:v>1.4260691666666669E-2</c:v>
                </c:pt>
                <c:pt idx="11">
                  <c:v>1.3047555000000002E-2</c:v>
                </c:pt>
                <c:pt idx="12">
                  <c:v>1.1834418333333336E-2</c:v>
                </c:pt>
                <c:pt idx="13">
                  <c:v>1.0621281666666668E-2</c:v>
                </c:pt>
                <c:pt idx="14">
                  <c:v>9.4081450000000014E-3</c:v>
                </c:pt>
                <c:pt idx="15">
                  <c:v>1.7192290000000006E-2</c:v>
                </c:pt>
                <c:pt idx="16">
                  <c:v>1.5979153333333336E-2</c:v>
                </c:pt>
                <c:pt idx="17">
                  <c:v>1.476601666666667E-2</c:v>
                </c:pt>
                <c:pt idx="18">
                  <c:v>1.3552880000000003E-2</c:v>
                </c:pt>
                <c:pt idx="19">
                  <c:v>1.2339743333333337E-2</c:v>
                </c:pt>
                <c:pt idx="20">
                  <c:v>1.1126606666666669E-2</c:v>
                </c:pt>
                <c:pt idx="21">
                  <c:v>1.7697615000000003E-2</c:v>
                </c:pt>
                <c:pt idx="22">
                  <c:v>1.6484478333333333E-2</c:v>
                </c:pt>
                <c:pt idx="23">
                  <c:v>1.5271341666666669E-2</c:v>
                </c:pt>
                <c:pt idx="24">
                  <c:v>1.4058205000000001E-2</c:v>
                </c:pt>
                <c:pt idx="25">
                  <c:v>1.2845068333333334E-2</c:v>
                </c:pt>
                <c:pt idx="26">
                  <c:v>1.8202940000000004E-2</c:v>
                </c:pt>
                <c:pt idx="27">
                  <c:v>1.6989803333333338E-2</c:v>
                </c:pt>
                <c:pt idx="28">
                  <c:v>1.5776666666666668E-2</c:v>
                </c:pt>
                <c:pt idx="29">
                  <c:v>1.4563530000000005E-2</c:v>
                </c:pt>
                <c:pt idx="30">
                  <c:v>1.8708265000000005E-2</c:v>
                </c:pt>
                <c:pt idx="31">
                  <c:v>1.7495128333333339E-2</c:v>
                </c:pt>
                <c:pt idx="32">
                  <c:v>1.6281991666666669E-2</c:v>
                </c:pt>
                <c:pt idx="33">
                  <c:v>1.9213590000000003E-2</c:v>
                </c:pt>
                <c:pt idx="34">
                  <c:v>1.800045333333334E-2</c:v>
                </c:pt>
                <c:pt idx="35">
                  <c:v>1.9718915000000004E-2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2E-4199-A3A8-0C1026B1F7B7}"/>
            </c:ext>
          </c:extLst>
        </c:ser>
        <c:ser>
          <c:idx val="0"/>
          <c:order val="1"/>
          <c:tx>
            <c:v>Risk-free Rate (Monthly)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22E-4199-A3A8-0C1026B1F7B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Ref>
              <c:f>pivot_RET!$P$2</c:f>
              <c:numCache>
                <c:formatCode>General</c:formatCode>
                <c:ptCount val="1"/>
                <c:pt idx="0">
                  <c:v>1.5270852946406563E-3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2E-4199-A3A8-0C1026B1F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921792"/>
        <c:axId val="1232926592"/>
      </c:scatterChart>
      <c:valAx>
        <c:axId val="123292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926592"/>
        <c:crosses val="autoZero"/>
        <c:crossBetween val="midCat"/>
      </c:valAx>
      <c:valAx>
        <c:axId val="12329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E[R]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92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38099</xdr:colOff>
      <xdr:row>0</xdr:row>
      <xdr:rowOff>42862</xdr:rowOff>
    </xdr:from>
    <xdr:to>
      <xdr:col>22</xdr:col>
      <xdr:colOff>428625</xdr:colOff>
      <xdr:row>19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24B5B7-BC46-5774-ABB5-63555EB87C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0.14215</cdr:x>
      <cdr:y>0.23907</cdr:y>
    </cdr:from>
    <cdr:to>
      <cdr:x>0.70009</cdr:x>
      <cdr:y>0.73079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68B69FF1-E1C2-9BDC-D12F-B01AFF368BFC}"/>
            </a:ext>
          </a:extLst>
        </cdr:cNvPr>
        <cdr:cNvCxnSpPr/>
      </cdr:nvCxnSpPr>
      <cdr:spPr>
        <a:xfrm xmlns:a="http://schemas.openxmlformats.org/drawingml/2006/main" flipH="1">
          <a:off x="747714" y="859632"/>
          <a:ext cx="2934890" cy="176807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2">
          <a:schemeClr val="accent6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38099</xdr:colOff>
      <xdr:row>0</xdr:row>
      <xdr:rowOff>42862</xdr:rowOff>
    </xdr:from>
    <xdr:to>
      <xdr:col>22</xdr:col>
      <xdr:colOff>428625</xdr:colOff>
      <xdr:row>19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1B873B-DBCD-4ABB-999C-E522377947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0.14215</cdr:x>
      <cdr:y>0.23907</cdr:y>
    </cdr:from>
    <cdr:to>
      <cdr:x>0.70009</cdr:x>
      <cdr:y>0.73079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68B69FF1-E1C2-9BDC-D12F-B01AFF368BFC}"/>
            </a:ext>
          </a:extLst>
        </cdr:cNvPr>
        <cdr:cNvCxnSpPr/>
      </cdr:nvCxnSpPr>
      <cdr:spPr>
        <a:xfrm xmlns:a="http://schemas.openxmlformats.org/drawingml/2006/main" flipH="1">
          <a:off x="747714" y="859632"/>
          <a:ext cx="2934890" cy="176807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2">
          <a:schemeClr val="accent6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29694</xdr:colOff>
      <xdr:row>1</xdr:row>
      <xdr:rowOff>17088</xdr:rowOff>
    </xdr:from>
    <xdr:to>
      <xdr:col>21</xdr:col>
      <xdr:colOff>48746</xdr:colOff>
      <xdr:row>19</xdr:row>
      <xdr:rowOff>183776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E74693-CC3E-4B83-BF43-9B1705F29B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0.14215</cdr:x>
      <cdr:y>0.27041</cdr:y>
    </cdr:from>
    <cdr:to>
      <cdr:x>0.73247</cdr:x>
      <cdr:y>0.73079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68B69FF1-E1C2-9BDC-D12F-B01AFF368BFC}"/>
            </a:ext>
          </a:extLst>
        </cdr:cNvPr>
        <cdr:cNvCxnSpPr/>
      </cdr:nvCxnSpPr>
      <cdr:spPr>
        <a:xfrm xmlns:a="http://schemas.openxmlformats.org/drawingml/2006/main" flipH="1">
          <a:off x="745196" y="972321"/>
          <a:ext cx="3094641" cy="165537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2">
          <a:schemeClr val="accent6"/>
        </a:effectRef>
        <a:fontRef xmlns:a="http://schemas.openxmlformats.org/drawingml/2006/main" idx="minor">
          <a:schemeClr val="tx1"/>
        </a:fontRef>
      </cdr:style>
    </cdr:cxnSp>
  </cdr:rel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403F9FF-2619-4838-BF1A-FED1D46F244D}" autoFormatId="16" applyNumberFormats="0" applyBorderFormats="0" applyFontFormats="0" applyPatternFormats="0" applyAlignmentFormats="0" applyWidthHeightFormats="0">
  <queryTableRefresh nextId="4">
    <queryTableFields count="3">
      <queryTableField id="1" name="TTERMLBL" tableColumnId="1"/>
      <queryTableField id="2" name="MCALDT" tableColumnId="2"/>
      <queryTableField id="3" name="TMYTM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376E687-4519-4173-AD25-B836E2DDE511}" autoFormatId="16" applyNumberFormats="0" applyBorderFormats="0" applyFontFormats="0" applyPatternFormats="0" applyAlignmentFormats="0" applyWidthHeightFormats="0">
  <queryTableRefresh nextId="7" unboundColumnsRight="1">
    <queryTableFields count="5">
      <queryTableField id="1" name="date" tableColumnId="1"/>
      <queryTableField id="2" name="MSFT" tableColumnId="2"/>
      <queryTableField id="3" name="KO" tableColumnId="3"/>
      <queryTableField id="4" name="GOOG" tableColumnId="4"/>
      <queryTableField id="6" dataBound="0" tableColumnId="6"/>
    </queryTableFields>
    <queryTableDeletedFields count="1">
      <deletedField name="GOOGL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75A4C4-CB97-4EEA-A61E-2E492D8567C7}" autoFormatId="16" applyNumberFormats="0" applyBorderFormats="0" applyFontFormats="0" applyPatternFormats="0" applyAlignmentFormats="0" applyWidthHeightFormats="0">
  <queryTableRefresh nextId="12" unboundColumnsRight="1">
    <queryTableFields count="5">
      <queryTableField id="2" name="date" tableColumnId="2"/>
      <queryTableField id="7" name="MSFT" tableColumnId="7"/>
      <queryTableField id="8" name="KO" tableColumnId="8"/>
      <queryTableField id="9" name="GOOG" tableColumnId="9"/>
      <queryTableField id="11" dataBound="0" tableColumnId="11"/>
    </queryTableFields>
    <queryTableDeletedFields count="1">
      <deletedField name="GOOGL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5F7888E-C0FC-48CE-B2F4-376B2AE21E03}" autoFormatId="16" applyNumberFormats="0" applyBorderFormats="0" applyFontFormats="0" applyPatternFormats="0" applyAlignmentFormats="0" applyWidthHeightFormats="0">
  <queryTableRefresh nextId="12" unboundColumnsRight="1">
    <queryTableFields count="5">
      <queryTableField id="2" name="date" tableColumnId="2"/>
      <queryTableField id="7" name="MSFT" tableColumnId="7"/>
      <queryTableField id="8" name="KO" tableColumnId="8"/>
      <queryTableField id="9" name="GOOG" tableColumnId="9"/>
      <queryTableField id="11" dataBound="0" tableColumnId="11"/>
    </queryTableFields>
    <queryTableDeletedFields count="1">
      <deletedField name="GOOG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664224-2A8D-44C9-A878-8E0CBBA7D795}" name="wrds_riskfree" displayName="wrds_riskfree" ref="A1:C61" tableType="queryTable" totalsRowShown="0">
  <autoFilter ref="A1:C61" xr:uid="{0C664224-2A8D-44C9-A878-8E0CBBA7D795}"/>
  <tableColumns count="3">
    <tableColumn id="1" xr3:uid="{96573461-C43D-468B-A4A4-EA2689FB0EE7}" uniqueName="1" name="TTERMLBL" queryTableFieldId="1" dataDxfId="10"/>
    <tableColumn id="2" xr3:uid="{B05F2283-FF72-4414-86AD-E321BEDF63A6}" uniqueName="2" name="MCALDT" queryTableFieldId="2" dataDxfId="9"/>
    <tableColumn id="3" xr3:uid="{3D4DFA41-5C30-4995-97A6-57C6E41B76A4}" uniqueName="3" name="TMYTM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2AA4B4-4740-4EB5-B51B-B4FF3CD927E8}" name="pivot_RETX" displayName="pivot_RETX" ref="A1:E61" tableType="queryTable" totalsRowShown="0">
  <autoFilter ref="A1:E61" xr:uid="{752AA4B4-4740-4EB5-B51B-B4FF3CD927E8}"/>
  <tableColumns count="5">
    <tableColumn id="1" xr3:uid="{FA1450AE-D2EA-450C-8F57-319C3E680A58}" uniqueName="1" name="date" queryTableFieldId="1" dataDxfId="8"/>
    <tableColumn id="2" xr3:uid="{638F28CA-7D98-408F-94D4-590D108551C7}" uniqueName="2" name="MSFT" queryTableFieldId="2"/>
    <tableColumn id="3" xr3:uid="{DC4D37F5-3E0A-4134-8923-462A6F72122A}" uniqueName="3" name="KO" queryTableFieldId="3"/>
    <tableColumn id="4" xr3:uid="{009AFD0D-B581-413E-9537-19989EE245C7}" uniqueName="4" name="GOOG" queryTableFieldId="4"/>
    <tableColumn id="6" xr3:uid="{FF30D072-6E23-40D8-8F43-48CB4D94B1AC}" uniqueName="6" name="RiskFree" queryTableFieldId="6">
      <calculatedColumnFormula>wrds_riskfree[[#This Row],[TMYTM]]/100 / 12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83C7AB-C8F0-4C7D-9A30-A6D33045E02C}" name="pivot_RET" displayName="pivot_RET" ref="A1:E61" tableType="queryTable" totalsRowShown="0">
  <autoFilter ref="A1:E61" xr:uid="{8783C7AB-C8F0-4C7D-9A30-A6D33045E02C}"/>
  <tableColumns count="5">
    <tableColumn id="2" xr3:uid="{077BB30F-7748-451D-B5B8-A2080006B456}" uniqueName="2" name="date" queryTableFieldId="2" dataDxfId="7"/>
    <tableColumn id="7" xr3:uid="{B36DC625-10CE-4310-9C71-3251EDB570E0}" uniqueName="7" name="MSFT" queryTableFieldId="7"/>
    <tableColumn id="8" xr3:uid="{54613523-F086-4EE1-B2F8-5D2BC38926BE}" uniqueName="8" name="KO" queryTableFieldId="8"/>
    <tableColumn id="9" xr3:uid="{6C65A727-6C5D-4B2F-A1C5-1C94770B12DF}" uniqueName="9" name="GOOG" queryTableFieldId="9"/>
    <tableColumn id="11" xr3:uid="{18D930B7-7373-408F-98A9-68A3ADA89A6D}" uniqueName="11" name="RiskFree" queryTableFieldId="11" dataDxfId="6">
      <calculatedColumnFormula>wrds_riskfree[[#This Row],[TMYTM]]/100 / 12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9B68C6-2E5C-450E-AF6A-AA7673DB8AD4}" name="pivot_RET5" displayName="pivot_RET5" ref="A1:E61" tableType="queryTable" totalsRowShown="0">
  <autoFilter ref="A1:E61" xr:uid="{749B68C6-2E5C-450E-AF6A-AA7673DB8AD4}"/>
  <tableColumns count="5">
    <tableColumn id="2" xr3:uid="{CCD40A5D-EC17-47A6-B8D8-124F386386E4}" uniqueName="2" name="date" queryTableFieldId="2" dataDxfId="5"/>
    <tableColumn id="7" xr3:uid="{6D730D5E-5231-45D8-8BA5-806BA499DCE6}" uniqueName="7" name="MSFT" queryTableFieldId="7"/>
    <tableColumn id="8" xr3:uid="{2642D4E7-84D3-40B8-B85F-0B0DA418005E}" uniqueName="8" name="KO" queryTableFieldId="8"/>
    <tableColumn id="9" xr3:uid="{6D2F2ED6-DEE0-44ED-A621-00CFD80DB32E}" uniqueName="9" name="GOOG" queryTableFieldId="9"/>
    <tableColumn id="11" xr3:uid="{927A4E5E-B09C-485E-928E-9B588290B2EF}" uniqueName="11" name="RiskFree" queryTableFieldId="11" dataDxfId="4">
      <calculatedColumnFormula>wrds_riskfree[[#This Row],[TMYTM]]/100 / 12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2D70-4C15-4E26-8B85-CFFBEA3DAF6E}">
  <dimension ref="A1:C61"/>
  <sheetViews>
    <sheetView workbookViewId="0">
      <selection activeCell="F23" sqref="F23"/>
    </sheetView>
  </sheetViews>
  <sheetFormatPr defaultRowHeight="15" x14ac:dyDescent="0.25"/>
  <cols>
    <col min="1" max="1" width="38.7109375" bestFit="1" customWidth="1"/>
    <col min="2" max="2" width="10.7109375" bestFit="1" customWidth="1"/>
    <col min="3" max="3" width="12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s="1">
        <v>43496</v>
      </c>
      <c r="C2">
        <v>2.3547269703248999</v>
      </c>
    </row>
    <row r="3" spans="1:3" x14ac:dyDescent="0.25">
      <c r="A3" t="s">
        <v>12</v>
      </c>
      <c r="B3" s="1">
        <v>43524</v>
      </c>
      <c r="C3">
        <v>2.4258527353166999</v>
      </c>
    </row>
    <row r="4" spans="1:3" x14ac:dyDescent="0.25">
      <c r="A4" t="s">
        <v>12</v>
      </c>
      <c r="B4" s="1">
        <v>43553</v>
      </c>
      <c r="C4">
        <v>2.4206918409433</v>
      </c>
    </row>
    <row r="5" spans="1:3" x14ac:dyDescent="0.25">
      <c r="A5" t="s">
        <v>12</v>
      </c>
      <c r="B5" s="1">
        <v>43585</v>
      </c>
      <c r="C5">
        <v>2.4103721628161998</v>
      </c>
    </row>
    <row r="6" spans="1:3" x14ac:dyDescent="0.25">
      <c r="A6" t="s">
        <v>12</v>
      </c>
      <c r="B6" s="1">
        <v>43616</v>
      </c>
      <c r="C6">
        <v>2.3495710552793998</v>
      </c>
    </row>
    <row r="7" spans="1:3" x14ac:dyDescent="0.25">
      <c r="A7" t="s">
        <v>12</v>
      </c>
      <c r="B7" s="1">
        <v>43644</v>
      </c>
      <c r="C7">
        <v>2.0321216252724001</v>
      </c>
    </row>
    <row r="8" spans="1:3" x14ac:dyDescent="0.25">
      <c r="A8" t="s">
        <v>12</v>
      </c>
      <c r="B8" s="1">
        <v>43677</v>
      </c>
      <c r="C8">
        <v>2.2531962603691</v>
      </c>
    </row>
    <row r="9" spans="1:3" x14ac:dyDescent="0.25">
      <c r="A9" t="s">
        <v>12</v>
      </c>
      <c r="B9" s="1">
        <v>43707</v>
      </c>
      <c r="C9">
        <v>2.0854469552941</v>
      </c>
    </row>
    <row r="10" spans="1:3" x14ac:dyDescent="0.25">
      <c r="A10" t="s">
        <v>12</v>
      </c>
      <c r="B10" s="1">
        <v>43738</v>
      </c>
      <c r="C10">
        <v>1.8010295404926</v>
      </c>
    </row>
    <row r="11" spans="1:3" x14ac:dyDescent="0.25">
      <c r="A11" t="s">
        <v>12</v>
      </c>
      <c r="B11" s="1">
        <v>43769</v>
      </c>
      <c r="C11">
        <v>1.5168034528026</v>
      </c>
    </row>
    <row r="12" spans="1:3" x14ac:dyDescent="0.25">
      <c r="A12" t="s">
        <v>12</v>
      </c>
      <c r="B12" s="1">
        <v>43798</v>
      </c>
      <c r="C12">
        <v>1.6309919197061</v>
      </c>
    </row>
    <row r="13" spans="1:3" x14ac:dyDescent="0.25">
      <c r="A13" t="s">
        <v>12</v>
      </c>
      <c r="B13" s="1">
        <v>43830</v>
      </c>
      <c r="C13">
        <v>1.4151977431563001</v>
      </c>
    </row>
    <row r="14" spans="1:3" x14ac:dyDescent="0.25">
      <c r="A14" t="s">
        <v>12</v>
      </c>
      <c r="B14" s="1">
        <v>43861</v>
      </c>
      <c r="C14">
        <v>1.5599203552076999</v>
      </c>
    </row>
    <row r="15" spans="1:3" x14ac:dyDescent="0.25">
      <c r="A15" t="s">
        <v>12</v>
      </c>
      <c r="B15" s="1">
        <v>43889</v>
      </c>
      <c r="C15">
        <v>1.4457074748198</v>
      </c>
    </row>
    <row r="16" spans="1:3" x14ac:dyDescent="0.25">
      <c r="A16" t="s">
        <v>12</v>
      </c>
      <c r="B16" s="1">
        <v>43921</v>
      </c>
      <c r="C16">
        <v>4.0555623148125003E-3</v>
      </c>
    </row>
    <row r="17" spans="1:3" x14ac:dyDescent="0.25">
      <c r="A17" t="s">
        <v>12</v>
      </c>
      <c r="B17" s="1">
        <v>43951</v>
      </c>
      <c r="C17">
        <v>7.3509387127299999E-2</v>
      </c>
    </row>
    <row r="18" spans="1:3" x14ac:dyDescent="0.25">
      <c r="A18" t="s">
        <v>12</v>
      </c>
      <c r="B18" s="1">
        <v>43980</v>
      </c>
      <c r="C18">
        <v>0.12674315252787</v>
      </c>
    </row>
    <row r="19" spans="1:3" x14ac:dyDescent="0.25">
      <c r="A19" t="s">
        <v>12</v>
      </c>
      <c r="B19" s="1">
        <v>44012</v>
      </c>
      <c r="C19">
        <v>0.11660280952945</v>
      </c>
    </row>
    <row r="20" spans="1:3" x14ac:dyDescent="0.25">
      <c r="A20" t="s">
        <v>12</v>
      </c>
      <c r="B20" s="1">
        <v>44043</v>
      </c>
      <c r="C20">
        <v>9.1253650194859995E-2</v>
      </c>
    </row>
    <row r="21" spans="1:3" x14ac:dyDescent="0.25">
      <c r="A21" t="s">
        <v>12</v>
      </c>
      <c r="B21" s="1">
        <v>44074</v>
      </c>
      <c r="C21">
        <v>9.1253536120202997E-2</v>
      </c>
    </row>
    <row r="22" spans="1:3" x14ac:dyDescent="0.25">
      <c r="A22" t="s">
        <v>12</v>
      </c>
      <c r="B22" s="1">
        <v>44104</v>
      </c>
      <c r="C22">
        <v>8.6184014932593006E-2</v>
      </c>
    </row>
    <row r="23" spans="1:3" x14ac:dyDescent="0.25">
      <c r="A23" t="s">
        <v>12</v>
      </c>
      <c r="B23" s="1">
        <v>44134</v>
      </c>
      <c r="C23">
        <v>7.6044201501583003E-2</v>
      </c>
    </row>
    <row r="24" spans="1:3" x14ac:dyDescent="0.25">
      <c r="A24" t="s">
        <v>12</v>
      </c>
      <c r="B24" s="1">
        <v>44165</v>
      </c>
      <c r="C24">
        <v>7.097436133203E-2</v>
      </c>
    </row>
    <row r="25" spans="1:3" x14ac:dyDescent="0.25">
      <c r="A25" t="s">
        <v>12</v>
      </c>
      <c r="B25" s="1">
        <v>44196</v>
      </c>
      <c r="C25">
        <v>5.0695606227505997E-2</v>
      </c>
    </row>
    <row r="26" spans="1:3" x14ac:dyDescent="0.25">
      <c r="A26" t="s">
        <v>12</v>
      </c>
      <c r="B26" s="1">
        <v>44225</v>
      </c>
      <c r="C26">
        <v>5.3230408719063003E-2</v>
      </c>
    </row>
    <row r="27" spans="1:3" x14ac:dyDescent="0.25">
      <c r="A27" t="s">
        <v>12</v>
      </c>
      <c r="B27" s="1">
        <v>44253</v>
      </c>
      <c r="C27">
        <v>3.0417072229595998E-2</v>
      </c>
    </row>
    <row r="28" spans="1:3" x14ac:dyDescent="0.25">
      <c r="A28" t="s">
        <v>12</v>
      </c>
      <c r="B28" s="1">
        <v>44286</v>
      </c>
      <c r="C28">
        <v>1.5208441060209001E-2</v>
      </c>
    </row>
    <row r="29" spans="1:3" x14ac:dyDescent="0.25">
      <c r="A29" t="s">
        <v>12</v>
      </c>
      <c r="B29" s="1">
        <v>44316</v>
      </c>
      <c r="C29">
        <v>5.0694557098449004E-3</v>
      </c>
    </row>
    <row r="30" spans="1:3" x14ac:dyDescent="0.25">
      <c r="A30" t="s">
        <v>12</v>
      </c>
      <c r="B30" s="1">
        <v>44344</v>
      </c>
      <c r="C30">
        <v>5.0694557098449004E-3</v>
      </c>
    </row>
    <row r="31" spans="1:3" x14ac:dyDescent="0.25">
      <c r="A31" t="s">
        <v>12</v>
      </c>
      <c r="B31" s="1">
        <v>44377</v>
      </c>
      <c r="C31">
        <v>3.5486697630525997E-2</v>
      </c>
    </row>
    <row r="32" spans="1:3" x14ac:dyDescent="0.25">
      <c r="A32" t="s">
        <v>12</v>
      </c>
      <c r="B32" s="1">
        <v>44407</v>
      </c>
      <c r="C32">
        <v>5.5765252050616998E-2</v>
      </c>
    </row>
    <row r="33" spans="1:3" x14ac:dyDescent="0.25">
      <c r="A33" t="s">
        <v>12</v>
      </c>
      <c r="B33" s="1">
        <v>44439</v>
      </c>
      <c r="C33">
        <v>4.0556231496392002E-2</v>
      </c>
    </row>
    <row r="34" spans="1:3" x14ac:dyDescent="0.25">
      <c r="A34" t="s">
        <v>12</v>
      </c>
      <c r="B34" s="1">
        <v>44469</v>
      </c>
      <c r="C34">
        <v>4.5625912524216002E-2</v>
      </c>
    </row>
    <row r="35" spans="1:3" x14ac:dyDescent="0.25">
      <c r="A35" t="s">
        <v>12</v>
      </c>
      <c r="B35" s="1">
        <v>44498</v>
      </c>
      <c r="C35">
        <v>5.0695571020945997E-2</v>
      </c>
    </row>
    <row r="36" spans="1:3" x14ac:dyDescent="0.25">
      <c r="A36" t="s">
        <v>12</v>
      </c>
      <c r="B36" s="1">
        <v>44530</v>
      </c>
      <c r="C36">
        <v>8.1113814935021997E-2</v>
      </c>
    </row>
    <row r="37" spans="1:3" x14ac:dyDescent="0.25">
      <c r="A37" t="s">
        <v>12</v>
      </c>
      <c r="B37" s="1">
        <v>44561</v>
      </c>
      <c r="C37">
        <v>5.0695571020945997E-2</v>
      </c>
    </row>
    <row r="38" spans="1:3" x14ac:dyDescent="0.25">
      <c r="A38" t="s">
        <v>12</v>
      </c>
      <c r="B38" s="1">
        <v>44592</v>
      </c>
      <c r="C38">
        <v>3.5486645877785002E-2</v>
      </c>
    </row>
    <row r="39" spans="1:3" x14ac:dyDescent="0.25">
      <c r="A39" t="s">
        <v>12</v>
      </c>
      <c r="B39" s="1">
        <v>44620</v>
      </c>
      <c r="C39">
        <v>7.097436133203E-2</v>
      </c>
    </row>
    <row r="40" spans="1:3" x14ac:dyDescent="0.25">
      <c r="A40" t="s">
        <v>12</v>
      </c>
      <c r="B40" s="1">
        <v>44651</v>
      </c>
      <c r="C40">
        <v>4.0556299092387997E-2</v>
      </c>
    </row>
    <row r="41" spans="1:3" x14ac:dyDescent="0.25">
      <c r="A41" t="s">
        <v>12</v>
      </c>
      <c r="B41" s="1">
        <v>44680</v>
      </c>
      <c r="C41">
        <v>0.34984531235651001</v>
      </c>
    </row>
    <row r="42" spans="1:3" x14ac:dyDescent="0.25">
      <c r="A42" t="s">
        <v>12</v>
      </c>
      <c r="B42" s="1">
        <v>44712</v>
      </c>
      <c r="C42">
        <v>0.68963986086461004</v>
      </c>
    </row>
    <row r="43" spans="1:3" x14ac:dyDescent="0.25">
      <c r="A43" t="s">
        <v>12</v>
      </c>
      <c r="B43" s="1">
        <v>44742</v>
      </c>
      <c r="C43">
        <v>1.1209150148594</v>
      </c>
    </row>
    <row r="44" spans="1:3" x14ac:dyDescent="0.25">
      <c r="A44" t="s">
        <v>12</v>
      </c>
      <c r="B44" s="1">
        <v>44771</v>
      </c>
      <c r="C44">
        <v>2.1667093951605998</v>
      </c>
    </row>
    <row r="45" spans="1:3" x14ac:dyDescent="0.25">
      <c r="A45" t="s">
        <v>12</v>
      </c>
      <c r="B45" s="1">
        <v>44804</v>
      </c>
      <c r="C45">
        <v>2.3548029828571</v>
      </c>
    </row>
    <row r="46" spans="1:3" x14ac:dyDescent="0.25">
      <c r="A46" t="s">
        <v>12</v>
      </c>
      <c r="B46" s="1">
        <v>44834</v>
      </c>
      <c r="C46">
        <v>2.7255454462112998</v>
      </c>
    </row>
    <row r="47" spans="1:3" x14ac:dyDescent="0.25">
      <c r="A47" t="s">
        <v>12</v>
      </c>
      <c r="B47" s="1">
        <v>44865</v>
      </c>
      <c r="C47">
        <v>3.4573627851493001</v>
      </c>
    </row>
    <row r="48" spans="1:3" x14ac:dyDescent="0.25">
      <c r="A48" t="s">
        <v>12</v>
      </c>
      <c r="B48" s="1">
        <v>44895</v>
      </c>
      <c r="C48">
        <v>3.9843639360062002</v>
      </c>
    </row>
    <row r="49" spans="1:3" x14ac:dyDescent="0.25">
      <c r="A49" t="s">
        <v>12</v>
      </c>
      <c r="B49" s="1">
        <v>44925</v>
      </c>
      <c r="C49">
        <v>3.9915593232658999</v>
      </c>
    </row>
    <row r="50" spans="1:3" x14ac:dyDescent="0.25">
      <c r="A50" t="s">
        <v>12</v>
      </c>
      <c r="B50" s="1">
        <v>44957</v>
      </c>
      <c r="C50">
        <v>4.4845742605387002</v>
      </c>
    </row>
    <row r="51" spans="1:3" x14ac:dyDescent="0.25">
      <c r="A51" t="s">
        <v>12</v>
      </c>
      <c r="B51" s="1">
        <v>44985</v>
      </c>
      <c r="C51">
        <v>4.4184299180939002</v>
      </c>
    </row>
    <row r="52" spans="1:3" x14ac:dyDescent="0.25">
      <c r="A52" t="s">
        <v>12</v>
      </c>
      <c r="B52" s="1">
        <v>45016</v>
      </c>
      <c r="C52">
        <v>4.6658146610997004</v>
      </c>
    </row>
    <row r="53" spans="1:3" x14ac:dyDescent="0.25">
      <c r="A53" t="s">
        <v>12</v>
      </c>
      <c r="B53" s="1">
        <v>45044</v>
      </c>
      <c r="C53">
        <v>4.1696257742635998</v>
      </c>
    </row>
    <row r="54" spans="1:3" x14ac:dyDescent="0.25">
      <c r="A54" t="s">
        <v>12</v>
      </c>
      <c r="B54" s="1">
        <v>45077</v>
      </c>
      <c r="C54">
        <v>4.9544586648374001</v>
      </c>
    </row>
    <row r="55" spans="1:3" x14ac:dyDescent="0.25">
      <c r="A55" t="s">
        <v>12</v>
      </c>
      <c r="B55" s="1">
        <v>45107</v>
      </c>
      <c r="C55">
        <v>5.1622194914437998</v>
      </c>
    </row>
    <row r="56" spans="1:3" x14ac:dyDescent="0.25">
      <c r="A56" t="s">
        <v>12</v>
      </c>
      <c r="B56" s="1">
        <v>45138</v>
      </c>
      <c r="C56">
        <v>5.3298926071314998</v>
      </c>
    </row>
    <row r="57" spans="1:3" x14ac:dyDescent="0.25">
      <c r="A57" t="s">
        <v>12</v>
      </c>
      <c r="B57" s="1">
        <v>45169</v>
      </c>
      <c r="C57">
        <v>5.3561422011586002</v>
      </c>
    </row>
    <row r="58" spans="1:3" x14ac:dyDescent="0.25">
      <c r="A58" t="s">
        <v>12</v>
      </c>
      <c r="B58" s="1">
        <v>45198</v>
      </c>
      <c r="C58">
        <v>5.3659352677349998</v>
      </c>
    </row>
    <row r="59" spans="1:3" x14ac:dyDescent="0.25">
      <c r="A59" t="s">
        <v>12</v>
      </c>
      <c r="B59" s="1">
        <v>45230</v>
      </c>
      <c r="C59">
        <v>5.3702371871515</v>
      </c>
    </row>
    <row r="60" spans="1:3" x14ac:dyDescent="0.25">
      <c r="A60" t="s">
        <v>12</v>
      </c>
      <c r="B60" s="1">
        <v>45260</v>
      </c>
      <c r="C60">
        <v>5.3459541421500996</v>
      </c>
    </row>
    <row r="61" spans="1:3" x14ac:dyDescent="0.25">
      <c r="A61" t="s">
        <v>12</v>
      </c>
      <c r="B61" s="1">
        <v>45289</v>
      </c>
      <c r="C61">
        <v>5.3812154177737002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DA31-DADF-40A7-8EF0-F34E02BDC942}">
  <dimension ref="A1:P61"/>
  <sheetViews>
    <sheetView workbookViewId="0">
      <selection activeCell="Q16" sqref="Q16"/>
    </sheetView>
  </sheetViews>
  <sheetFormatPr defaultRowHeight="15" x14ac:dyDescent="0.25"/>
  <cols>
    <col min="1" max="1" width="10.42578125" bestFit="1" customWidth="1"/>
    <col min="2" max="4" width="9.7109375" bestFit="1" customWidth="1"/>
    <col min="5" max="5" width="12" bestFit="1" customWidth="1"/>
    <col min="7" max="8" width="12.7109375" bestFit="1" customWidth="1"/>
    <col min="9" max="9" width="13.42578125" bestFit="1" customWidth="1"/>
    <col min="12" max="12" width="15" bestFit="1" customWidth="1"/>
    <col min="13" max="15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G1" s="3" t="s">
        <v>14</v>
      </c>
      <c r="H1" s="3" t="s">
        <v>15</v>
      </c>
      <c r="I1" s="3" t="s">
        <v>16</v>
      </c>
      <c r="L1" s="3"/>
      <c r="M1" s="3" t="s">
        <v>1</v>
      </c>
      <c r="N1" s="3" t="s">
        <v>2</v>
      </c>
      <c r="O1" s="3" t="s">
        <v>3</v>
      </c>
      <c r="P1" s="6" t="s">
        <v>13</v>
      </c>
    </row>
    <row r="2" spans="1:16" x14ac:dyDescent="0.25">
      <c r="A2" s="1">
        <v>43496</v>
      </c>
      <c r="B2">
        <v>2.8157999999999999E-2</v>
      </c>
      <c r="C2">
        <v>1.6473000000000002E-2</v>
      </c>
      <c r="D2">
        <v>7.7982999999999997E-2</v>
      </c>
      <c r="E2">
        <f>wrds_riskfree[[#This Row],[TMYTM]]/100 / 12</f>
        <v>1.96227247527075E-3</v>
      </c>
      <c r="G2" s="2">
        <f>pivot_RETX[[#This Row],[MSFT]]-pivot_RETX[[#This Row],[RiskFree]]</f>
        <v>2.6195727524729248E-2</v>
      </c>
      <c r="H2" s="2">
        <f>pivot_RETX[[#This Row],[KO]]-pivot_RETX[[#This Row],[RiskFree]]</f>
        <v>1.4510727524729251E-2</v>
      </c>
      <c r="I2" s="2">
        <f>pivot_RETX[[#This Row],[GOOG]]-pivot_RETX[[#This Row],[RiskFree]]</f>
        <v>7.6020727524729242E-2</v>
      </c>
      <c r="L2" s="3" t="s">
        <v>4</v>
      </c>
      <c r="M2" s="2">
        <f>AVERAGE(pivot_RETX[MSFT])</f>
        <v>2.3991100000000005E-2</v>
      </c>
      <c r="N2" s="2">
        <f>AVERAGE(pivot_RETX[KO])</f>
        <v>5.0950166666666663E-3</v>
      </c>
      <c r="O2" s="2">
        <f>AVERAGE(pivot_RETX[GOOG])</f>
        <v>1.9821049999999993E-2</v>
      </c>
      <c r="P2" s="2">
        <f>AVERAGE(pivot_RETX[RiskFree])</f>
        <v>1.5270852946406563E-3</v>
      </c>
    </row>
    <row r="3" spans="1:16" x14ac:dyDescent="0.25">
      <c r="A3" s="1">
        <v>43524</v>
      </c>
      <c r="B3">
        <v>7.2775999999999993E-2</v>
      </c>
      <c r="C3">
        <v>-5.7967999999999999E-2</v>
      </c>
      <c r="D3">
        <v>3.1800000000000001E-3</v>
      </c>
      <c r="E3">
        <f>wrds_riskfree[[#This Row],[TMYTM]]/100 / 12</f>
        <v>2.0215439460972498E-3</v>
      </c>
      <c r="G3" s="2">
        <f>pivot_RETX[[#This Row],[MSFT]]-pivot_RETX[[#This Row],[RiskFree]]</f>
        <v>7.0754456053902737E-2</v>
      </c>
      <c r="H3" s="2">
        <f>pivot_RETX[[#This Row],[KO]]-pivot_RETX[[#This Row],[RiskFree]]</f>
        <v>-5.9989543946097248E-2</v>
      </c>
      <c r="I3" s="2">
        <f>pivot_RETX[[#This Row],[GOOG]]-pivot_RETX[[#This Row],[RiskFree]]</f>
        <v>1.1584560539027503E-3</v>
      </c>
      <c r="L3" s="3" t="s">
        <v>5</v>
      </c>
      <c r="M3" s="2">
        <f>_xlfn.STDEV.S(pivot_RETX[MSFT])</f>
        <v>6.346868771123633E-2</v>
      </c>
      <c r="N3" s="2">
        <f>_xlfn.STDEV.S(pivot_RETX[KO])</f>
        <v>5.340757902207998E-2</v>
      </c>
      <c r="O3" s="2">
        <f>_xlfn.STDEV.S(pivot_RETX[GOOG])</f>
        <v>7.7973816435428708E-2</v>
      </c>
      <c r="P3" s="2">
        <f>_xlfn.STDEV.S(pivot_RETX[RiskFree])</f>
        <v>1.613051064553919E-3</v>
      </c>
    </row>
    <row r="4" spans="1:16" x14ac:dyDescent="0.25">
      <c r="A4" s="1">
        <v>43553</v>
      </c>
      <c r="B4">
        <v>5.2754000000000002E-2</v>
      </c>
      <c r="C4">
        <v>3.3523999999999998E-2</v>
      </c>
      <c r="D4">
        <v>4.7673E-2</v>
      </c>
      <c r="E4">
        <f>wrds_riskfree[[#This Row],[TMYTM]]/100 / 12</f>
        <v>2.0172432007860832E-3</v>
      </c>
      <c r="G4" s="2">
        <f>pivot_RETX[[#This Row],[MSFT]]-pivot_RETX[[#This Row],[RiskFree]]</f>
        <v>5.0736756799213918E-2</v>
      </c>
      <c r="H4" s="2">
        <f>pivot_RETX[[#This Row],[KO]]-pivot_RETX[[#This Row],[RiskFree]]</f>
        <v>3.1506756799213914E-2</v>
      </c>
      <c r="I4" s="2">
        <f>pivot_RETX[[#This Row],[GOOG]]-pivot_RETX[[#This Row],[RiskFree]]</f>
        <v>4.5655756799213916E-2</v>
      </c>
      <c r="L4" s="3" t="s">
        <v>6</v>
      </c>
      <c r="M4" s="2">
        <f>M2*12</f>
        <v>0.28789320000000007</v>
      </c>
      <c r="N4" s="2">
        <f>N2*12</f>
        <v>6.1140199999999992E-2</v>
      </c>
      <c r="O4" s="2">
        <f>O2*12</f>
        <v>0.23785259999999991</v>
      </c>
      <c r="P4" s="2">
        <f>P2*12</f>
        <v>1.8325023535687875E-2</v>
      </c>
    </row>
    <row r="5" spans="1:16" x14ac:dyDescent="0.25">
      <c r="A5" s="1">
        <v>43585</v>
      </c>
      <c r="B5">
        <v>0.10734299999999999</v>
      </c>
      <c r="C5">
        <v>4.6947999999999997E-2</v>
      </c>
      <c r="D5">
        <v>1.2929E-2</v>
      </c>
      <c r="E5">
        <f>wrds_riskfree[[#This Row],[TMYTM]]/100 / 12</f>
        <v>2.0086434690135E-3</v>
      </c>
      <c r="G5" s="2">
        <f>pivot_RETX[[#This Row],[MSFT]]-pivot_RETX[[#This Row],[RiskFree]]</f>
        <v>0.10533435653098649</v>
      </c>
      <c r="H5" s="2">
        <f>pivot_RETX[[#This Row],[KO]]-pivot_RETX[[#This Row],[RiskFree]]</f>
        <v>4.4939356530986498E-2</v>
      </c>
      <c r="I5" s="2">
        <f>pivot_RETX[[#This Row],[GOOG]]-pivot_RETX[[#This Row],[RiskFree]]</f>
        <v>1.09203565309865E-2</v>
      </c>
      <c r="L5" s="3" t="s">
        <v>7</v>
      </c>
      <c r="M5" s="2">
        <f>M3*SQRT(12)</f>
        <v>0.21986198361116752</v>
      </c>
      <c r="N5" s="2">
        <f>N3*SQRT(12)</f>
        <v>0.18500928075098452</v>
      </c>
      <c r="O5" s="2">
        <f>O3*SQRT(12)</f>
        <v>0.27010922345242339</v>
      </c>
      <c r="P5" s="2">
        <f>P3*SQRT(12)</f>
        <v>5.587772798020905E-3</v>
      </c>
    </row>
    <row r="6" spans="1:16" x14ac:dyDescent="0.25">
      <c r="A6" s="1">
        <v>43616</v>
      </c>
      <c r="B6">
        <v>-5.2985999999999998E-2</v>
      </c>
      <c r="C6">
        <v>1.4270000000000001E-3</v>
      </c>
      <c r="D6">
        <v>-7.1393999999999999E-2</v>
      </c>
      <c r="E6">
        <f>wrds_riskfree[[#This Row],[TMYTM]]/100 / 12</f>
        <v>1.9579758793994997E-3</v>
      </c>
      <c r="G6" s="2">
        <f>pivot_RETX[[#This Row],[MSFT]]-pivot_RETX[[#This Row],[RiskFree]]</f>
        <v>-5.4943975879399497E-2</v>
      </c>
      <c r="H6" s="2">
        <f>pivot_RETX[[#This Row],[KO]]-pivot_RETX[[#This Row],[RiskFree]]</f>
        <v>-5.3097587939949955E-4</v>
      </c>
      <c r="I6" s="2">
        <f>pivot_RETX[[#This Row],[GOOG]]-pivot_RETX[[#This Row],[RiskFree]]</f>
        <v>-7.3351975879399497E-2</v>
      </c>
      <c r="L6" s="2"/>
      <c r="M6" s="2"/>
      <c r="N6" s="2"/>
      <c r="O6" s="2"/>
    </row>
    <row r="7" spans="1:16" x14ac:dyDescent="0.25">
      <c r="A7" s="1">
        <v>43644</v>
      </c>
      <c r="B7">
        <v>8.3117999999999997E-2</v>
      </c>
      <c r="C7">
        <v>3.6434000000000001E-2</v>
      </c>
      <c r="D7">
        <v>-2.0587000000000001E-2</v>
      </c>
      <c r="E7">
        <f>wrds_riskfree[[#This Row],[TMYTM]]/100 / 12</f>
        <v>1.6934346877270001E-3</v>
      </c>
      <c r="G7" s="2">
        <f>pivot_RETX[[#This Row],[MSFT]]-pivot_RETX[[#This Row],[RiskFree]]</f>
        <v>8.1424565312273003E-2</v>
      </c>
      <c r="H7" s="2">
        <f>pivot_RETX[[#This Row],[KO]]-pivot_RETX[[#This Row],[RiskFree]]</f>
        <v>3.4740565312273E-2</v>
      </c>
      <c r="I7" s="2">
        <f>pivot_RETX[[#This Row],[GOOG]]-pivot_RETX[[#This Row],[RiskFree]]</f>
        <v>-2.2280434687727002E-2</v>
      </c>
      <c r="L7" s="3" t="s">
        <v>23</v>
      </c>
      <c r="M7" s="2">
        <f>AVERAGE(G2:G61)</f>
        <v>2.2464014705359345E-2</v>
      </c>
      <c r="N7" s="2">
        <f t="shared" ref="N7:O7" si="0">AVERAGE(H2:H61)</f>
        <v>3.5679313720260084E-3</v>
      </c>
      <c r="O7" s="2">
        <f t="shared" si="0"/>
        <v>1.8293964705359347E-2</v>
      </c>
    </row>
    <row r="8" spans="1:16" x14ac:dyDescent="0.25">
      <c r="A8" s="1">
        <v>43677</v>
      </c>
      <c r="B8">
        <v>1.7243999999999999E-2</v>
      </c>
      <c r="C8">
        <v>3.3582000000000001E-2</v>
      </c>
      <c r="D8">
        <v>0.125607</v>
      </c>
      <c r="E8">
        <f>wrds_riskfree[[#This Row],[TMYTM]]/100 / 12</f>
        <v>1.8776635503075833E-3</v>
      </c>
      <c r="G8" s="2">
        <f>pivot_RETX[[#This Row],[MSFT]]-pivot_RETX[[#This Row],[RiskFree]]</f>
        <v>1.5366336449692417E-2</v>
      </c>
      <c r="H8" s="2">
        <f>pivot_RETX[[#This Row],[KO]]-pivot_RETX[[#This Row],[RiskFree]]</f>
        <v>3.1704336449692415E-2</v>
      </c>
      <c r="I8" s="2">
        <f>pivot_RETX[[#This Row],[GOOG]]-pivot_RETX[[#This Row],[RiskFree]]</f>
        <v>0.12372933644969242</v>
      </c>
      <c r="L8" s="3" t="s">
        <v>24</v>
      </c>
      <c r="M8" s="2">
        <f>_xlfn.STDEV.S(G2:G61)</f>
        <v>6.3381297063096892E-2</v>
      </c>
      <c r="N8" s="2">
        <f t="shared" ref="N8:O8" si="1">_xlfn.STDEV.S(H2:H61)</f>
        <v>5.3538380306732788E-2</v>
      </c>
      <c r="O8" s="2">
        <f t="shared" si="1"/>
        <v>7.795212894878957E-2</v>
      </c>
    </row>
    <row r="9" spans="1:16" x14ac:dyDescent="0.25">
      <c r="A9" s="1">
        <v>43707</v>
      </c>
      <c r="B9">
        <v>1.1668E-2</v>
      </c>
      <c r="C9">
        <v>4.5790999999999998E-2</v>
      </c>
      <c r="D9">
        <v>-2.349E-2</v>
      </c>
      <c r="E9">
        <f>wrds_riskfree[[#This Row],[TMYTM]]/100 / 12</f>
        <v>1.7378724627450833E-3</v>
      </c>
      <c r="G9" s="2">
        <f>pivot_RETX[[#This Row],[MSFT]]-pivot_RETX[[#This Row],[RiskFree]]</f>
        <v>9.9301275372549163E-3</v>
      </c>
      <c r="H9" s="2">
        <f>pivot_RETX[[#This Row],[KO]]-pivot_RETX[[#This Row],[RiskFree]]</f>
        <v>4.4053127537254919E-2</v>
      </c>
      <c r="I9" s="2">
        <f>pivot_RETX[[#This Row],[GOOG]]-pivot_RETX[[#This Row],[RiskFree]]</f>
        <v>-2.5227872462745084E-2</v>
      </c>
      <c r="L9" s="3" t="s">
        <v>33</v>
      </c>
      <c r="M9" s="2">
        <f>M7/M8</f>
        <v>0.35442655398793954</v>
      </c>
      <c r="N9" s="2">
        <f t="shared" ref="N9:O9" si="2">N7/N8</f>
        <v>6.6642497430526831E-2</v>
      </c>
      <c r="O9" s="2">
        <f t="shared" si="2"/>
        <v>0.23468204078656421</v>
      </c>
    </row>
    <row r="10" spans="1:16" x14ac:dyDescent="0.25">
      <c r="A10" s="1">
        <v>43738</v>
      </c>
      <c r="B10">
        <v>8.4869999999999998E-3</v>
      </c>
      <c r="C10">
        <v>-1.0900999999999999E-2</v>
      </c>
      <c r="D10">
        <v>2.6008E-2</v>
      </c>
      <c r="E10">
        <f>wrds_riskfree[[#This Row],[TMYTM]]/100 / 12</f>
        <v>1.5008579504105001E-3</v>
      </c>
      <c r="G10" s="2">
        <f>pivot_RETX[[#This Row],[MSFT]]-pivot_RETX[[#This Row],[RiskFree]]</f>
        <v>6.9861420495894999E-3</v>
      </c>
      <c r="H10" s="2">
        <f>pivot_RETX[[#This Row],[KO]]-pivot_RETX[[#This Row],[RiskFree]]</f>
        <v>-1.2401857950410499E-2</v>
      </c>
      <c r="I10" s="2">
        <f>pivot_RETX[[#This Row],[GOOG]]-pivot_RETX[[#This Row],[RiskFree]]</f>
        <v>2.4507142049589498E-2</v>
      </c>
      <c r="L10" s="2"/>
      <c r="M10" s="2"/>
      <c r="N10" s="2"/>
      <c r="O10" s="2"/>
    </row>
    <row r="11" spans="1:16" x14ac:dyDescent="0.25">
      <c r="A11" s="1">
        <v>43769</v>
      </c>
      <c r="B11">
        <v>3.1216000000000001E-2</v>
      </c>
      <c r="C11">
        <v>-1.84E-4</v>
      </c>
      <c r="D11">
        <v>3.3723999999999997E-2</v>
      </c>
      <c r="E11">
        <f>wrds_riskfree[[#This Row],[TMYTM]]/100 / 12</f>
        <v>1.2640028773355E-3</v>
      </c>
      <c r="G11" s="2">
        <f>pivot_RETX[[#This Row],[MSFT]]-pivot_RETX[[#This Row],[RiskFree]]</f>
        <v>2.9951997122664501E-2</v>
      </c>
      <c r="H11" s="2">
        <f>pivot_RETX[[#This Row],[KO]]-pivot_RETX[[#This Row],[RiskFree]]</f>
        <v>-1.4480028773354999E-3</v>
      </c>
      <c r="I11" s="2">
        <f>pivot_RETX[[#This Row],[GOOG]]-pivot_RETX[[#This Row],[RiskFree]]</f>
        <v>3.2459997122664494E-2</v>
      </c>
      <c r="L11" s="3" t="s">
        <v>31</v>
      </c>
      <c r="M11" s="2">
        <f>M7*12</f>
        <v>0.26956817646431214</v>
      </c>
      <c r="N11" s="2">
        <f t="shared" ref="N11:O11" si="3">N7*12</f>
        <v>4.2815176464312099E-2</v>
      </c>
      <c r="O11" s="2">
        <f t="shared" si="3"/>
        <v>0.21952757646431215</v>
      </c>
    </row>
    <row r="12" spans="1:16" x14ac:dyDescent="0.25">
      <c r="A12" s="1">
        <v>43798</v>
      </c>
      <c r="B12">
        <v>5.5869000000000002E-2</v>
      </c>
      <c r="C12">
        <v>-1.8922999999999999E-2</v>
      </c>
      <c r="D12">
        <v>3.5591999999999999E-2</v>
      </c>
      <c r="E12">
        <f>wrds_riskfree[[#This Row],[TMYTM]]/100 / 12</f>
        <v>1.3591599330884166E-3</v>
      </c>
      <c r="G12" s="2">
        <f>pivot_RETX[[#This Row],[MSFT]]-pivot_RETX[[#This Row],[RiskFree]]</f>
        <v>5.4509840066911584E-2</v>
      </c>
      <c r="H12" s="2">
        <f>pivot_RETX[[#This Row],[KO]]-pivot_RETX[[#This Row],[RiskFree]]</f>
        <v>-2.0282159933088417E-2</v>
      </c>
      <c r="I12" s="2">
        <f>pivot_RETX[[#This Row],[GOOG]]-pivot_RETX[[#This Row],[RiskFree]]</f>
        <v>3.4232840066911581E-2</v>
      </c>
      <c r="L12" s="3" t="s">
        <v>32</v>
      </c>
      <c r="M12" s="2">
        <f>M8*SQRT(12)</f>
        <v>0.21955925352579975</v>
      </c>
      <c r="N12" s="2">
        <f t="shared" ref="N12:O12" si="4">N8*SQRT(12)</f>
        <v>0.18546238969241238</v>
      </c>
      <c r="O12" s="2">
        <f t="shared" si="4"/>
        <v>0.27003409579492843</v>
      </c>
    </row>
    <row r="13" spans="1:16" x14ac:dyDescent="0.25">
      <c r="A13" s="1">
        <v>43830</v>
      </c>
      <c r="B13">
        <v>4.1749000000000001E-2</v>
      </c>
      <c r="C13">
        <v>3.6517000000000001E-2</v>
      </c>
      <c r="D13">
        <v>2.4568E-2</v>
      </c>
      <c r="E13">
        <f>wrds_riskfree[[#This Row],[TMYTM]]/100 / 12</f>
        <v>1.1793314526302499E-3</v>
      </c>
      <c r="G13" s="2">
        <f>pivot_RETX[[#This Row],[MSFT]]-pivot_RETX[[#This Row],[RiskFree]]</f>
        <v>4.056966854736975E-2</v>
      </c>
      <c r="H13" s="2">
        <f>pivot_RETX[[#This Row],[KO]]-pivot_RETX[[#This Row],[RiskFree]]</f>
        <v>3.5337668547369749E-2</v>
      </c>
      <c r="I13" s="2">
        <f>pivot_RETX[[#This Row],[GOOG]]-pivot_RETX[[#This Row],[RiskFree]]</f>
        <v>2.3388668547369748E-2</v>
      </c>
      <c r="L13" s="3" t="s">
        <v>8</v>
      </c>
      <c r="M13" s="2">
        <f>M11/M12</f>
        <v>1.22776959811733</v>
      </c>
      <c r="N13" s="2">
        <f t="shared" ref="N13:O13" si="5">N11/N12</f>
        <v>0.23085638298590169</v>
      </c>
      <c r="O13" s="2">
        <f t="shared" si="5"/>
        <v>0.81296243653256151</v>
      </c>
    </row>
    <row r="14" spans="1:16" x14ac:dyDescent="0.25">
      <c r="A14" s="1">
        <v>43861</v>
      </c>
      <c r="B14">
        <v>7.9454999999999998E-2</v>
      </c>
      <c r="C14">
        <v>5.5104E-2</v>
      </c>
      <c r="D14">
        <v>7.2706000000000007E-2</v>
      </c>
      <c r="E14">
        <f>wrds_riskfree[[#This Row],[TMYTM]]/100 / 12</f>
        <v>1.2999336293397499E-3</v>
      </c>
      <c r="G14" s="2">
        <f>pivot_RETX[[#This Row],[MSFT]]-pivot_RETX[[#This Row],[RiskFree]]</f>
        <v>7.8155066370660248E-2</v>
      </c>
      <c r="H14" s="2">
        <f>pivot_RETX[[#This Row],[KO]]-pivot_RETX[[#This Row],[RiskFree]]</f>
        <v>5.380406637066025E-2</v>
      </c>
      <c r="I14" s="2">
        <f>pivot_RETX[[#This Row],[GOOG]]-pivot_RETX[[#This Row],[RiskFree]]</f>
        <v>7.1406066370660257E-2</v>
      </c>
    </row>
    <row r="15" spans="1:16" x14ac:dyDescent="0.25">
      <c r="A15" s="1">
        <v>43889</v>
      </c>
      <c r="B15">
        <v>-4.8287999999999998E-2</v>
      </c>
      <c r="C15">
        <v>-8.4074999999999997E-2</v>
      </c>
      <c r="D15">
        <v>-6.6168000000000005E-2</v>
      </c>
      <c r="E15">
        <f>wrds_riskfree[[#This Row],[TMYTM]]/100 / 12</f>
        <v>1.2047562290165E-3</v>
      </c>
      <c r="G15" s="2">
        <f>pivot_RETX[[#This Row],[MSFT]]-pivot_RETX[[#This Row],[RiskFree]]</f>
        <v>-4.9492756229016499E-2</v>
      </c>
      <c r="H15" s="2">
        <f>pivot_RETX[[#This Row],[KO]]-pivot_RETX[[#This Row],[RiskFree]]</f>
        <v>-8.5279756229016498E-2</v>
      </c>
      <c r="I15" s="2">
        <f>pivot_RETX[[#This Row],[GOOG]]-pivot_RETX[[#This Row],[RiskFree]]</f>
        <v>-6.7372756229016506E-2</v>
      </c>
      <c r="L15" s="5" t="s">
        <v>25</v>
      </c>
      <c r="M15" s="5" t="s">
        <v>1</v>
      </c>
      <c r="N15" s="5" t="s">
        <v>2</v>
      </c>
      <c r="O15" s="5" t="s">
        <v>3</v>
      </c>
    </row>
    <row r="16" spans="1:16" x14ac:dyDescent="0.25">
      <c r="A16" s="1">
        <v>43921</v>
      </c>
      <c r="B16">
        <v>-2.6540999999999999E-2</v>
      </c>
      <c r="C16">
        <v>-0.17274300000000001</v>
      </c>
      <c r="D16">
        <v>-0.131797</v>
      </c>
      <c r="E16">
        <f>wrds_riskfree[[#This Row],[TMYTM]]/100 / 12</f>
        <v>3.3796352623437501E-6</v>
      </c>
      <c r="G16" s="2">
        <f>pivot_RETX[[#This Row],[MSFT]]-pivot_RETX[[#This Row],[RiskFree]]</f>
        <v>-2.6544379635262343E-2</v>
      </c>
      <c r="H16" s="2">
        <f>pivot_RETX[[#This Row],[KO]]-pivot_RETX[[#This Row],[RiskFree]]</f>
        <v>-0.17274637963526235</v>
      </c>
      <c r="I16" s="2">
        <f>pivot_RETX[[#This Row],[GOOG]]-pivot_RETX[[#This Row],[RiskFree]]</f>
        <v>-0.13180037963526234</v>
      </c>
      <c r="L16" s="3" t="s">
        <v>1</v>
      </c>
      <c r="M16" s="2">
        <f>VARP(pivot_RETX!$B$2:$B$61)</f>
        <v>3.9611364144566674E-3</v>
      </c>
      <c r="N16" s="2">
        <f>M17</f>
        <v>1.1526958599150001E-3</v>
      </c>
      <c r="O16" s="2">
        <f>M18</f>
        <v>3.2886290569450003E-3</v>
      </c>
    </row>
    <row r="17" spans="1:15" x14ac:dyDescent="0.25">
      <c r="A17" s="1">
        <v>43951</v>
      </c>
      <c r="B17">
        <v>0.136326</v>
      </c>
      <c r="C17">
        <v>3.7061999999999998E-2</v>
      </c>
      <c r="D17">
        <v>0.159828</v>
      </c>
      <c r="E17">
        <f>wrds_riskfree[[#This Row],[TMYTM]]/100 / 12</f>
        <v>6.1257822606083334E-5</v>
      </c>
      <c r="G17" s="2">
        <f>pivot_RETX[[#This Row],[MSFT]]-pivot_RETX[[#This Row],[RiskFree]]</f>
        <v>0.13626474217739393</v>
      </c>
      <c r="H17" s="2">
        <f>pivot_RETX[[#This Row],[KO]]-pivot_RETX[[#This Row],[RiskFree]]</f>
        <v>3.7000742177393915E-2</v>
      </c>
      <c r="I17" s="2">
        <f>pivot_RETX[[#This Row],[GOOG]]-pivot_RETX[[#This Row],[RiskFree]]</f>
        <v>0.15976674217739392</v>
      </c>
      <c r="L17" s="3" t="s">
        <v>2</v>
      </c>
      <c r="M17" s="2">
        <v>1.1526958599150001E-3</v>
      </c>
      <c r="N17" s="2">
        <f>VARP(pivot_RETX!$C$2:$C$61)</f>
        <v>2.8048300053830563E-3</v>
      </c>
      <c r="O17" s="2">
        <f>N18</f>
        <v>1.4180610392325E-3</v>
      </c>
    </row>
    <row r="18" spans="1:15" x14ac:dyDescent="0.25">
      <c r="A18" s="1">
        <v>43980</v>
      </c>
      <c r="B18">
        <v>2.2543000000000001E-2</v>
      </c>
      <c r="C18">
        <v>1.7215000000000001E-2</v>
      </c>
      <c r="D18">
        <v>5.9511000000000001E-2</v>
      </c>
      <c r="E18">
        <f>wrds_riskfree[[#This Row],[TMYTM]]/100 / 12</f>
        <v>1.0561929377322499E-4</v>
      </c>
      <c r="G18" s="2">
        <f>pivot_RETX[[#This Row],[MSFT]]-pivot_RETX[[#This Row],[RiskFree]]</f>
        <v>2.2437380706226775E-2</v>
      </c>
      <c r="H18" s="2">
        <f>pivot_RETX[[#This Row],[KO]]-pivot_RETX[[#This Row],[RiskFree]]</f>
        <v>1.7109380706226775E-2</v>
      </c>
      <c r="I18" s="2">
        <f>pivot_RETX[[#This Row],[GOOG]]-pivot_RETX[[#This Row],[RiskFree]]</f>
        <v>5.9405380706226779E-2</v>
      </c>
      <c r="L18" s="3" t="s">
        <v>3</v>
      </c>
      <c r="M18" s="2">
        <v>3.2886290569450003E-3</v>
      </c>
      <c r="N18" s="2">
        <v>1.4180610392325E-3</v>
      </c>
      <c r="O18" s="2">
        <f>VARP(pivot_RETX!$D$2:$D$61)</f>
        <v>5.978584115347501E-3</v>
      </c>
    </row>
    <row r="19" spans="1:15" x14ac:dyDescent="0.25">
      <c r="A19" s="1">
        <v>44012</v>
      </c>
      <c r="B19">
        <v>0.110559</v>
      </c>
      <c r="C19">
        <v>-4.2845000000000001E-2</v>
      </c>
      <c r="D19">
        <v>-1.0714E-2</v>
      </c>
      <c r="E19">
        <f>wrds_riskfree[[#This Row],[TMYTM]]/100 / 12</f>
        <v>9.7169007941208337E-5</v>
      </c>
      <c r="G19" s="2">
        <f>pivot_RETX[[#This Row],[MSFT]]-pivot_RETX[[#This Row],[RiskFree]]</f>
        <v>0.11046183099205879</v>
      </c>
      <c r="H19" s="2">
        <f>pivot_RETX[[#This Row],[KO]]-pivot_RETX[[#This Row],[RiskFree]]</f>
        <v>-4.2942169007941212E-2</v>
      </c>
      <c r="I19" s="2">
        <f>pivot_RETX[[#This Row],[GOOG]]-pivot_RETX[[#This Row],[RiskFree]]</f>
        <v>-1.0811169007941207E-2</v>
      </c>
    </row>
    <row r="20" spans="1:15" x14ac:dyDescent="0.25">
      <c r="A20" s="1">
        <v>44043</v>
      </c>
      <c r="B20">
        <v>7.3709999999999999E-3</v>
      </c>
      <c r="C20">
        <v>5.7296E-2</v>
      </c>
      <c r="D20">
        <v>4.9058999999999998E-2</v>
      </c>
      <c r="E20">
        <f>wrds_riskfree[[#This Row],[TMYTM]]/100 / 12</f>
        <v>7.6044708495716663E-5</v>
      </c>
      <c r="G20" s="2">
        <f>pivot_RETX[[#This Row],[MSFT]]-pivot_RETX[[#This Row],[RiskFree]]</f>
        <v>7.2949552915042831E-3</v>
      </c>
      <c r="H20" s="2">
        <f>pivot_RETX[[#This Row],[KO]]-pivot_RETX[[#This Row],[RiskFree]]</f>
        <v>5.7219955291504282E-2</v>
      </c>
      <c r="I20" s="2">
        <f>pivot_RETX[[#This Row],[GOOG]]-pivot_RETX[[#This Row],[RiskFree]]</f>
        <v>4.8982955291504281E-2</v>
      </c>
    </row>
    <row r="21" spans="1:15" x14ac:dyDescent="0.25">
      <c r="A21" s="1">
        <v>44074</v>
      </c>
      <c r="B21">
        <v>0.100093</v>
      </c>
      <c r="C21">
        <v>4.8475999999999998E-2</v>
      </c>
      <c r="D21">
        <v>0.10197199999999999</v>
      </c>
      <c r="E21">
        <f>wrds_riskfree[[#This Row],[TMYTM]]/100 / 12</f>
        <v>7.60446134335025E-5</v>
      </c>
      <c r="G21" s="2">
        <f>pivot_RETX[[#This Row],[MSFT]]-pivot_RETX[[#This Row],[RiskFree]]</f>
        <v>0.10001695538656651</v>
      </c>
      <c r="H21" s="2">
        <f>pivot_RETX[[#This Row],[KO]]-pivot_RETX[[#This Row],[RiskFree]]</f>
        <v>4.8399955386566496E-2</v>
      </c>
      <c r="I21" s="2">
        <f>pivot_RETX[[#This Row],[GOOG]]-pivot_RETX[[#This Row],[RiskFree]]</f>
        <v>0.1018959553865665</v>
      </c>
    </row>
    <row r="22" spans="1:15" x14ac:dyDescent="0.25">
      <c r="A22" s="1">
        <v>44104</v>
      </c>
      <c r="B22">
        <v>-6.7396999999999999E-2</v>
      </c>
      <c r="C22">
        <v>-3.2299999999999998E-3</v>
      </c>
      <c r="D22">
        <v>-0.10071099999999999</v>
      </c>
      <c r="E22">
        <f>wrds_riskfree[[#This Row],[TMYTM]]/100 / 12</f>
        <v>7.1820012443827503E-5</v>
      </c>
      <c r="G22" s="2">
        <f>pivot_RETX[[#This Row],[MSFT]]-pivot_RETX[[#This Row],[RiskFree]]</f>
        <v>-6.7468820012443823E-2</v>
      </c>
      <c r="H22" s="2">
        <f>pivot_RETX[[#This Row],[KO]]-pivot_RETX[[#This Row],[RiskFree]]</f>
        <v>-3.3018200124438272E-3</v>
      </c>
      <c r="I22" s="2">
        <f>pivot_RETX[[#This Row],[GOOG]]-pivot_RETX[[#This Row],[RiskFree]]</f>
        <v>-0.10078282001244382</v>
      </c>
    </row>
    <row r="23" spans="1:15" x14ac:dyDescent="0.25">
      <c r="A23" s="1">
        <v>44134</v>
      </c>
      <c r="B23">
        <v>-3.737E-2</v>
      </c>
      <c r="C23">
        <v>-2.6533999999999999E-2</v>
      </c>
      <c r="D23">
        <v>0.10302799999999999</v>
      </c>
      <c r="E23">
        <f>wrds_riskfree[[#This Row],[TMYTM]]/100 / 12</f>
        <v>6.3370167917985829E-5</v>
      </c>
      <c r="G23" s="2">
        <f>pivot_RETX[[#This Row],[MSFT]]-pivot_RETX[[#This Row],[RiskFree]]</f>
        <v>-3.7433370167917986E-2</v>
      </c>
      <c r="H23" s="2">
        <f>pivot_RETX[[#This Row],[KO]]-pivot_RETX[[#This Row],[RiskFree]]</f>
        <v>-2.6597370167917984E-2</v>
      </c>
      <c r="I23" s="2">
        <f>pivot_RETX[[#This Row],[GOOG]]-pivot_RETX[[#This Row],[RiskFree]]</f>
        <v>0.102964629832082</v>
      </c>
    </row>
    <row r="24" spans="1:15" x14ac:dyDescent="0.25">
      <c r="A24" s="1">
        <v>44165</v>
      </c>
      <c r="B24">
        <v>5.7292000000000003E-2</v>
      </c>
      <c r="C24">
        <v>7.3658000000000001E-2</v>
      </c>
      <c r="D24">
        <v>8.6198999999999998E-2</v>
      </c>
      <c r="E24">
        <f>wrds_riskfree[[#This Row],[TMYTM]]/100 / 12</f>
        <v>5.9145301110025E-5</v>
      </c>
      <c r="G24" s="2">
        <f>pivot_RETX[[#This Row],[MSFT]]-pivot_RETX[[#This Row],[RiskFree]]</f>
        <v>5.723285469888998E-2</v>
      </c>
      <c r="H24" s="2">
        <f>pivot_RETX[[#This Row],[KO]]-pivot_RETX[[#This Row],[RiskFree]]</f>
        <v>7.3598854698889979E-2</v>
      </c>
      <c r="I24" s="2">
        <f>pivot_RETX[[#This Row],[GOOG]]-pivot_RETX[[#This Row],[RiskFree]]</f>
        <v>8.6139854698889975E-2</v>
      </c>
    </row>
    <row r="25" spans="1:15" x14ac:dyDescent="0.25">
      <c r="A25" s="1">
        <v>44196</v>
      </c>
      <c r="B25">
        <v>3.9005999999999999E-2</v>
      </c>
      <c r="C25">
        <v>6.2791E-2</v>
      </c>
      <c r="D25">
        <v>-5.032E-3</v>
      </c>
      <c r="E25">
        <f>wrds_riskfree[[#This Row],[TMYTM]]/100 / 12</f>
        <v>4.2246338522921658E-5</v>
      </c>
      <c r="G25" s="2">
        <f>pivot_RETX[[#This Row],[MSFT]]-pivot_RETX[[#This Row],[RiskFree]]</f>
        <v>3.8963753661477078E-2</v>
      </c>
      <c r="H25" s="2">
        <f>pivot_RETX[[#This Row],[KO]]-pivot_RETX[[#This Row],[RiskFree]]</f>
        <v>6.2748753661477072E-2</v>
      </c>
      <c r="I25" s="2">
        <f>pivot_RETX[[#This Row],[GOOG]]-pivot_RETX[[#This Row],[RiskFree]]</f>
        <v>-5.0742463385229216E-3</v>
      </c>
    </row>
    <row r="26" spans="1:15" x14ac:dyDescent="0.25">
      <c r="A26" s="1">
        <v>44225</v>
      </c>
      <c r="B26">
        <v>4.2892E-2</v>
      </c>
      <c r="C26">
        <v>-0.121991</v>
      </c>
      <c r="D26">
        <v>4.7869000000000002E-2</v>
      </c>
      <c r="E26">
        <f>wrds_riskfree[[#This Row],[TMYTM]]/100 / 12</f>
        <v>4.4358673932552509E-5</v>
      </c>
      <c r="G26" s="2">
        <f>pivot_RETX[[#This Row],[MSFT]]-pivot_RETX[[#This Row],[RiskFree]]</f>
        <v>4.284764132606745E-2</v>
      </c>
      <c r="H26" s="2">
        <f>pivot_RETX[[#This Row],[KO]]-pivot_RETX[[#This Row],[RiskFree]]</f>
        <v>-0.12203535867393256</v>
      </c>
      <c r="I26" s="2">
        <f>pivot_RETX[[#This Row],[GOOG]]-pivot_RETX[[#This Row],[RiskFree]]</f>
        <v>4.7824641326067452E-2</v>
      </c>
    </row>
    <row r="27" spans="1:15" x14ac:dyDescent="0.25">
      <c r="A27" s="1">
        <v>44253</v>
      </c>
      <c r="B27">
        <v>1.8109999999999999E-3</v>
      </c>
      <c r="C27">
        <v>1.7444999999999999E-2</v>
      </c>
      <c r="D27">
        <v>0.109558</v>
      </c>
      <c r="E27">
        <f>wrds_riskfree[[#This Row],[TMYTM]]/100 / 12</f>
        <v>2.5347560191329999E-5</v>
      </c>
      <c r="G27" s="2">
        <f>pivot_RETX[[#This Row],[MSFT]]-pivot_RETX[[#This Row],[RiskFree]]</f>
        <v>1.7856524398086699E-3</v>
      </c>
      <c r="H27" s="2">
        <f>pivot_RETX[[#This Row],[KO]]-pivot_RETX[[#This Row],[RiskFree]]</f>
        <v>1.7419652439808669E-2</v>
      </c>
      <c r="I27" s="2">
        <f>pivot_RETX[[#This Row],[GOOG]]-pivot_RETX[[#This Row],[RiskFree]]</f>
        <v>0.10953265243980867</v>
      </c>
    </row>
    <row r="28" spans="1:15" x14ac:dyDescent="0.25">
      <c r="A28" s="1">
        <v>44286</v>
      </c>
      <c r="B28">
        <v>1.4588E-2</v>
      </c>
      <c r="C28">
        <v>7.5934000000000001E-2</v>
      </c>
      <c r="D28">
        <v>1.5597E-2</v>
      </c>
      <c r="E28">
        <f>wrds_riskfree[[#This Row],[TMYTM]]/100 / 12</f>
        <v>1.2673700883507501E-5</v>
      </c>
      <c r="G28" s="2">
        <f>pivot_RETX[[#This Row],[MSFT]]-pivot_RETX[[#This Row],[RiskFree]]</f>
        <v>1.4575326299116493E-2</v>
      </c>
      <c r="H28" s="2">
        <f>pivot_RETX[[#This Row],[KO]]-pivot_RETX[[#This Row],[RiskFree]]</f>
        <v>7.5921326299116493E-2</v>
      </c>
      <c r="I28" s="2">
        <f>pivot_RETX[[#This Row],[GOOG]]-pivot_RETX[[#This Row],[RiskFree]]</f>
        <v>1.5584326299116493E-2</v>
      </c>
    </row>
    <row r="29" spans="1:15" x14ac:dyDescent="0.25">
      <c r="A29" s="1">
        <v>44316</v>
      </c>
      <c r="B29">
        <v>6.9601999999999997E-2</v>
      </c>
      <c r="C29">
        <v>2.4094000000000001E-2</v>
      </c>
      <c r="D29">
        <v>0.16508</v>
      </c>
      <c r="E29">
        <f>wrds_riskfree[[#This Row],[TMYTM]]/100 / 12</f>
        <v>4.2245464248707505E-6</v>
      </c>
      <c r="G29" s="2">
        <f>pivot_RETX[[#This Row],[MSFT]]-pivot_RETX[[#This Row],[RiskFree]]</f>
        <v>6.9597775453575123E-2</v>
      </c>
      <c r="H29" s="2">
        <f>pivot_RETX[[#This Row],[KO]]-pivot_RETX[[#This Row],[RiskFree]]</f>
        <v>2.408977545357513E-2</v>
      </c>
      <c r="I29" s="2">
        <f>pivot_RETX[[#This Row],[GOOG]]-pivot_RETX[[#This Row],[RiskFree]]</f>
        <v>0.16507577545357513</v>
      </c>
    </row>
    <row r="30" spans="1:15" x14ac:dyDescent="0.25">
      <c r="A30" s="1">
        <v>44344</v>
      </c>
      <c r="B30">
        <v>-9.9139999999999992E-3</v>
      </c>
      <c r="C30">
        <v>2.4268000000000001E-2</v>
      </c>
      <c r="D30">
        <v>5.9699999999999998E-4</v>
      </c>
      <c r="E30">
        <f>wrds_riskfree[[#This Row],[TMYTM]]/100 / 12</f>
        <v>4.2245464248707505E-6</v>
      </c>
      <c r="G30" s="2">
        <f>pivot_RETX[[#This Row],[MSFT]]-pivot_RETX[[#This Row],[RiskFree]]</f>
        <v>-9.9182245464248704E-3</v>
      </c>
      <c r="H30" s="2">
        <f>pivot_RETX[[#This Row],[KO]]-pivot_RETX[[#This Row],[RiskFree]]</f>
        <v>2.426377545357513E-2</v>
      </c>
      <c r="I30" s="2">
        <f>pivot_RETX[[#This Row],[GOOG]]-pivot_RETX[[#This Row],[RiskFree]]</f>
        <v>5.927754535751292E-4</v>
      </c>
    </row>
    <row r="31" spans="1:15" x14ac:dyDescent="0.25">
      <c r="A31" s="1">
        <v>44377</v>
      </c>
      <c r="B31">
        <v>8.4988999999999995E-2</v>
      </c>
      <c r="C31">
        <v>-2.1342E-2</v>
      </c>
      <c r="D31">
        <v>3.9294000000000003E-2</v>
      </c>
      <c r="E31">
        <f>wrds_riskfree[[#This Row],[TMYTM]]/100 / 12</f>
        <v>2.957224802543833E-5</v>
      </c>
      <c r="G31" s="2">
        <f>pivot_RETX[[#This Row],[MSFT]]-pivot_RETX[[#This Row],[RiskFree]]</f>
        <v>8.4959427751974556E-2</v>
      </c>
      <c r="H31" s="2">
        <f>pivot_RETX[[#This Row],[KO]]-pivot_RETX[[#This Row],[RiskFree]]</f>
        <v>-2.1371572248025439E-2</v>
      </c>
      <c r="I31" s="2">
        <f>pivot_RETX[[#This Row],[GOOG]]-pivot_RETX[[#This Row],[RiskFree]]</f>
        <v>3.9264427751974564E-2</v>
      </c>
    </row>
    <row r="32" spans="1:15" x14ac:dyDescent="0.25">
      <c r="A32" s="1">
        <v>44407</v>
      </c>
      <c r="B32">
        <v>5.1716999999999999E-2</v>
      </c>
      <c r="C32">
        <v>5.3963999999999998E-2</v>
      </c>
      <c r="D32">
        <v>7.9039999999999999E-2</v>
      </c>
      <c r="E32">
        <f>wrds_riskfree[[#This Row],[TMYTM]]/100 / 12</f>
        <v>4.6471043375514168E-5</v>
      </c>
      <c r="G32" s="2">
        <f>pivot_RETX[[#This Row],[MSFT]]-pivot_RETX[[#This Row],[RiskFree]]</f>
        <v>5.1670528956624488E-2</v>
      </c>
      <c r="H32" s="2">
        <f>pivot_RETX[[#This Row],[KO]]-pivot_RETX[[#This Row],[RiskFree]]</f>
        <v>5.3917528956624487E-2</v>
      </c>
      <c r="I32" s="2">
        <f>pivot_RETX[[#This Row],[GOOG]]-pivot_RETX[[#This Row],[RiskFree]]</f>
        <v>7.8993528956624481E-2</v>
      </c>
    </row>
    <row r="33" spans="1:9" x14ac:dyDescent="0.25">
      <c r="A33" s="1">
        <v>44439</v>
      </c>
      <c r="B33">
        <v>5.9562999999999998E-2</v>
      </c>
      <c r="C33">
        <v>-1.2625000000000001E-2</v>
      </c>
      <c r="D33">
        <v>7.5734999999999997E-2</v>
      </c>
      <c r="E33">
        <f>wrds_riskfree[[#This Row],[TMYTM]]/100 / 12</f>
        <v>3.379685958032667E-5</v>
      </c>
      <c r="G33" s="2">
        <f>pivot_RETX[[#This Row],[MSFT]]-pivot_RETX[[#This Row],[RiskFree]]</f>
        <v>5.9529203140419672E-2</v>
      </c>
      <c r="H33" s="2">
        <f>pivot_RETX[[#This Row],[KO]]-pivot_RETX[[#This Row],[RiskFree]]</f>
        <v>-1.2658796859580327E-2</v>
      </c>
      <c r="I33" s="2">
        <f>pivot_RETX[[#This Row],[GOOG]]-pivot_RETX[[#This Row],[RiskFree]]</f>
        <v>7.5701203140419671E-2</v>
      </c>
    </row>
    <row r="34" spans="1:9" x14ac:dyDescent="0.25">
      <c r="A34" s="1">
        <v>44469</v>
      </c>
      <c r="B34">
        <v>-6.6118999999999997E-2</v>
      </c>
      <c r="C34">
        <v>-6.8194000000000005E-2</v>
      </c>
      <c r="D34">
        <v>-8.3847000000000005E-2</v>
      </c>
      <c r="E34">
        <f>wrds_riskfree[[#This Row],[TMYTM]]/100 / 12</f>
        <v>3.8021593770179997E-5</v>
      </c>
      <c r="G34" s="2">
        <f>pivot_RETX[[#This Row],[MSFT]]-pivot_RETX[[#This Row],[RiskFree]]</f>
        <v>-6.6157021593770182E-2</v>
      </c>
      <c r="H34" s="2">
        <f>pivot_RETX[[#This Row],[KO]]-pivot_RETX[[#This Row],[RiskFree]]</f>
        <v>-6.823202159377019E-2</v>
      </c>
      <c r="I34" s="2">
        <f>pivot_RETX[[#This Row],[GOOG]]-pivot_RETX[[#This Row],[RiskFree]]</f>
        <v>-8.388502159377019E-2</v>
      </c>
    </row>
    <row r="35" spans="1:9" x14ac:dyDescent="0.25">
      <c r="A35" s="1">
        <v>44498</v>
      </c>
      <c r="B35">
        <v>0.176291</v>
      </c>
      <c r="C35">
        <v>7.4328000000000005E-2</v>
      </c>
      <c r="D35">
        <v>0.112595</v>
      </c>
      <c r="E35">
        <f>wrds_riskfree[[#This Row],[TMYTM]]/100 / 12</f>
        <v>4.2246309184121659E-5</v>
      </c>
      <c r="G35" s="2">
        <f>pivot_RETX[[#This Row],[MSFT]]-pivot_RETX[[#This Row],[RiskFree]]</f>
        <v>0.17624875369081588</v>
      </c>
      <c r="H35" s="2">
        <f>pivot_RETX[[#This Row],[KO]]-pivot_RETX[[#This Row],[RiskFree]]</f>
        <v>7.4285753690815887E-2</v>
      </c>
      <c r="I35" s="2">
        <f>pivot_RETX[[#This Row],[GOOG]]-pivot_RETX[[#This Row],[RiskFree]]</f>
        <v>0.11255275369081588</v>
      </c>
    </row>
    <row r="36" spans="1:9" x14ac:dyDescent="0.25">
      <c r="A36" s="1">
        <v>44530</v>
      </c>
      <c r="B36">
        <v>-3.1059999999999998E-3</v>
      </c>
      <c r="C36">
        <v>-6.9541000000000006E-2</v>
      </c>
      <c r="D36">
        <v>-3.9241999999999999E-2</v>
      </c>
      <c r="E36">
        <f>wrds_riskfree[[#This Row],[TMYTM]]/100 / 12</f>
        <v>6.7594845779185E-5</v>
      </c>
      <c r="G36" s="2">
        <f>pivot_RETX[[#This Row],[MSFT]]-pivot_RETX[[#This Row],[RiskFree]]</f>
        <v>-3.1735948457791846E-3</v>
      </c>
      <c r="H36" s="2">
        <f>pivot_RETX[[#This Row],[KO]]-pivot_RETX[[#This Row],[RiskFree]]</f>
        <v>-6.9608594845779193E-2</v>
      </c>
      <c r="I36" s="2">
        <f>pivot_RETX[[#This Row],[GOOG]]-pivot_RETX[[#This Row],[RiskFree]]</f>
        <v>-3.9309594845779186E-2</v>
      </c>
    </row>
    <row r="37" spans="1:9" x14ac:dyDescent="0.25">
      <c r="A37" s="1">
        <v>44561</v>
      </c>
      <c r="B37">
        <v>1.7333000000000001E-2</v>
      </c>
      <c r="C37">
        <v>0.128885</v>
      </c>
      <c r="D37">
        <v>1.5637000000000002E-2</v>
      </c>
      <c r="E37">
        <f>wrds_riskfree[[#This Row],[TMYTM]]/100 / 12</f>
        <v>4.2246309184121659E-5</v>
      </c>
      <c r="G37" s="2">
        <f>pivot_RETX[[#This Row],[MSFT]]-pivot_RETX[[#This Row],[RiskFree]]</f>
        <v>1.7290753690815879E-2</v>
      </c>
      <c r="H37" s="2">
        <f>pivot_RETX[[#This Row],[KO]]-pivot_RETX[[#This Row],[RiskFree]]</f>
        <v>0.12884275369081588</v>
      </c>
      <c r="I37" s="2">
        <f>pivot_RETX[[#This Row],[GOOG]]-pivot_RETX[[#This Row],[RiskFree]]</f>
        <v>1.559475369081588E-2</v>
      </c>
    </row>
    <row r="38" spans="1:9" x14ac:dyDescent="0.25">
      <c r="A38" s="1">
        <v>44592</v>
      </c>
      <c r="B38">
        <v>-7.5344999999999995E-2</v>
      </c>
      <c r="C38">
        <v>3.04E-2</v>
      </c>
      <c r="D38">
        <v>-6.2074999999999998E-2</v>
      </c>
      <c r="E38">
        <f>wrds_riskfree[[#This Row],[TMYTM]]/100 / 12</f>
        <v>2.9572204898154169E-5</v>
      </c>
      <c r="G38" s="2">
        <f>pivot_RETX[[#This Row],[MSFT]]-pivot_RETX[[#This Row],[RiskFree]]</f>
        <v>-7.5374572204898155E-2</v>
      </c>
      <c r="H38" s="2">
        <f>pivot_RETX[[#This Row],[KO]]-pivot_RETX[[#This Row],[RiskFree]]</f>
        <v>3.0370427795101847E-2</v>
      </c>
      <c r="I38" s="2">
        <f>pivot_RETX[[#This Row],[GOOG]]-pivot_RETX[[#This Row],[RiskFree]]</f>
        <v>-6.2104572204898151E-2</v>
      </c>
    </row>
    <row r="39" spans="1:9" x14ac:dyDescent="0.25">
      <c r="A39" s="1">
        <v>44620</v>
      </c>
      <c r="B39">
        <v>-3.9198999999999998E-2</v>
      </c>
      <c r="C39">
        <v>2.0160999999999998E-2</v>
      </c>
      <c r="D39">
        <v>-5.9509999999999997E-3</v>
      </c>
      <c r="E39">
        <f>wrds_riskfree[[#This Row],[TMYTM]]/100 / 12</f>
        <v>5.9145301110025E-5</v>
      </c>
      <c r="G39" s="2">
        <f>pivot_RETX[[#This Row],[MSFT]]-pivot_RETX[[#This Row],[RiskFree]]</f>
        <v>-3.925814530111002E-2</v>
      </c>
      <c r="H39" s="2">
        <f>pivot_RETX[[#This Row],[KO]]-pivot_RETX[[#This Row],[RiskFree]]</f>
        <v>2.0101854698889973E-2</v>
      </c>
      <c r="I39" s="2">
        <f>pivot_RETX[[#This Row],[GOOG]]-pivot_RETX[[#This Row],[RiskFree]]</f>
        <v>-6.0101453011100247E-3</v>
      </c>
    </row>
    <row r="40" spans="1:9" x14ac:dyDescent="0.25">
      <c r="A40" s="1">
        <v>44651</v>
      </c>
      <c r="B40">
        <v>3.1862000000000001E-2</v>
      </c>
      <c r="C40">
        <v>-3.8560000000000001E-3</v>
      </c>
      <c r="D40">
        <v>3.5277000000000003E-2</v>
      </c>
      <c r="E40">
        <f>wrds_riskfree[[#This Row],[TMYTM]]/100 / 12</f>
        <v>3.3796915910323333E-5</v>
      </c>
      <c r="G40" s="2">
        <f>pivot_RETX[[#This Row],[MSFT]]-pivot_RETX[[#This Row],[RiskFree]]</f>
        <v>3.1828203084089679E-2</v>
      </c>
      <c r="H40" s="2">
        <f>pivot_RETX[[#This Row],[KO]]-pivot_RETX[[#This Row],[RiskFree]]</f>
        <v>-3.8897969159103233E-3</v>
      </c>
      <c r="I40" s="2">
        <f>pivot_RETX[[#This Row],[GOOG]]-pivot_RETX[[#This Row],[RiskFree]]</f>
        <v>3.524320308408968E-2</v>
      </c>
    </row>
    <row r="41" spans="1:9" x14ac:dyDescent="0.25">
      <c r="A41" s="1">
        <v>44680</v>
      </c>
      <c r="B41">
        <v>-9.9866999999999997E-2</v>
      </c>
      <c r="C41">
        <v>4.2097000000000002E-2</v>
      </c>
      <c r="D41">
        <v>-0.17674999999999999</v>
      </c>
      <c r="E41">
        <f>wrds_riskfree[[#This Row],[TMYTM]]/100 / 12</f>
        <v>2.9153776029709164E-4</v>
      </c>
      <c r="G41" s="2">
        <f>pivot_RETX[[#This Row],[MSFT]]-pivot_RETX[[#This Row],[RiskFree]]</f>
        <v>-0.10015853776029709</v>
      </c>
      <c r="H41" s="2">
        <f>pivot_RETX[[#This Row],[KO]]-pivot_RETX[[#This Row],[RiskFree]]</f>
        <v>4.1805462239702912E-2</v>
      </c>
      <c r="I41" s="2">
        <f>pivot_RETX[[#This Row],[GOOG]]-pivot_RETX[[#This Row],[RiskFree]]</f>
        <v>-0.17704153776029707</v>
      </c>
    </row>
    <row r="42" spans="1:9" x14ac:dyDescent="0.25">
      <c r="A42" s="1">
        <v>44712</v>
      </c>
      <c r="B42">
        <v>-2.0358999999999999E-2</v>
      </c>
      <c r="C42">
        <v>-1.9036999999999998E-2</v>
      </c>
      <c r="D42">
        <v>-8.0680000000000005E-3</v>
      </c>
      <c r="E42">
        <f>wrds_riskfree[[#This Row],[TMYTM]]/100 / 12</f>
        <v>5.7469988405384166E-4</v>
      </c>
      <c r="G42" s="2">
        <f>pivot_RETX[[#This Row],[MSFT]]-pivot_RETX[[#This Row],[RiskFree]]</f>
        <v>-2.0933699884053841E-2</v>
      </c>
      <c r="H42" s="2">
        <f>pivot_RETX[[#This Row],[KO]]-pivot_RETX[[#This Row],[RiskFree]]</f>
        <v>-1.961169988405384E-2</v>
      </c>
      <c r="I42" s="2">
        <f>pivot_RETX[[#This Row],[GOOG]]-pivot_RETX[[#This Row],[RiskFree]]</f>
        <v>-8.6426998840538425E-3</v>
      </c>
    </row>
    <row r="43" spans="1:9" x14ac:dyDescent="0.25">
      <c r="A43" s="1">
        <v>44742</v>
      </c>
      <c r="B43">
        <v>-5.5321000000000002E-2</v>
      </c>
      <c r="C43">
        <v>-7.4159999999999998E-3</v>
      </c>
      <c r="D43">
        <v>-4.0919999999999998E-2</v>
      </c>
      <c r="E43">
        <f>wrds_riskfree[[#This Row],[TMYTM]]/100 / 12</f>
        <v>9.3409584571616671E-4</v>
      </c>
      <c r="G43" s="2">
        <f>pivot_RETX[[#This Row],[MSFT]]-pivot_RETX[[#This Row],[RiskFree]]</f>
        <v>-5.6255095845716169E-2</v>
      </c>
      <c r="H43" s="2">
        <f>pivot_RETX[[#This Row],[KO]]-pivot_RETX[[#This Row],[RiskFree]]</f>
        <v>-8.3500958457161673E-3</v>
      </c>
      <c r="I43" s="2">
        <f>pivot_RETX[[#This Row],[GOOG]]-pivot_RETX[[#This Row],[RiskFree]]</f>
        <v>-4.1854095845716165E-2</v>
      </c>
    </row>
    <row r="44" spans="1:9" x14ac:dyDescent="0.25">
      <c r="A44" s="1">
        <v>44771</v>
      </c>
      <c r="B44">
        <v>9.3096999999999999E-2</v>
      </c>
      <c r="C44">
        <v>2.0029000000000002E-2</v>
      </c>
      <c r="D44">
        <v>6.6447000000000006E-2</v>
      </c>
      <c r="E44">
        <f>wrds_riskfree[[#This Row],[TMYTM]]/100 / 12</f>
        <v>1.8055911626338331E-3</v>
      </c>
      <c r="G44" s="2">
        <f>pivot_RETX[[#This Row],[MSFT]]-pivot_RETX[[#This Row],[RiskFree]]</f>
        <v>9.1291408837366167E-2</v>
      </c>
      <c r="H44" s="2">
        <f>pivot_RETX[[#This Row],[KO]]-pivot_RETX[[#This Row],[RiskFree]]</f>
        <v>1.8223408837366169E-2</v>
      </c>
      <c r="I44" s="2">
        <f>pivot_RETX[[#This Row],[GOOG]]-pivot_RETX[[#This Row],[RiskFree]]</f>
        <v>6.4641408837366174E-2</v>
      </c>
    </row>
    <row r="45" spans="1:9" x14ac:dyDescent="0.25">
      <c r="A45" s="1">
        <v>44804</v>
      </c>
      <c r="B45">
        <v>-6.8640000000000007E-2</v>
      </c>
      <c r="C45">
        <v>-3.8336000000000002E-2</v>
      </c>
      <c r="D45">
        <v>-6.4214999999999994E-2</v>
      </c>
      <c r="E45">
        <f>wrds_riskfree[[#This Row],[TMYTM]]/100 / 12</f>
        <v>1.9623358190475836E-3</v>
      </c>
      <c r="G45" s="2">
        <f>pivot_RETX[[#This Row],[MSFT]]-pivot_RETX[[#This Row],[RiskFree]]</f>
        <v>-7.0602335819047596E-2</v>
      </c>
      <c r="H45" s="2">
        <f>pivot_RETX[[#This Row],[KO]]-pivot_RETX[[#This Row],[RiskFree]]</f>
        <v>-4.0298335819047584E-2</v>
      </c>
      <c r="I45" s="2">
        <f>pivot_RETX[[#This Row],[GOOG]]-pivot_RETX[[#This Row],[RiskFree]]</f>
        <v>-6.6177335819047584E-2</v>
      </c>
    </row>
    <row r="46" spans="1:9" x14ac:dyDescent="0.25">
      <c r="A46" s="1">
        <v>44834</v>
      </c>
      <c r="B46">
        <v>-0.109267</v>
      </c>
      <c r="C46">
        <v>-9.2204999999999995E-2</v>
      </c>
      <c r="D46">
        <v>-0.119102</v>
      </c>
      <c r="E46">
        <f>wrds_riskfree[[#This Row],[TMYTM]]/100 / 12</f>
        <v>2.2712878718427498E-3</v>
      </c>
      <c r="G46" s="2">
        <f>pivot_RETX[[#This Row],[MSFT]]-pivot_RETX[[#This Row],[RiskFree]]</f>
        <v>-0.11153828787184275</v>
      </c>
      <c r="H46" s="2">
        <f>pivot_RETX[[#This Row],[KO]]-pivot_RETX[[#This Row],[RiskFree]]</f>
        <v>-9.4476287871842743E-2</v>
      </c>
      <c r="I46" s="2">
        <f>pivot_RETX[[#This Row],[GOOG]]-pivot_RETX[[#This Row],[RiskFree]]</f>
        <v>-0.12137328787184275</v>
      </c>
    </row>
    <row r="47" spans="1:9" x14ac:dyDescent="0.25">
      <c r="A47" s="1">
        <v>44865</v>
      </c>
      <c r="B47">
        <v>-3.3059999999999999E-3</v>
      </c>
      <c r="C47">
        <v>6.8367999999999998E-2</v>
      </c>
      <c r="D47">
        <v>-1.5497E-2</v>
      </c>
      <c r="E47">
        <f>wrds_riskfree[[#This Row],[TMYTM]]/100 / 12</f>
        <v>2.8811356542910835E-3</v>
      </c>
      <c r="G47" s="2">
        <f>pivot_RETX[[#This Row],[MSFT]]-pivot_RETX[[#This Row],[RiskFree]]</f>
        <v>-6.187135654291083E-3</v>
      </c>
      <c r="H47" s="2">
        <f>pivot_RETX[[#This Row],[KO]]-pivot_RETX[[#This Row],[RiskFree]]</f>
        <v>6.5486864345708912E-2</v>
      </c>
      <c r="I47" s="2">
        <f>pivot_RETX[[#This Row],[GOOG]]-pivot_RETX[[#This Row],[RiskFree]]</f>
        <v>-1.8378135654291083E-2</v>
      </c>
    </row>
    <row r="48" spans="1:9" x14ac:dyDescent="0.25">
      <c r="A48" s="1">
        <v>44895</v>
      </c>
      <c r="B48">
        <v>9.9125000000000005E-2</v>
      </c>
      <c r="C48">
        <v>6.2824000000000005E-2</v>
      </c>
      <c r="D48">
        <v>7.1730000000000002E-2</v>
      </c>
      <c r="E48">
        <f>wrds_riskfree[[#This Row],[TMYTM]]/100 / 12</f>
        <v>3.3203032800051668E-3</v>
      </c>
      <c r="G48" s="2">
        <f>pivot_RETX[[#This Row],[MSFT]]-pivot_RETX[[#This Row],[RiskFree]]</f>
        <v>9.5804696719994836E-2</v>
      </c>
      <c r="H48" s="2">
        <f>pivot_RETX[[#This Row],[KO]]-pivot_RETX[[#This Row],[RiskFree]]</f>
        <v>5.9503696719994836E-2</v>
      </c>
      <c r="I48" s="2">
        <f>pivot_RETX[[#This Row],[GOOG]]-pivot_RETX[[#This Row],[RiskFree]]</f>
        <v>6.8409696719994834E-2</v>
      </c>
    </row>
    <row r="49" spans="1:9" x14ac:dyDescent="0.25">
      <c r="A49" s="1">
        <v>44925</v>
      </c>
      <c r="B49">
        <v>-6.0045000000000001E-2</v>
      </c>
      <c r="C49">
        <v>0</v>
      </c>
      <c r="D49">
        <v>-0.12538199999999999</v>
      </c>
      <c r="E49">
        <f>wrds_riskfree[[#This Row],[TMYTM]]/100 / 12</f>
        <v>3.326299436054917E-3</v>
      </c>
      <c r="G49" s="2">
        <f>pivot_RETX[[#This Row],[MSFT]]-pivot_RETX[[#This Row],[RiskFree]]</f>
        <v>-6.337129943605492E-2</v>
      </c>
      <c r="H49" s="2">
        <f>pivot_RETX[[#This Row],[KO]]-pivot_RETX[[#This Row],[RiskFree]]</f>
        <v>-3.326299436054917E-3</v>
      </c>
      <c r="I49" s="2">
        <f>pivot_RETX[[#This Row],[GOOG]]-pivot_RETX[[#This Row],[RiskFree]]</f>
        <v>-0.12870829943605491</v>
      </c>
    </row>
    <row r="50" spans="1:9" x14ac:dyDescent="0.25">
      <c r="A50" s="1">
        <v>44957</v>
      </c>
      <c r="B50">
        <v>3.3316999999999999E-2</v>
      </c>
      <c r="C50">
        <v>-3.6000999999999998E-2</v>
      </c>
      <c r="D50">
        <v>0.12554899999999999</v>
      </c>
      <c r="E50">
        <f>wrds_riskfree[[#This Row],[TMYTM]]/100 / 12</f>
        <v>3.7371452171155836E-3</v>
      </c>
      <c r="G50" s="2">
        <f>pivot_RETX[[#This Row],[MSFT]]-pivot_RETX[[#This Row],[RiskFree]]</f>
        <v>2.9579854782884416E-2</v>
      </c>
      <c r="H50" s="2">
        <f>pivot_RETX[[#This Row],[KO]]-pivot_RETX[[#This Row],[RiskFree]]</f>
        <v>-3.9738145217115585E-2</v>
      </c>
      <c r="I50" s="2">
        <f>pivot_RETX[[#This Row],[GOOG]]-pivot_RETX[[#This Row],[RiskFree]]</f>
        <v>0.12181185478288441</v>
      </c>
    </row>
    <row r="51" spans="1:9" x14ac:dyDescent="0.25">
      <c r="A51" s="1">
        <v>44985</v>
      </c>
      <c r="B51">
        <v>6.4970000000000002E-3</v>
      </c>
      <c r="C51">
        <v>-2.9517000000000002E-2</v>
      </c>
      <c r="D51">
        <v>-9.5824999999999994E-2</v>
      </c>
      <c r="E51">
        <f>wrds_riskfree[[#This Row],[TMYTM]]/100 / 12</f>
        <v>3.6820249317449168E-3</v>
      </c>
      <c r="G51" s="2">
        <f>pivot_RETX[[#This Row],[MSFT]]-pivot_RETX[[#This Row],[RiskFree]]</f>
        <v>2.8149750682550834E-3</v>
      </c>
      <c r="H51" s="2">
        <f>pivot_RETX[[#This Row],[KO]]-pivot_RETX[[#This Row],[RiskFree]]</f>
        <v>-3.3199024931744918E-2</v>
      </c>
      <c r="I51" s="2">
        <f>pivot_RETX[[#This Row],[GOOG]]-pivot_RETX[[#This Row],[RiskFree]]</f>
        <v>-9.9507024931744917E-2</v>
      </c>
    </row>
    <row r="52" spans="1:9" x14ac:dyDescent="0.25">
      <c r="A52" s="1">
        <v>45016</v>
      </c>
      <c r="B52">
        <v>0.15588199999999999</v>
      </c>
      <c r="C52">
        <v>4.2346000000000002E-2</v>
      </c>
      <c r="D52">
        <v>0.15171599999999999</v>
      </c>
      <c r="E52">
        <f>wrds_riskfree[[#This Row],[TMYTM]]/100 / 12</f>
        <v>3.8881788842497506E-3</v>
      </c>
      <c r="G52" s="2">
        <f>pivot_RETX[[#This Row],[MSFT]]-pivot_RETX[[#This Row],[RiskFree]]</f>
        <v>0.15199382111575024</v>
      </c>
      <c r="H52" s="2">
        <f>pivot_RETX[[#This Row],[KO]]-pivot_RETX[[#This Row],[RiskFree]]</f>
        <v>3.8457821115750253E-2</v>
      </c>
      <c r="I52" s="2">
        <f>pivot_RETX[[#This Row],[GOOG]]-pivot_RETX[[#This Row],[RiskFree]]</f>
        <v>0.14782782111575024</v>
      </c>
    </row>
    <row r="53" spans="1:9" x14ac:dyDescent="0.25">
      <c r="A53" s="1">
        <v>45044</v>
      </c>
      <c r="B53">
        <v>6.5765000000000004E-2</v>
      </c>
      <c r="C53">
        <v>3.4176999999999999E-2</v>
      </c>
      <c r="D53">
        <v>4.0577000000000002E-2</v>
      </c>
      <c r="E53">
        <f>wrds_riskfree[[#This Row],[TMYTM]]/100 / 12</f>
        <v>3.4746881452196662E-3</v>
      </c>
      <c r="G53" s="2">
        <f>pivot_RETX[[#This Row],[MSFT]]-pivot_RETX[[#This Row],[RiskFree]]</f>
        <v>6.2290311854780338E-2</v>
      </c>
      <c r="H53" s="2">
        <f>pivot_RETX[[#This Row],[KO]]-pivot_RETX[[#This Row],[RiskFree]]</f>
        <v>3.0702311854780333E-2</v>
      </c>
      <c r="I53" s="2">
        <f>pivot_RETX[[#This Row],[GOOG]]-pivot_RETX[[#This Row],[RiskFree]]</f>
        <v>3.7102311854780336E-2</v>
      </c>
    </row>
    <row r="54" spans="1:9" x14ac:dyDescent="0.25">
      <c r="A54" s="1">
        <v>45077</v>
      </c>
      <c r="B54">
        <v>6.8768999999999997E-2</v>
      </c>
      <c r="C54">
        <v>-6.9991999999999999E-2</v>
      </c>
      <c r="D54">
        <v>0.13999300000000001</v>
      </c>
      <c r="E54">
        <f>wrds_riskfree[[#This Row],[TMYTM]]/100 / 12</f>
        <v>4.1287155540311671E-3</v>
      </c>
      <c r="G54" s="2">
        <f>pivot_RETX[[#This Row],[MSFT]]-pivot_RETX[[#This Row],[RiskFree]]</f>
        <v>6.4640284445968824E-2</v>
      </c>
      <c r="H54" s="2">
        <f>pivot_RETX[[#This Row],[KO]]-pivot_RETX[[#This Row],[RiskFree]]</f>
        <v>-7.4120715554031172E-2</v>
      </c>
      <c r="I54" s="2">
        <f>pivot_RETX[[#This Row],[GOOG]]-pivot_RETX[[#This Row],[RiskFree]]</f>
        <v>0.13586428444596885</v>
      </c>
    </row>
    <row r="55" spans="1:9" x14ac:dyDescent="0.25">
      <c r="A55" s="1">
        <v>45107</v>
      </c>
      <c r="B55">
        <v>3.6998999999999997E-2</v>
      </c>
      <c r="C55">
        <v>9.3869999999999995E-3</v>
      </c>
      <c r="D55">
        <v>-1.9453999999999999E-2</v>
      </c>
      <c r="E55">
        <f>wrds_riskfree[[#This Row],[TMYTM]]/100 / 12</f>
        <v>4.3018495762031667E-3</v>
      </c>
      <c r="G55" s="2">
        <f>pivot_RETX[[#This Row],[MSFT]]-pivot_RETX[[#This Row],[RiskFree]]</f>
        <v>3.2697150423796832E-2</v>
      </c>
      <c r="H55" s="2">
        <f>pivot_RETX[[#This Row],[KO]]-pivot_RETX[[#This Row],[RiskFree]]</f>
        <v>5.0851504237968328E-3</v>
      </c>
      <c r="I55" s="2">
        <f>pivot_RETX[[#This Row],[GOOG]]-pivot_RETX[[#This Row],[RiskFree]]</f>
        <v>-2.3755849576203164E-2</v>
      </c>
    </row>
    <row r="56" spans="1:9" x14ac:dyDescent="0.25">
      <c r="A56" s="1">
        <v>45138</v>
      </c>
      <c r="B56">
        <v>-1.3566999999999999E-2</v>
      </c>
      <c r="C56">
        <v>2.8396000000000001E-2</v>
      </c>
      <c r="D56">
        <v>0.100355</v>
      </c>
      <c r="E56">
        <f>wrds_riskfree[[#This Row],[TMYTM]]/100 / 12</f>
        <v>4.4415771726095832E-3</v>
      </c>
      <c r="G56" s="2">
        <f>pivot_RETX[[#This Row],[MSFT]]-pivot_RETX[[#This Row],[RiskFree]]</f>
        <v>-1.8008577172609584E-2</v>
      </c>
      <c r="H56" s="2">
        <f>pivot_RETX[[#This Row],[KO]]-pivot_RETX[[#This Row],[RiskFree]]</f>
        <v>2.3954422827390416E-2</v>
      </c>
      <c r="I56" s="2">
        <f>pivot_RETX[[#This Row],[GOOG]]-pivot_RETX[[#This Row],[RiskFree]]</f>
        <v>9.5913422827390418E-2</v>
      </c>
    </row>
    <row r="57" spans="1:9" x14ac:dyDescent="0.25">
      <c r="A57" s="1">
        <v>45169</v>
      </c>
      <c r="B57">
        <v>-2.4292000000000001E-2</v>
      </c>
      <c r="C57">
        <v>-3.3909000000000002E-2</v>
      </c>
      <c r="D57">
        <v>3.1852999999999999E-2</v>
      </c>
      <c r="E57">
        <f>wrds_riskfree[[#This Row],[TMYTM]]/100 / 12</f>
        <v>4.4634518342988334E-3</v>
      </c>
      <c r="G57" s="2">
        <f>pivot_RETX[[#This Row],[MSFT]]-pivot_RETX[[#This Row],[RiskFree]]</f>
        <v>-2.8755451834298833E-2</v>
      </c>
      <c r="H57" s="2">
        <f>pivot_RETX[[#This Row],[KO]]-pivot_RETX[[#This Row],[RiskFree]]</f>
        <v>-3.8372451834298833E-2</v>
      </c>
      <c r="I57" s="2">
        <f>pivot_RETX[[#This Row],[GOOG]]-pivot_RETX[[#This Row],[RiskFree]]</f>
        <v>2.7389548165701168E-2</v>
      </c>
    </row>
    <row r="58" spans="1:9" x14ac:dyDescent="0.25">
      <c r="A58" s="1">
        <v>45198</v>
      </c>
      <c r="B58">
        <v>-3.6643000000000002E-2</v>
      </c>
      <c r="C58">
        <v>-6.4349000000000003E-2</v>
      </c>
      <c r="D58">
        <v>-4.0044000000000003E-2</v>
      </c>
      <c r="E58">
        <f>wrds_riskfree[[#This Row],[TMYTM]]/100 / 12</f>
        <v>4.4716127231124994E-3</v>
      </c>
      <c r="G58" s="2">
        <f>pivot_RETX[[#This Row],[MSFT]]-pivot_RETX[[#This Row],[RiskFree]]</f>
        <v>-4.1114612723112502E-2</v>
      </c>
      <c r="H58" s="2">
        <f>pivot_RETX[[#This Row],[KO]]-pivot_RETX[[#This Row],[RiskFree]]</f>
        <v>-6.8820612723112504E-2</v>
      </c>
      <c r="I58" s="2">
        <f>pivot_RETX[[#This Row],[GOOG]]-pivot_RETX[[#This Row],[RiskFree]]</f>
        <v>-4.4515612723112503E-2</v>
      </c>
    </row>
    <row r="59" spans="1:9" x14ac:dyDescent="0.25">
      <c r="A59" s="1">
        <v>45230</v>
      </c>
      <c r="B59">
        <v>7.0815000000000003E-2</v>
      </c>
      <c r="C59">
        <v>9.11E-3</v>
      </c>
      <c r="D59">
        <v>-4.9678E-2</v>
      </c>
      <c r="E59">
        <f>wrds_riskfree[[#This Row],[TMYTM]]/100 / 12</f>
        <v>4.4751976559595829E-3</v>
      </c>
      <c r="G59" s="2">
        <f>pivot_RETX[[#This Row],[MSFT]]-pivot_RETX[[#This Row],[RiskFree]]</f>
        <v>6.6339802344040424E-2</v>
      </c>
      <c r="H59" s="2">
        <f>pivot_RETX[[#This Row],[KO]]-pivot_RETX[[#This Row],[RiskFree]]</f>
        <v>4.6348023440404172E-3</v>
      </c>
      <c r="I59" s="2">
        <f>pivot_RETX[[#This Row],[GOOG]]-pivot_RETX[[#This Row],[RiskFree]]</f>
        <v>-5.4153197655959585E-2</v>
      </c>
    </row>
    <row r="60" spans="1:9" x14ac:dyDescent="0.25">
      <c r="A60" s="1">
        <v>45260</v>
      </c>
      <c r="B60">
        <v>0.120671</v>
      </c>
      <c r="C60">
        <v>3.4519000000000001E-2</v>
      </c>
      <c r="D60">
        <v>6.8794999999999995E-2</v>
      </c>
      <c r="E60">
        <f>wrds_riskfree[[#This Row],[TMYTM]]/100 / 12</f>
        <v>4.4549617851250825E-3</v>
      </c>
      <c r="G60" s="2">
        <f>pivot_RETX[[#This Row],[MSFT]]-pivot_RETX[[#This Row],[RiskFree]]</f>
        <v>0.11621603821487492</v>
      </c>
      <c r="H60" s="2">
        <f>pivot_RETX[[#This Row],[KO]]-pivot_RETX[[#This Row],[RiskFree]]</f>
        <v>3.0064038214874918E-2</v>
      </c>
      <c r="I60" s="2">
        <f>pivot_RETX[[#This Row],[GOOG]]-pivot_RETX[[#This Row],[RiskFree]]</f>
        <v>6.4340038214874912E-2</v>
      </c>
    </row>
    <row r="61" spans="1:9" x14ac:dyDescent="0.25">
      <c r="A61" s="1">
        <v>45289</v>
      </c>
      <c r="B61">
        <v>-7.574E-3</v>
      </c>
      <c r="C61">
        <v>8.3850000000000001E-3</v>
      </c>
      <c r="D61">
        <v>5.2345000000000003E-2</v>
      </c>
      <c r="E61">
        <f>wrds_riskfree[[#This Row],[TMYTM]]/100 / 12</f>
        <v>4.4843461814780836E-3</v>
      </c>
      <c r="G61" s="2">
        <f>pivot_RETX[[#This Row],[MSFT]]-pivot_RETX[[#This Row],[RiskFree]]</f>
        <v>-1.2058346181478084E-2</v>
      </c>
      <c r="H61" s="2">
        <f>pivot_RETX[[#This Row],[KO]]-pivot_RETX[[#This Row],[RiskFree]]</f>
        <v>3.9006538185219165E-3</v>
      </c>
      <c r="I61" s="2">
        <f>pivot_RETX[[#This Row],[GOOG]]-pivot_RETX[[#This Row],[RiskFree]]</f>
        <v>4.786065381852192E-2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1CC0-468F-4D28-9E8A-FDBD86FC29BC}">
  <dimension ref="A1:P61"/>
  <sheetViews>
    <sheetView workbookViewId="0">
      <selection activeCell="E2" sqref="E2"/>
    </sheetView>
  </sheetViews>
  <sheetFormatPr defaultRowHeight="15" x14ac:dyDescent="0.25"/>
  <cols>
    <col min="1" max="1" width="10.42578125" bestFit="1" customWidth="1"/>
    <col min="2" max="4" width="9.7109375" bestFit="1" customWidth="1"/>
    <col min="5" max="5" width="12" bestFit="1" customWidth="1"/>
    <col min="6" max="6" width="12.140625" bestFit="1" customWidth="1"/>
    <col min="7" max="8" width="12.7109375" bestFit="1" customWidth="1"/>
    <col min="9" max="9" width="13.42578125" bestFit="1" customWidth="1"/>
    <col min="12" max="12" width="15" bestFit="1" customWidth="1"/>
    <col min="13" max="15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G1" s="3" t="s">
        <v>14</v>
      </c>
      <c r="H1" s="3" t="s">
        <v>15</v>
      </c>
      <c r="I1" s="3" t="s">
        <v>16</v>
      </c>
      <c r="L1" s="3"/>
      <c r="M1" s="3" t="s">
        <v>1</v>
      </c>
      <c r="N1" s="3" t="s">
        <v>2</v>
      </c>
      <c r="O1" s="3" t="s">
        <v>3</v>
      </c>
      <c r="P1" s="6" t="s">
        <v>13</v>
      </c>
    </row>
    <row r="2" spans="1:16" x14ac:dyDescent="0.25">
      <c r="A2" s="1">
        <v>43496</v>
      </c>
      <c r="B2">
        <v>2.8157999999999999E-2</v>
      </c>
      <c r="C2">
        <v>1.6473000000000002E-2</v>
      </c>
      <c r="D2">
        <v>7.7982999999999997E-2</v>
      </c>
      <c r="E2">
        <f>wrds_riskfree[[#This Row],[TMYTM]]/100 / 12</f>
        <v>1.96227247527075E-3</v>
      </c>
      <c r="G2" s="2">
        <f>pivot_RET[[#This Row],[MSFT]]-pivot_RET[[#This Row],[RiskFree]]</f>
        <v>2.6195727524729248E-2</v>
      </c>
      <c r="H2" s="2">
        <f>pivot_RET[[#This Row],[KO]]-pivot_RET[[#This Row],[RiskFree]]</f>
        <v>1.4510727524729251E-2</v>
      </c>
      <c r="I2" s="2">
        <f>pivot_RET[[#This Row],[GOOG]]-pivot_RET[[#This Row],[RiskFree]]</f>
        <v>7.6020727524729242E-2</v>
      </c>
      <c r="L2" s="3" t="s">
        <v>4</v>
      </c>
      <c r="M2" s="2">
        <f>AVERAGE(pivot_RET[MSFT])</f>
        <v>2.4874300000000012E-2</v>
      </c>
      <c r="N2" s="2">
        <f>AVERAGE(pivot_RET[KO])</f>
        <v>7.6896833333333315E-3</v>
      </c>
      <c r="O2" s="2">
        <f>AVERAGE(pivot_RET[GOOG])</f>
        <v>1.9821049999999993E-2</v>
      </c>
      <c r="P2" s="2">
        <f>AVERAGE(pivot_RET[RiskFree])</f>
        <v>1.5270852946406563E-3</v>
      </c>
    </row>
    <row r="3" spans="1:16" x14ac:dyDescent="0.25">
      <c r="A3" s="1">
        <v>43524</v>
      </c>
      <c r="B3">
        <v>7.7181E-2</v>
      </c>
      <c r="C3">
        <v>-5.7967999999999999E-2</v>
      </c>
      <c r="D3">
        <v>3.1800000000000001E-3</v>
      </c>
      <c r="E3">
        <f>wrds_riskfree[[#This Row],[TMYTM]]/100 / 12</f>
        <v>2.0215439460972498E-3</v>
      </c>
      <c r="G3" s="2">
        <f>pivot_RET[[#This Row],[MSFT]]-pivot_RET[[#This Row],[RiskFree]]</f>
        <v>7.5159456053902757E-2</v>
      </c>
      <c r="H3" s="2">
        <f>pivot_RET[[#This Row],[KO]]-pivot_RET[[#This Row],[RiskFree]]</f>
        <v>-5.9989543946097248E-2</v>
      </c>
      <c r="I3" s="2">
        <f>pivot_RET[[#This Row],[GOOG]]-pivot_RET[[#This Row],[RiskFree]]</f>
        <v>1.1584560539027503E-3</v>
      </c>
      <c r="L3" s="3" t="s">
        <v>5</v>
      </c>
      <c r="M3" s="2">
        <f>_xlfn.STDEV.S(pivot_RET[MSFT])</f>
        <v>6.3462267524617352E-2</v>
      </c>
      <c r="N3" s="2">
        <f>_xlfn.STDEV.S(pivot_RET[KO])</f>
        <v>5.2853493320236269E-2</v>
      </c>
      <c r="O3" s="2">
        <f>_xlfn.STDEV.S(pivot_RET[KO])</f>
        <v>5.2853493320236269E-2</v>
      </c>
      <c r="P3" s="2">
        <f>_xlfn.STDEV.S(pivot_RET[GOOG])</f>
        <v>7.7973816435428708E-2</v>
      </c>
    </row>
    <row r="4" spans="1:16" x14ac:dyDescent="0.25">
      <c r="A4" s="1">
        <v>43553</v>
      </c>
      <c r="B4">
        <v>5.2754000000000002E-2</v>
      </c>
      <c r="C4">
        <v>4.2347000000000003E-2</v>
      </c>
      <c r="D4">
        <v>4.7673E-2</v>
      </c>
      <c r="E4">
        <f>wrds_riskfree[[#This Row],[TMYTM]]/100 / 12</f>
        <v>2.0172432007860832E-3</v>
      </c>
      <c r="G4" s="2">
        <f>pivot_RET[[#This Row],[MSFT]]-pivot_RET[[#This Row],[RiskFree]]</f>
        <v>5.0736756799213918E-2</v>
      </c>
      <c r="H4" s="2">
        <f>pivot_RET[[#This Row],[KO]]-pivot_RET[[#This Row],[RiskFree]]</f>
        <v>4.0329756799213919E-2</v>
      </c>
      <c r="I4" s="2">
        <f>pivot_RET[[#This Row],[GOOG]]-pivot_RET[[#This Row],[RiskFree]]</f>
        <v>4.5655756799213916E-2</v>
      </c>
      <c r="L4" s="3" t="s">
        <v>6</v>
      </c>
      <c r="M4" s="2">
        <f>M2*12</f>
        <v>0.29849160000000013</v>
      </c>
      <c r="N4" s="2">
        <f>N2*12</f>
        <v>9.2276199999999975E-2</v>
      </c>
      <c r="O4" s="2">
        <f>O2*12</f>
        <v>0.23785259999999991</v>
      </c>
      <c r="P4" s="2">
        <f>P2*12</f>
        <v>1.8325023535687875E-2</v>
      </c>
    </row>
    <row r="5" spans="1:16" x14ac:dyDescent="0.25">
      <c r="A5" s="1">
        <v>43585</v>
      </c>
      <c r="B5">
        <v>0.10734299999999999</v>
      </c>
      <c r="C5">
        <v>4.6947999999999997E-2</v>
      </c>
      <c r="D5">
        <v>1.2929E-2</v>
      </c>
      <c r="E5">
        <f>wrds_riskfree[[#This Row],[TMYTM]]/100 / 12</f>
        <v>2.0086434690135E-3</v>
      </c>
      <c r="G5" s="2">
        <f>pivot_RET[[#This Row],[MSFT]]-pivot_RET[[#This Row],[RiskFree]]</f>
        <v>0.10533435653098649</v>
      </c>
      <c r="H5" s="2">
        <f>pivot_RET[[#This Row],[KO]]-pivot_RET[[#This Row],[RiskFree]]</f>
        <v>4.4939356530986498E-2</v>
      </c>
      <c r="I5" s="2">
        <f>pivot_RET[[#This Row],[GOOG]]-pivot_RET[[#This Row],[RiskFree]]</f>
        <v>1.09203565309865E-2</v>
      </c>
      <c r="L5" s="3" t="s">
        <v>7</v>
      </c>
      <c r="M5" s="2">
        <f>M3*SQRT(12)</f>
        <v>0.21983974343233123</v>
      </c>
      <c r="N5" s="2">
        <f>N3*SQRT(12)</f>
        <v>0.18308987157630296</v>
      </c>
      <c r="O5" s="2">
        <f>O3*SQRT(12)</f>
        <v>0.18308987157630296</v>
      </c>
      <c r="P5" s="2">
        <f>P3*SQRT(12)</f>
        <v>0.27010922345242339</v>
      </c>
    </row>
    <row r="6" spans="1:16" x14ac:dyDescent="0.25">
      <c r="A6" s="1">
        <v>43616</v>
      </c>
      <c r="B6">
        <v>-4.9464000000000001E-2</v>
      </c>
      <c r="C6">
        <v>1.4270000000000001E-3</v>
      </c>
      <c r="D6">
        <v>-7.1393999999999999E-2</v>
      </c>
      <c r="E6">
        <f>wrds_riskfree[[#This Row],[TMYTM]]/100 / 12</f>
        <v>1.9579758793994997E-3</v>
      </c>
      <c r="G6" s="2">
        <f>pivot_RET[[#This Row],[MSFT]]-pivot_RET[[#This Row],[RiskFree]]</f>
        <v>-5.1421975879399499E-2</v>
      </c>
      <c r="H6" s="2">
        <f>pivot_RET[[#This Row],[KO]]-pivot_RET[[#This Row],[RiskFree]]</f>
        <v>-5.3097587939949955E-4</v>
      </c>
      <c r="I6" s="2">
        <f>pivot_RET[[#This Row],[GOOG]]-pivot_RET[[#This Row],[RiskFree]]</f>
        <v>-7.3351975879399497E-2</v>
      </c>
      <c r="L6" s="2"/>
      <c r="M6" s="2"/>
      <c r="N6" s="2"/>
      <c r="O6" s="2"/>
    </row>
    <row r="7" spans="1:16" x14ac:dyDescent="0.25">
      <c r="A7" s="1">
        <v>43644</v>
      </c>
      <c r="B7">
        <v>8.3117999999999997E-2</v>
      </c>
      <c r="C7">
        <v>4.4575999999999998E-2</v>
      </c>
      <c r="D7">
        <v>-2.0587000000000001E-2</v>
      </c>
      <c r="E7">
        <f>wrds_riskfree[[#This Row],[TMYTM]]/100 / 12</f>
        <v>1.6934346877270001E-3</v>
      </c>
      <c r="G7" s="2">
        <f>pivot_RET[[#This Row],[MSFT]]-pivot_RET[[#This Row],[RiskFree]]</f>
        <v>8.1424565312273003E-2</v>
      </c>
      <c r="H7" s="2">
        <f>pivot_RET[[#This Row],[KO]]-pivot_RET[[#This Row],[RiskFree]]</f>
        <v>4.2882565312272997E-2</v>
      </c>
      <c r="I7" s="2">
        <f>pivot_RET[[#This Row],[GOOG]]-pivot_RET[[#This Row],[RiskFree]]</f>
        <v>-2.2280434687727002E-2</v>
      </c>
      <c r="L7" s="3" t="s">
        <v>23</v>
      </c>
      <c r="M7" s="2">
        <f>AVERAGE(G2:G61)</f>
        <v>2.3347214705359352E-2</v>
      </c>
      <c r="N7" s="2">
        <f t="shared" ref="N7:O7" si="0">AVERAGE(H2:H61)</f>
        <v>6.1625980386926767E-3</v>
      </c>
      <c r="O7" s="2">
        <f t="shared" si="0"/>
        <v>1.8293964705359347E-2</v>
      </c>
    </row>
    <row r="8" spans="1:16" x14ac:dyDescent="0.25">
      <c r="A8" s="1">
        <v>43677</v>
      </c>
      <c r="B8">
        <v>1.7243999999999999E-2</v>
      </c>
      <c r="C8">
        <v>3.3582000000000001E-2</v>
      </c>
      <c r="D8">
        <v>0.125607</v>
      </c>
      <c r="E8">
        <f>wrds_riskfree[[#This Row],[TMYTM]]/100 / 12</f>
        <v>1.8776635503075833E-3</v>
      </c>
      <c r="G8" s="2">
        <f>pivot_RET[[#This Row],[MSFT]]-pivot_RET[[#This Row],[RiskFree]]</f>
        <v>1.5366336449692417E-2</v>
      </c>
      <c r="H8" s="2">
        <f>pivot_RET[[#This Row],[KO]]-pivot_RET[[#This Row],[RiskFree]]</f>
        <v>3.1704336449692415E-2</v>
      </c>
      <c r="I8" s="2">
        <f>pivot_RET[[#This Row],[GOOG]]-pivot_RET[[#This Row],[RiskFree]]</f>
        <v>0.12372933644969242</v>
      </c>
      <c r="L8" s="3" t="s">
        <v>24</v>
      </c>
      <c r="M8" s="2">
        <f>_xlfn.STDEV.S(G2:G61)</f>
        <v>6.3373870522556608E-2</v>
      </c>
      <c r="N8" s="2">
        <f t="shared" ref="N8:O8" si="1">_xlfn.STDEV.S(H2:H61)</f>
        <v>5.2985967259869399E-2</v>
      </c>
      <c r="O8" s="2">
        <f t="shared" si="1"/>
        <v>7.795212894878957E-2</v>
      </c>
    </row>
    <row r="9" spans="1:16" x14ac:dyDescent="0.25">
      <c r="A9" s="1">
        <v>43707</v>
      </c>
      <c r="B9">
        <v>1.5044E-2</v>
      </c>
      <c r="C9">
        <v>4.5790999999999998E-2</v>
      </c>
      <c r="D9">
        <v>-2.349E-2</v>
      </c>
      <c r="E9">
        <f>wrds_riskfree[[#This Row],[TMYTM]]/100 / 12</f>
        <v>1.7378724627450833E-3</v>
      </c>
      <c r="G9" s="2">
        <f>pivot_RET[[#This Row],[MSFT]]-pivot_RET[[#This Row],[RiskFree]]</f>
        <v>1.3306127537254917E-2</v>
      </c>
      <c r="H9" s="2">
        <f>pivot_RET[[#This Row],[KO]]-pivot_RET[[#This Row],[RiskFree]]</f>
        <v>4.4053127537254919E-2</v>
      </c>
      <c r="I9" s="2">
        <f>pivot_RET[[#This Row],[GOOG]]-pivot_RET[[#This Row],[RiskFree]]</f>
        <v>-2.5227872462745084E-2</v>
      </c>
      <c r="L9" s="3" t="s">
        <v>33</v>
      </c>
      <c r="M9" s="2">
        <f>M7/M8</f>
        <v>0.36840443092471997</v>
      </c>
      <c r="N9" s="2">
        <f t="shared" ref="N9:O9" si="2">N7/N8</f>
        <v>0.11630622893922549</v>
      </c>
      <c r="O9" s="2">
        <f t="shared" si="2"/>
        <v>0.23468204078656421</v>
      </c>
    </row>
    <row r="10" spans="1:16" x14ac:dyDescent="0.25">
      <c r="A10" s="1">
        <v>43738</v>
      </c>
      <c r="B10">
        <v>8.4869999999999998E-3</v>
      </c>
      <c r="C10">
        <v>-3.6340000000000001E-3</v>
      </c>
      <c r="D10">
        <v>2.6008E-2</v>
      </c>
      <c r="E10">
        <f>wrds_riskfree[[#This Row],[TMYTM]]/100 / 12</f>
        <v>1.5008579504105001E-3</v>
      </c>
      <c r="G10" s="2">
        <f>pivot_RET[[#This Row],[MSFT]]-pivot_RET[[#This Row],[RiskFree]]</f>
        <v>6.9861420495894999E-3</v>
      </c>
      <c r="H10" s="2">
        <f>pivot_RET[[#This Row],[KO]]-pivot_RET[[#This Row],[RiskFree]]</f>
        <v>-5.1348579504104999E-3</v>
      </c>
      <c r="I10" s="2">
        <f>pivot_RET[[#This Row],[GOOG]]-pivot_RET[[#This Row],[RiskFree]]</f>
        <v>2.4507142049589498E-2</v>
      </c>
      <c r="L10" s="2"/>
      <c r="M10" s="2"/>
      <c r="N10" s="2"/>
      <c r="O10" s="2"/>
    </row>
    <row r="11" spans="1:16" x14ac:dyDescent="0.25">
      <c r="A11" s="1">
        <v>43769</v>
      </c>
      <c r="B11">
        <v>3.1216000000000001E-2</v>
      </c>
      <c r="C11">
        <v>-1.84E-4</v>
      </c>
      <c r="D11">
        <v>3.3723999999999997E-2</v>
      </c>
      <c r="E11">
        <f>wrds_riskfree[[#This Row],[TMYTM]]/100 / 12</f>
        <v>1.2640028773355E-3</v>
      </c>
      <c r="G11" s="2">
        <f>pivot_RET[[#This Row],[MSFT]]-pivot_RET[[#This Row],[RiskFree]]</f>
        <v>2.9951997122664501E-2</v>
      </c>
      <c r="H11" s="2">
        <f>pivot_RET[[#This Row],[KO]]-pivot_RET[[#This Row],[RiskFree]]</f>
        <v>-1.4480028773354999E-3</v>
      </c>
      <c r="I11" s="2">
        <f>pivot_RET[[#This Row],[GOOG]]-pivot_RET[[#This Row],[RiskFree]]</f>
        <v>3.2459997122664494E-2</v>
      </c>
      <c r="L11" s="3" t="s">
        <v>31</v>
      </c>
      <c r="M11" s="2">
        <f>M7*12</f>
        <v>0.2801665764643122</v>
      </c>
      <c r="N11" s="2">
        <f t="shared" ref="N11:O11" si="3">N7*12</f>
        <v>7.3951176464312124E-2</v>
      </c>
      <c r="O11" s="2">
        <f t="shared" si="3"/>
        <v>0.21952757646431215</v>
      </c>
    </row>
    <row r="12" spans="1:16" x14ac:dyDescent="0.25">
      <c r="A12" s="1">
        <v>43798</v>
      </c>
      <c r="B12">
        <v>5.9427000000000001E-2</v>
      </c>
      <c r="C12">
        <v>-1.1573999999999999E-2</v>
      </c>
      <c r="D12">
        <v>3.5591999999999999E-2</v>
      </c>
      <c r="E12">
        <f>wrds_riskfree[[#This Row],[TMYTM]]/100 / 12</f>
        <v>1.3591599330884166E-3</v>
      </c>
      <c r="G12" s="2">
        <f>pivot_RET[[#This Row],[MSFT]]-pivot_RET[[#This Row],[RiskFree]]</f>
        <v>5.8067840066911583E-2</v>
      </c>
      <c r="H12" s="2">
        <f>pivot_RET[[#This Row],[KO]]-pivot_RET[[#This Row],[RiskFree]]</f>
        <v>-1.2933159933088415E-2</v>
      </c>
      <c r="I12" s="2">
        <f>pivot_RET[[#This Row],[GOOG]]-pivot_RET[[#This Row],[RiskFree]]</f>
        <v>3.4232840066911581E-2</v>
      </c>
      <c r="L12" s="3" t="s">
        <v>32</v>
      </c>
      <c r="M12" s="2">
        <f>M8*SQRT(12)</f>
        <v>0.21953352723471928</v>
      </c>
      <c r="N12" s="2">
        <f t="shared" ref="N12:O12" si="4">N8*SQRT(12)</f>
        <v>0.18354877476454975</v>
      </c>
      <c r="O12" s="2">
        <f t="shared" si="4"/>
        <v>0.27003409579492843</v>
      </c>
    </row>
    <row r="13" spans="1:16" x14ac:dyDescent="0.25">
      <c r="A13" s="1">
        <v>43830</v>
      </c>
      <c r="B13">
        <v>4.1749000000000001E-2</v>
      </c>
      <c r="C13">
        <v>3.6517000000000001E-2</v>
      </c>
      <c r="D13">
        <v>2.4568E-2</v>
      </c>
      <c r="E13">
        <f>wrds_riskfree[[#This Row],[TMYTM]]/100 / 12</f>
        <v>1.1793314526302499E-3</v>
      </c>
      <c r="G13" s="2">
        <f>pivot_RET[[#This Row],[MSFT]]-pivot_RET[[#This Row],[RiskFree]]</f>
        <v>4.056966854736975E-2</v>
      </c>
      <c r="H13" s="2">
        <f>pivot_RET[[#This Row],[KO]]-pivot_RET[[#This Row],[RiskFree]]</f>
        <v>3.5337668547369749E-2</v>
      </c>
      <c r="I13" s="2">
        <f>pivot_RET[[#This Row],[GOOG]]-pivot_RET[[#This Row],[RiskFree]]</f>
        <v>2.3388668547369748E-2</v>
      </c>
      <c r="L13" s="3" t="s">
        <v>8</v>
      </c>
      <c r="M13" s="2">
        <f>M11/M12</f>
        <v>1.2761903841902276</v>
      </c>
      <c r="N13" s="2">
        <f t="shared" ref="N13:O13" si="5">N11/N12</f>
        <v>0.40289659551895252</v>
      </c>
      <c r="O13" s="2">
        <f t="shared" si="5"/>
        <v>0.81296243653256151</v>
      </c>
    </row>
    <row r="14" spans="1:16" x14ac:dyDescent="0.25">
      <c r="A14" s="1">
        <v>43861</v>
      </c>
      <c r="B14">
        <v>7.9454999999999998E-2</v>
      </c>
      <c r="C14">
        <v>5.5104E-2</v>
      </c>
      <c r="D14">
        <v>7.2706000000000007E-2</v>
      </c>
      <c r="E14">
        <f>wrds_riskfree[[#This Row],[TMYTM]]/100 / 12</f>
        <v>1.2999336293397499E-3</v>
      </c>
      <c r="G14" s="2">
        <f>pivot_RET[[#This Row],[MSFT]]-pivot_RET[[#This Row],[RiskFree]]</f>
        <v>7.8155066370660248E-2</v>
      </c>
      <c r="H14" s="2">
        <f>pivot_RET[[#This Row],[KO]]-pivot_RET[[#This Row],[RiskFree]]</f>
        <v>5.380406637066025E-2</v>
      </c>
      <c r="I14" s="2">
        <f>pivot_RET[[#This Row],[GOOG]]-pivot_RET[[#This Row],[RiskFree]]</f>
        <v>7.1406066370660257E-2</v>
      </c>
    </row>
    <row r="15" spans="1:16" x14ac:dyDescent="0.25">
      <c r="A15" s="1">
        <v>43889</v>
      </c>
      <c r="B15">
        <v>-4.5291999999999999E-2</v>
      </c>
      <c r="C15">
        <v>-8.4074999999999997E-2</v>
      </c>
      <c r="D15">
        <v>-6.6168000000000005E-2</v>
      </c>
      <c r="E15">
        <f>wrds_riskfree[[#This Row],[TMYTM]]/100 / 12</f>
        <v>1.2047562290165E-3</v>
      </c>
      <c r="G15" s="2">
        <f>pivot_RET[[#This Row],[MSFT]]-pivot_RET[[#This Row],[RiskFree]]</f>
        <v>-4.64967562290165E-2</v>
      </c>
      <c r="H15" s="2">
        <f>pivot_RET[[#This Row],[KO]]-pivot_RET[[#This Row],[RiskFree]]</f>
        <v>-8.5279756229016498E-2</v>
      </c>
      <c r="I15" s="2">
        <f>pivot_RET[[#This Row],[GOOG]]-pivot_RET[[#This Row],[RiskFree]]</f>
        <v>-6.7372756229016506E-2</v>
      </c>
      <c r="L15" s="5" t="s">
        <v>25</v>
      </c>
      <c r="M15" s="5" t="s">
        <v>1</v>
      </c>
      <c r="N15" s="5" t="s">
        <v>2</v>
      </c>
      <c r="O15" s="5" t="s">
        <v>3</v>
      </c>
    </row>
    <row r="16" spans="1:16" x14ac:dyDescent="0.25">
      <c r="A16" s="1">
        <v>43921</v>
      </c>
      <c r="B16">
        <v>-2.6540999999999999E-2</v>
      </c>
      <c r="C16">
        <v>-0.165078</v>
      </c>
      <c r="D16">
        <v>-0.131797</v>
      </c>
      <c r="E16">
        <f>wrds_riskfree[[#This Row],[TMYTM]]/100 / 12</f>
        <v>3.3796352623437501E-6</v>
      </c>
      <c r="G16" s="2">
        <f>pivot_RET[[#This Row],[MSFT]]-pivot_RET[[#This Row],[RiskFree]]</f>
        <v>-2.6544379635262343E-2</v>
      </c>
      <c r="H16" s="2">
        <f>pivot_RET[[#This Row],[KO]]-pivot_RET[[#This Row],[RiskFree]]</f>
        <v>-0.16508137963526234</v>
      </c>
      <c r="I16" s="2">
        <f>pivot_RET[[#This Row],[GOOG]]-pivot_RET[[#This Row],[RiskFree]]</f>
        <v>-0.13180037963526234</v>
      </c>
      <c r="L16" s="3" t="s">
        <v>1</v>
      </c>
      <c r="M16" s="2">
        <f>VARP(pivot_RET!$B$2:$B$61)</f>
        <v>3.9603350760433337E-3</v>
      </c>
      <c r="N16" s="2">
        <f>M17</f>
        <v>1.1573396057116671E-3</v>
      </c>
      <c r="O16" s="2">
        <f>M18</f>
        <v>3.2864019406850004E-3</v>
      </c>
    </row>
    <row r="17" spans="1:15" x14ac:dyDescent="0.25">
      <c r="A17" s="1">
        <v>43951</v>
      </c>
      <c r="B17">
        <v>0.136326</v>
      </c>
      <c r="C17">
        <v>3.7061999999999998E-2</v>
      </c>
      <c r="D17">
        <v>0.159828</v>
      </c>
      <c r="E17">
        <f>wrds_riskfree[[#This Row],[TMYTM]]/100 / 12</f>
        <v>6.1257822606083334E-5</v>
      </c>
      <c r="G17" s="2">
        <f>pivot_RET[[#This Row],[MSFT]]-pivot_RET[[#This Row],[RiskFree]]</f>
        <v>0.13626474217739393</v>
      </c>
      <c r="H17" s="2">
        <f>pivot_RET[[#This Row],[KO]]-pivot_RET[[#This Row],[RiskFree]]</f>
        <v>3.7000742177393915E-2</v>
      </c>
      <c r="I17" s="2">
        <f>pivot_RET[[#This Row],[GOOG]]-pivot_RET[[#This Row],[RiskFree]]</f>
        <v>0.15976674217739392</v>
      </c>
      <c r="L17" s="3" t="s">
        <v>2</v>
      </c>
      <c r="M17" s="2">
        <v>1.1573396057116671E-3</v>
      </c>
      <c r="N17" s="2">
        <f>VARP(pivot_RET!$C$2:$C$61)</f>
        <v>2.7469335602163889E-3</v>
      </c>
      <c r="O17" s="2">
        <f>N18</f>
        <v>1.3655298813325001E-3</v>
      </c>
    </row>
    <row r="18" spans="1:15" x14ac:dyDescent="0.25">
      <c r="A18" s="1">
        <v>43980</v>
      </c>
      <c r="B18">
        <v>2.5388999999999998E-2</v>
      </c>
      <c r="C18">
        <v>1.7215000000000001E-2</v>
      </c>
      <c r="D18">
        <v>5.9511000000000001E-2</v>
      </c>
      <c r="E18">
        <f>wrds_riskfree[[#This Row],[TMYTM]]/100 / 12</f>
        <v>1.0561929377322499E-4</v>
      </c>
      <c r="G18" s="2">
        <f>pivot_RET[[#This Row],[MSFT]]-pivot_RET[[#This Row],[RiskFree]]</f>
        <v>2.5283380706226773E-2</v>
      </c>
      <c r="H18" s="2">
        <f>pivot_RET[[#This Row],[KO]]-pivot_RET[[#This Row],[RiskFree]]</f>
        <v>1.7109380706226775E-2</v>
      </c>
      <c r="I18" s="2">
        <f>pivot_RET[[#This Row],[GOOG]]-pivot_RET[[#This Row],[RiskFree]]</f>
        <v>5.9405380706226779E-2</v>
      </c>
      <c r="L18" s="3" t="s">
        <v>3</v>
      </c>
      <c r="M18" s="2">
        <v>3.2864019406850004E-3</v>
      </c>
      <c r="N18" s="2">
        <v>1.3655298813325001E-3</v>
      </c>
      <c r="O18" s="2">
        <f>VARP(pivot_RET!$D$2:$D$61)</f>
        <v>5.978584115347501E-3</v>
      </c>
    </row>
    <row r="19" spans="1:15" x14ac:dyDescent="0.25">
      <c r="A19" s="1">
        <v>44012</v>
      </c>
      <c r="B19">
        <v>0.110559</v>
      </c>
      <c r="C19">
        <v>-3.4062000000000002E-2</v>
      </c>
      <c r="D19">
        <v>-1.0714E-2</v>
      </c>
      <c r="E19">
        <f>wrds_riskfree[[#This Row],[TMYTM]]/100 / 12</f>
        <v>9.7169007941208337E-5</v>
      </c>
      <c r="G19" s="2">
        <f>pivot_RET[[#This Row],[MSFT]]-pivot_RET[[#This Row],[RiskFree]]</f>
        <v>0.11046183099205879</v>
      </c>
      <c r="H19" s="2">
        <f>pivot_RET[[#This Row],[KO]]-pivot_RET[[#This Row],[RiskFree]]</f>
        <v>-3.4159169007941213E-2</v>
      </c>
      <c r="I19" s="2">
        <f>pivot_RET[[#This Row],[GOOG]]-pivot_RET[[#This Row],[RiskFree]]</f>
        <v>-1.0811169007941207E-2</v>
      </c>
    </row>
    <row r="20" spans="1:15" x14ac:dyDescent="0.25">
      <c r="A20" s="1">
        <v>44043</v>
      </c>
      <c r="B20">
        <v>7.3709999999999999E-3</v>
      </c>
      <c r="C20">
        <v>5.7296E-2</v>
      </c>
      <c r="D20">
        <v>4.9058999999999998E-2</v>
      </c>
      <c r="E20">
        <f>wrds_riskfree[[#This Row],[TMYTM]]/100 / 12</f>
        <v>7.6044708495716663E-5</v>
      </c>
      <c r="G20" s="2">
        <f>pivot_RET[[#This Row],[MSFT]]-pivot_RET[[#This Row],[RiskFree]]</f>
        <v>7.2949552915042831E-3</v>
      </c>
      <c r="H20" s="2">
        <f>pivot_RET[[#This Row],[KO]]-pivot_RET[[#This Row],[RiskFree]]</f>
        <v>5.7219955291504282E-2</v>
      </c>
      <c r="I20" s="2">
        <f>pivot_RET[[#This Row],[GOOG]]-pivot_RET[[#This Row],[RiskFree]]</f>
        <v>4.8982955291504281E-2</v>
      </c>
    </row>
    <row r="21" spans="1:15" x14ac:dyDescent="0.25">
      <c r="A21" s="1">
        <v>44074</v>
      </c>
      <c r="B21">
        <v>0.10258</v>
      </c>
      <c r="C21">
        <v>4.8475999999999998E-2</v>
      </c>
      <c r="D21">
        <v>0.10197199999999999</v>
      </c>
      <c r="E21">
        <f>wrds_riskfree[[#This Row],[TMYTM]]/100 / 12</f>
        <v>7.60446134335025E-5</v>
      </c>
      <c r="G21" s="2">
        <f>pivot_RET[[#This Row],[MSFT]]-pivot_RET[[#This Row],[RiskFree]]</f>
        <v>0.10250395538656651</v>
      </c>
      <c r="H21" s="2">
        <f>pivot_RET[[#This Row],[KO]]-pivot_RET[[#This Row],[RiskFree]]</f>
        <v>4.8399955386566496E-2</v>
      </c>
      <c r="I21" s="2">
        <f>pivot_RET[[#This Row],[GOOG]]-pivot_RET[[#This Row],[RiskFree]]</f>
        <v>0.1018959553865665</v>
      </c>
    </row>
    <row r="22" spans="1:15" x14ac:dyDescent="0.25">
      <c r="A22" s="1">
        <v>44104</v>
      </c>
      <c r="B22">
        <v>-6.7396999999999999E-2</v>
      </c>
      <c r="C22">
        <v>5.0470000000000003E-3</v>
      </c>
      <c r="D22">
        <v>-0.10071099999999999</v>
      </c>
      <c r="E22">
        <f>wrds_riskfree[[#This Row],[TMYTM]]/100 / 12</f>
        <v>7.1820012443827503E-5</v>
      </c>
      <c r="G22" s="2">
        <f>pivot_RET[[#This Row],[MSFT]]-pivot_RET[[#This Row],[RiskFree]]</f>
        <v>-6.7468820012443823E-2</v>
      </c>
      <c r="H22" s="2">
        <f>pivot_RET[[#This Row],[KO]]-pivot_RET[[#This Row],[RiskFree]]</f>
        <v>4.9751799875561728E-3</v>
      </c>
      <c r="I22" s="2">
        <f>pivot_RET[[#This Row],[GOOG]]-pivot_RET[[#This Row],[RiskFree]]</f>
        <v>-0.10078282001244382</v>
      </c>
    </row>
    <row r="23" spans="1:15" x14ac:dyDescent="0.25">
      <c r="A23" s="1">
        <v>44134</v>
      </c>
      <c r="B23">
        <v>-3.737E-2</v>
      </c>
      <c r="C23">
        <v>-2.6533999999999999E-2</v>
      </c>
      <c r="D23">
        <v>0.10302799999999999</v>
      </c>
      <c r="E23">
        <f>wrds_riskfree[[#This Row],[TMYTM]]/100 / 12</f>
        <v>6.3370167917985829E-5</v>
      </c>
      <c r="G23" s="2">
        <f>pivot_RET[[#This Row],[MSFT]]-pivot_RET[[#This Row],[RiskFree]]</f>
        <v>-3.7433370167917986E-2</v>
      </c>
      <c r="H23" s="2">
        <f>pivot_RET[[#This Row],[KO]]-pivot_RET[[#This Row],[RiskFree]]</f>
        <v>-2.6597370167917984E-2</v>
      </c>
      <c r="I23" s="2">
        <f>pivot_RET[[#This Row],[GOOG]]-pivot_RET[[#This Row],[RiskFree]]</f>
        <v>0.102964629832082</v>
      </c>
    </row>
    <row r="24" spans="1:15" x14ac:dyDescent="0.25">
      <c r="A24" s="1">
        <v>44165</v>
      </c>
      <c r="B24">
        <v>6.0058E-2</v>
      </c>
      <c r="C24">
        <v>8.2188999999999998E-2</v>
      </c>
      <c r="D24">
        <v>8.6198999999999998E-2</v>
      </c>
      <c r="E24">
        <f>wrds_riskfree[[#This Row],[TMYTM]]/100 / 12</f>
        <v>5.9145301110025E-5</v>
      </c>
      <c r="G24" s="2">
        <f>pivot_RET[[#This Row],[MSFT]]-pivot_RET[[#This Row],[RiskFree]]</f>
        <v>5.9998854698889978E-2</v>
      </c>
      <c r="H24" s="2">
        <f>pivot_RET[[#This Row],[KO]]-pivot_RET[[#This Row],[RiskFree]]</f>
        <v>8.2129854698889976E-2</v>
      </c>
      <c r="I24" s="2">
        <f>pivot_RET[[#This Row],[GOOG]]-pivot_RET[[#This Row],[RiskFree]]</f>
        <v>8.6139854698889975E-2</v>
      </c>
    </row>
    <row r="25" spans="1:15" x14ac:dyDescent="0.25">
      <c r="A25" s="1">
        <v>44196</v>
      </c>
      <c r="B25">
        <v>3.9005999999999999E-2</v>
      </c>
      <c r="C25">
        <v>6.2791E-2</v>
      </c>
      <c r="D25">
        <v>-5.032E-3</v>
      </c>
      <c r="E25">
        <f>wrds_riskfree[[#This Row],[TMYTM]]/100 / 12</f>
        <v>4.2246338522921658E-5</v>
      </c>
      <c r="G25" s="2">
        <f>pivot_RET[[#This Row],[MSFT]]-pivot_RET[[#This Row],[RiskFree]]</f>
        <v>3.8963753661477078E-2</v>
      </c>
      <c r="H25" s="2">
        <f>pivot_RET[[#This Row],[KO]]-pivot_RET[[#This Row],[RiskFree]]</f>
        <v>6.2748753661477072E-2</v>
      </c>
      <c r="I25" s="2">
        <f>pivot_RET[[#This Row],[GOOG]]-pivot_RET[[#This Row],[RiskFree]]</f>
        <v>-5.0742463385229216E-3</v>
      </c>
    </row>
    <row r="26" spans="1:15" x14ac:dyDescent="0.25">
      <c r="A26" s="1">
        <v>44225</v>
      </c>
      <c r="B26">
        <v>4.2892E-2</v>
      </c>
      <c r="C26">
        <v>-0.121991</v>
      </c>
      <c r="D26">
        <v>4.7869000000000002E-2</v>
      </c>
      <c r="E26">
        <f>wrds_riskfree[[#This Row],[TMYTM]]/100 / 12</f>
        <v>4.4358673932552509E-5</v>
      </c>
      <c r="G26" s="2">
        <f>pivot_RET[[#This Row],[MSFT]]-pivot_RET[[#This Row],[RiskFree]]</f>
        <v>4.284764132606745E-2</v>
      </c>
      <c r="H26" s="2">
        <f>pivot_RET[[#This Row],[KO]]-pivot_RET[[#This Row],[RiskFree]]</f>
        <v>-0.12203535867393256</v>
      </c>
      <c r="I26" s="2">
        <f>pivot_RET[[#This Row],[GOOG]]-pivot_RET[[#This Row],[RiskFree]]</f>
        <v>4.7824641326067452E-2</v>
      </c>
    </row>
    <row r="27" spans="1:15" x14ac:dyDescent="0.25">
      <c r="A27" s="1">
        <v>44253</v>
      </c>
      <c r="B27">
        <v>4.2249999999999996E-3</v>
      </c>
      <c r="C27">
        <v>1.7444999999999999E-2</v>
      </c>
      <c r="D27">
        <v>0.109558</v>
      </c>
      <c r="E27">
        <f>wrds_riskfree[[#This Row],[TMYTM]]/100 / 12</f>
        <v>2.5347560191329999E-5</v>
      </c>
      <c r="G27" s="2">
        <f>pivot_RET[[#This Row],[MSFT]]-pivot_RET[[#This Row],[RiskFree]]</f>
        <v>4.1996524398086694E-3</v>
      </c>
      <c r="H27" s="2">
        <f>pivot_RET[[#This Row],[KO]]-pivot_RET[[#This Row],[RiskFree]]</f>
        <v>1.7419652439808669E-2</v>
      </c>
      <c r="I27" s="2">
        <f>pivot_RET[[#This Row],[GOOG]]-pivot_RET[[#This Row],[RiskFree]]</f>
        <v>0.10953265243980867</v>
      </c>
    </row>
    <row r="28" spans="1:15" x14ac:dyDescent="0.25">
      <c r="A28" s="1">
        <v>44286</v>
      </c>
      <c r="B28">
        <v>1.4588E-2</v>
      </c>
      <c r="C28">
        <v>8.4506999999999999E-2</v>
      </c>
      <c r="D28">
        <v>1.5597E-2</v>
      </c>
      <c r="E28">
        <f>wrds_riskfree[[#This Row],[TMYTM]]/100 / 12</f>
        <v>1.2673700883507501E-5</v>
      </c>
      <c r="G28" s="2">
        <f>pivot_RET[[#This Row],[MSFT]]-pivot_RET[[#This Row],[RiskFree]]</f>
        <v>1.4575326299116493E-2</v>
      </c>
      <c r="H28" s="2">
        <f>pivot_RET[[#This Row],[KO]]-pivot_RET[[#This Row],[RiskFree]]</f>
        <v>8.449432629911649E-2</v>
      </c>
      <c r="I28" s="2">
        <f>pivot_RET[[#This Row],[GOOG]]-pivot_RET[[#This Row],[RiskFree]]</f>
        <v>1.5584326299116493E-2</v>
      </c>
    </row>
    <row r="29" spans="1:15" x14ac:dyDescent="0.25">
      <c r="A29" s="1">
        <v>44316</v>
      </c>
      <c r="B29">
        <v>6.9601999999999997E-2</v>
      </c>
      <c r="C29">
        <v>2.4094000000000001E-2</v>
      </c>
      <c r="D29">
        <v>0.16508</v>
      </c>
      <c r="E29">
        <f>wrds_riskfree[[#This Row],[TMYTM]]/100 / 12</f>
        <v>4.2245464248707505E-6</v>
      </c>
      <c r="G29" s="2">
        <f>pivot_RET[[#This Row],[MSFT]]-pivot_RET[[#This Row],[RiskFree]]</f>
        <v>6.9597775453575123E-2</v>
      </c>
      <c r="H29" s="2">
        <f>pivot_RET[[#This Row],[KO]]-pivot_RET[[#This Row],[RiskFree]]</f>
        <v>2.408977545357513E-2</v>
      </c>
      <c r="I29" s="2">
        <f>pivot_RET[[#This Row],[GOOG]]-pivot_RET[[#This Row],[RiskFree]]</f>
        <v>0.16507577545357513</v>
      </c>
    </row>
    <row r="30" spans="1:15" x14ac:dyDescent="0.25">
      <c r="A30" s="1">
        <v>44344</v>
      </c>
      <c r="B30">
        <v>-7.6930000000000002E-3</v>
      </c>
      <c r="C30">
        <v>2.4268000000000001E-2</v>
      </c>
      <c r="D30">
        <v>5.9699999999999998E-4</v>
      </c>
      <c r="E30">
        <f>wrds_riskfree[[#This Row],[TMYTM]]/100 / 12</f>
        <v>4.2245464248707505E-6</v>
      </c>
      <c r="G30" s="2">
        <f>pivot_RET[[#This Row],[MSFT]]-pivot_RET[[#This Row],[RiskFree]]</f>
        <v>-7.6972245464248705E-3</v>
      </c>
      <c r="H30" s="2">
        <f>pivot_RET[[#This Row],[KO]]-pivot_RET[[#This Row],[RiskFree]]</f>
        <v>2.426377545357513E-2</v>
      </c>
      <c r="I30" s="2">
        <f>pivot_RET[[#This Row],[GOOG]]-pivot_RET[[#This Row],[RiskFree]]</f>
        <v>5.927754535751292E-4</v>
      </c>
    </row>
    <row r="31" spans="1:15" x14ac:dyDescent="0.25">
      <c r="A31" s="1">
        <v>44377</v>
      </c>
      <c r="B31">
        <v>8.4988999999999995E-2</v>
      </c>
      <c r="C31">
        <v>-1.3746E-2</v>
      </c>
      <c r="D31">
        <v>3.9294000000000003E-2</v>
      </c>
      <c r="E31">
        <f>wrds_riskfree[[#This Row],[TMYTM]]/100 / 12</f>
        <v>2.957224802543833E-5</v>
      </c>
      <c r="G31" s="2">
        <f>pivot_RET[[#This Row],[MSFT]]-pivot_RET[[#This Row],[RiskFree]]</f>
        <v>8.4959427751974556E-2</v>
      </c>
      <c r="H31" s="2">
        <f>pivot_RET[[#This Row],[KO]]-pivot_RET[[#This Row],[RiskFree]]</f>
        <v>-1.3775572248025439E-2</v>
      </c>
      <c r="I31" s="2">
        <f>pivot_RET[[#This Row],[GOOG]]-pivot_RET[[#This Row],[RiskFree]]</f>
        <v>3.9264427751974564E-2</v>
      </c>
    </row>
    <row r="32" spans="1:15" x14ac:dyDescent="0.25">
      <c r="A32" s="1">
        <v>44407</v>
      </c>
      <c r="B32">
        <v>5.1716999999999999E-2</v>
      </c>
      <c r="C32">
        <v>5.3963999999999998E-2</v>
      </c>
      <c r="D32">
        <v>7.9039999999999999E-2</v>
      </c>
      <c r="E32">
        <f>wrds_riskfree[[#This Row],[TMYTM]]/100 / 12</f>
        <v>4.6471043375514168E-5</v>
      </c>
      <c r="G32" s="2">
        <f>pivot_RET[[#This Row],[MSFT]]-pivot_RET[[#This Row],[RiskFree]]</f>
        <v>5.1670528956624488E-2</v>
      </c>
      <c r="H32" s="2">
        <f>pivot_RET[[#This Row],[KO]]-pivot_RET[[#This Row],[RiskFree]]</f>
        <v>5.3917528956624487E-2</v>
      </c>
      <c r="I32" s="2">
        <f>pivot_RET[[#This Row],[GOOG]]-pivot_RET[[#This Row],[RiskFree]]</f>
        <v>7.8993528956624481E-2</v>
      </c>
    </row>
    <row r="33" spans="1:9" x14ac:dyDescent="0.25">
      <c r="A33" s="1">
        <v>44439</v>
      </c>
      <c r="B33">
        <v>6.1527999999999999E-2</v>
      </c>
      <c r="C33">
        <v>-1.2625000000000001E-2</v>
      </c>
      <c r="D33">
        <v>7.5734999999999997E-2</v>
      </c>
      <c r="E33">
        <f>wrds_riskfree[[#This Row],[TMYTM]]/100 / 12</f>
        <v>3.379685958032667E-5</v>
      </c>
      <c r="G33" s="2">
        <f>pivot_RET[[#This Row],[MSFT]]-pivot_RET[[#This Row],[RiskFree]]</f>
        <v>6.1494203140419673E-2</v>
      </c>
      <c r="H33" s="2">
        <f>pivot_RET[[#This Row],[KO]]-pivot_RET[[#This Row],[RiskFree]]</f>
        <v>-1.2658796859580327E-2</v>
      </c>
      <c r="I33" s="2">
        <f>pivot_RET[[#This Row],[GOOG]]-pivot_RET[[#This Row],[RiskFree]]</f>
        <v>7.5701203140419671E-2</v>
      </c>
    </row>
    <row r="34" spans="1:9" x14ac:dyDescent="0.25">
      <c r="A34" s="1">
        <v>44469</v>
      </c>
      <c r="B34">
        <v>-6.6118999999999997E-2</v>
      </c>
      <c r="C34">
        <v>-6.0734999999999997E-2</v>
      </c>
      <c r="D34">
        <v>-8.3847000000000005E-2</v>
      </c>
      <c r="E34">
        <f>wrds_riskfree[[#This Row],[TMYTM]]/100 / 12</f>
        <v>3.8021593770179997E-5</v>
      </c>
      <c r="G34" s="2">
        <f>pivot_RET[[#This Row],[MSFT]]-pivot_RET[[#This Row],[RiskFree]]</f>
        <v>-6.6157021593770182E-2</v>
      </c>
      <c r="H34" s="2">
        <f>pivot_RET[[#This Row],[KO]]-pivot_RET[[#This Row],[RiskFree]]</f>
        <v>-6.0773021593770175E-2</v>
      </c>
      <c r="I34" s="2">
        <f>pivot_RET[[#This Row],[GOOG]]-pivot_RET[[#This Row],[RiskFree]]</f>
        <v>-8.388502159377019E-2</v>
      </c>
    </row>
    <row r="35" spans="1:9" x14ac:dyDescent="0.25">
      <c r="A35" s="1">
        <v>44498</v>
      </c>
      <c r="B35">
        <v>0.176291</v>
      </c>
      <c r="C35">
        <v>7.4328000000000005E-2</v>
      </c>
      <c r="D35">
        <v>0.112595</v>
      </c>
      <c r="E35">
        <f>wrds_riskfree[[#This Row],[TMYTM]]/100 / 12</f>
        <v>4.2246309184121659E-5</v>
      </c>
      <c r="G35" s="2">
        <f>pivot_RET[[#This Row],[MSFT]]-pivot_RET[[#This Row],[RiskFree]]</f>
        <v>0.17624875369081588</v>
      </c>
      <c r="H35" s="2">
        <f>pivot_RET[[#This Row],[KO]]-pivot_RET[[#This Row],[RiskFree]]</f>
        <v>7.4285753690815887E-2</v>
      </c>
      <c r="I35" s="2">
        <f>pivot_RET[[#This Row],[GOOG]]-pivot_RET[[#This Row],[RiskFree]]</f>
        <v>0.11255275369081588</v>
      </c>
    </row>
    <row r="36" spans="1:9" x14ac:dyDescent="0.25">
      <c r="A36" s="1">
        <v>44530</v>
      </c>
      <c r="B36">
        <v>-1.2359999999999999E-3</v>
      </c>
      <c r="C36">
        <v>-6.2089999999999999E-2</v>
      </c>
      <c r="D36">
        <v>-3.9241999999999999E-2</v>
      </c>
      <c r="E36">
        <f>wrds_riskfree[[#This Row],[TMYTM]]/100 / 12</f>
        <v>6.7594845779185E-5</v>
      </c>
      <c r="G36" s="2">
        <f>pivot_RET[[#This Row],[MSFT]]-pivot_RET[[#This Row],[RiskFree]]</f>
        <v>-1.3035948457791849E-3</v>
      </c>
      <c r="H36" s="2">
        <f>pivot_RET[[#This Row],[KO]]-pivot_RET[[#This Row],[RiskFree]]</f>
        <v>-6.2157594845779186E-2</v>
      </c>
      <c r="I36" s="2">
        <f>pivot_RET[[#This Row],[GOOG]]-pivot_RET[[#This Row],[RiskFree]]</f>
        <v>-3.9309594845779186E-2</v>
      </c>
    </row>
    <row r="37" spans="1:9" x14ac:dyDescent="0.25">
      <c r="A37" s="1">
        <v>44561</v>
      </c>
      <c r="B37">
        <v>1.7333000000000001E-2</v>
      </c>
      <c r="C37">
        <v>0.128885</v>
      </c>
      <c r="D37">
        <v>1.5637000000000002E-2</v>
      </c>
      <c r="E37">
        <f>wrds_riskfree[[#This Row],[TMYTM]]/100 / 12</f>
        <v>4.2246309184121659E-5</v>
      </c>
      <c r="G37" s="2">
        <f>pivot_RET[[#This Row],[MSFT]]-pivot_RET[[#This Row],[RiskFree]]</f>
        <v>1.7290753690815879E-2</v>
      </c>
      <c r="H37" s="2">
        <f>pivot_RET[[#This Row],[KO]]-pivot_RET[[#This Row],[RiskFree]]</f>
        <v>0.12884275369081588</v>
      </c>
      <c r="I37" s="2">
        <f>pivot_RET[[#This Row],[GOOG]]-pivot_RET[[#This Row],[RiskFree]]</f>
        <v>1.559475369081588E-2</v>
      </c>
    </row>
    <row r="38" spans="1:9" x14ac:dyDescent="0.25">
      <c r="A38" s="1">
        <v>44592</v>
      </c>
      <c r="B38">
        <v>-7.5344999999999995E-2</v>
      </c>
      <c r="C38">
        <v>3.04E-2</v>
      </c>
      <c r="D38">
        <v>-6.2074999999999998E-2</v>
      </c>
      <c r="E38">
        <f>wrds_riskfree[[#This Row],[TMYTM]]/100 / 12</f>
        <v>2.9572204898154169E-5</v>
      </c>
      <c r="G38" s="2">
        <f>pivot_RET[[#This Row],[MSFT]]-pivot_RET[[#This Row],[RiskFree]]</f>
        <v>-7.5374572204898155E-2</v>
      </c>
      <c r="H38" s="2">
        <f>pivot_RET[[#This Row],[KO]]-pivot_RET[[#This Row],[RiskFree]]</f>
        <v>3.0370427795101847E-2</v>
      </c>
      <c r="I38" s="2">
        <f>pivot_RET[[#This Row],[GOOG]]-pivot_RET[[#This Row],[RiskFree]]</f>
        <v>-6.2104572204898151E-2</v>
      </c>
    </row>
    <row r="39" spans="1:9" x14ac:dyDescent="0.25">
      <c r="A39" s="1">
        <v>44620</v>
      </c>
      <c r="B39">
        <v>-3.7205000000000002E-2</v>
      </c>
      <c r="C39">
        <v>2.0160999999999998E-2</v>
      </c>
      <c r="D39">
        <v>-5.9509999999999997E-3</v>
      </c>
      <c r="E39">
        <f>wrds_riskfree[[#This Row],[TMYTM]]/100 / 12</f>
        <v>5.9145301110025E-5</v>
      </c>
      <c r="G39" s="2">
        <f>pivot_RET[[#This Row],[MSFT]]-pivot_RET[[#This Row],[RiskFree]]</f>
        <v>-3.7264145301110024E-2</v>
      </c>
      <c r="H39" s="2">
        <f>pivot_RET[[#This Row],[KO]]-pivot_RET[[#This Row],[RiskFree]]</f>
        <v>2.0101854698889973E-2</v>
      </c>
      <c r="I39" s="2">
        <f>pivot_RET[[#This Row],[GOOG]]-pivot_RET[[#This Row],[RiskFree]]</f>
        <v>-6.0101453011100247E-3</v>
      </c>
    </row>
    <row r="40" spans="1:9" x14ac:dyDescent="0.25">
      <c r="A40" s="1">
        <v>44651</v>
      </c>
      <c r="B40">
        <v>3.1862000000000001E-2</v>
      </c>
      <c r="C40">
        <v>3.2130000000000001E-3</v>
      </c>
      <c r="D40">
        <v>3.5277000000000003E-2</v>
      </c>
      <c r="E40">
        <f>wrds_riskfree[[#This Row],[TMYTM]]/100 / 12</f>
        <v>3.3796915910323333E-5</v>
      </c>
      <c r="G40" s="2">
        <f>pivot_RET[[#This Row],[MSFT]]-pivot_RET[[#This Row],[RiskFree]]</f>
        <v>3.1828203084089679E-2</v>
      </c>
      <c r="H40" s="2">
        <f>pivot_RET[[#This Row],[KO]]-pivot_RET[[#This Row],[RiskFree]]</f>
        <v>3.1792030840896769E-3</v>
      </c>
      <c r="I40" s="2">
        <f>pivot_RET[[#This Row],[GOOG]]-pivot_RET[[#This Row],[RiskFree]]</f>
        <v>3.524320308408968E-2</v>
      </c>
    </row>
    <row r="41" spans="1:9" x14ac:dyDescent="0.25">
      <c r="A41" s="1">
        <v>44680</v>
      </c>
      <c r="B41">
        <v>-9.9866999999999997E-2</v>
      </c>
      <c r="C41">
        <v>4.2097000000000002E-2</v>
      </c>
      <c r="D41">
        <v>-0.17674999999999999</v>
      </c>
      <c r="E41">
        <f>wrds_riskfree[[#This Row],[TMYTM]]/100 / 12</f>
        <v>2.9153776029709164E-4</v>
      </c>
      <c r="G41" s="2">
        <f>pivot_RET[[#This Row],[MSFT]]-pivot_RET[[#This Row],[RiskFree]]</f>
        <v>-0.10015853776029709</v>
      </c>
      <c r="H41" s="2">
        <f>pivot_RET[[#This Row],[KO]]-pivot_RET[[#This Row],[RiskFree]]</f>
        <v>4.1805462239702912E-2</v>
      </c>
      <c r="I41" s="2">
        <f>pivot_RET[[#This Row],[GOOG]]-pivot_RET[[#This Row],[RiskFree]]</f>
        <v>-0.17704153776029707</v>
      </c>
    </row>
    <row r="42" spans="1:9" x14ac:dyDescent="0.25">
      <c r="A42" s="1">
        <v>44712</v>
      </c>
      <c r="B42">
        <v>-1.8124999999999999E-2</v>
      </c>
      <c r="C42">
        <v>-1.9036999999999998E-2</v>
      </c>
      <c r="D42">
        <v>-8.0680000000000005E-3</v>
      </c>
      <c r="E42">
        <f>wrds_riskfree[[#This Row],[TMYTM]]/100 / 12</f>
        <v>5.7469988405384166E-4</v>
      </c>
      <c r="G42" s="2">
        <f>pivot_RET[[#This Row],[MSFT]]-pivot_RET[[#This Row],[RiskFree]]</f>
        <v>-1.8699699884053841E-2</v>
      </c>
      <c r="H42" s="2">
        <f>pivot_RET[[#This Row],[KO]]-pivot_RET[[#This Row],[RiskFree]]</f>
        <v>-1.961169988405384E-2</v>
      </c>
      <c r="I42" s="2">
        <f>pivot_RET[[#This Row],[GOOG]]-pivot_RET[[#This Row],[RiskFree]]</f>
        <v>-8.6426998840538425E-3</v>
      </c>
    </row>
    <row r="43" spans="1:9" x14ac:dyDescent="0.25">
      <c r="A43" s="1">
        <v>44742</v>
      </c>
      <c r="B43">
        <v>-5.5321000000000002E-2</v>
      </c>
      <c r="C43">
        <v>-4.73E-4</v>
      </c>
      <c r="D43">
        <v>-4.0919999999999998E-2</v>
      </c>
      <c r="E43">
        <f>wrds_riskfree[[#This Row],[TMYTM]]/100 / 12</f>
        <v>9.3409584571616671E-4</v>
      </c>
      <c r="G43" s="2">
        <f>pivot_RET[[#This Row],[MSFT]]-pivot_RET[[#This Row],[RiskFree]]</f>
        <v>-5.6255095845716169E-2</v>
      </c>
      <c r="H43" s="2">
        <f>pivot_RET[[#This Row],[KO]]-pivot_RET[[#This Row],[RiskFree]]</f>
        <v>-1.4070958457161667E-3</v>
      </c>
      <c r="I43" s="2">
        <f>pivot_RET[[#This Row],[GOOG]]-pivot_RET[[#This Row],[RiskFree]]</f>
        <v>-4.1854095845716165E-2</v>
      </c>
    </row>
    <row r="44" spans="1:9" x14ac:dyDescent="0.25">
      <c r="A44" s="1">
        <v>44771</v>
      </c>
      <c r="B44">
        <v>9.3096999999999999E-2</v>
      </c>
      <c r="C44">
        <v>2.0029000000000002E-2</v>
      </c>
      <c r="D44">
        <v>6.6447000000000006E-2</v>
      </c>
      <c r="E44">
        <f>wrds_riskfree[[#This Row],[TMYTM]]/100 / 12</f>
        <v>1.8055911626338331E-3</v>
      </c>
      <c r="G44" s="2">
        <f>pivot_RET[[#This Row],[MSFT]]-pivot_RET[[#This Row],[RiskFree]]</f>
        <v>9.1291408837366167E-2</v>
      </c>
      <c r="H44" s="2">
        <f>pivot_RET[[#This Row],[KO]]-pivot_RET[[#This Row],[RiskFree]]</f>
        <v>1.8223408837366169E-2</v>
      </c>
      <c r="I44" s="2">
        <f>pivot_RET[[#This Row],[GOOG]]-pivot_RET[[#This Row],[RiskFree]]</f>
        <v>6.4641408837366174E-2</v>
      </c>
    </row>
    <row r="45" spans="1:9" x14ac:dyDescent="0.25">
      <c r="A45" s="1">
        <v>44804</v>
      </c>
      <c r="B45">
        <v>-6.6432000000000005E-2</v>
      </c>
      <c r="C45">
        <v>-3.8336000000000002E-2</v>
      </c>
      <c r="D45">
        <v>-6.4214999999999994E-2</v>
      </c>
      <c r="E45">
        <f>wrds_riskfree[[#This Row],[TMYTM]]/100 / 12</f>
        <v>1.9623358190475836E-3</v>
      </c>
      <c r="G45" s="2">
        <f>pivot_RET[[#This Row],[MSFT]]-pivot_RET[[#This Row],[RiskFree]]</f>
        <v>-6.8394335819047594E-2</v>
      </c>
      <c r="H45" s="2">
        <f>pivot_RET[[#This Row],[KO]]-pivot_RET[[#This Row],[RiskFree]]</f>
        <v>-4.0298335819047584E-2</v>
      </c>
      <c r="I45" s="2">
        <f>pivot_RET[[#This Row],[GOOG]]-pivot_RET[[#This Row],[RiskFree]]</f>
        <v>-6.6177335819047584E-2</v>
      </c>
    </row>
    <row r="46" spans="1:9" x14ac:dyDescent="0.25">
      <c r="A46" s="1">
        <v>44834</v>
      </c>
      <c r="B46">
        <v>-0.109267</v>
      </c>
      <c r="C46">
        <v>-8.5074999999999998E-2</v>
      </c>
      <c r="D46">
        <v>-0.119102</v>
      </c>
      <c r="E46">
        <f>wrds_riskfree[[#This Row],[TMYTM]]/100 / 12</f>
        <v>2.2712878718427498E-3</v>
      </c>
      <c r="G46" s="2">
        <f>pivot_RET[[#This Row],[MSFT]]-pivot_RET[[#This Row],[RiskFree]]</f>
        <v>-0.11153828787184275</v>
      </c>
      <c r="H46" s="2">
        <f>pivot_RET[[#This Row],[KO]]-pivot_RET[[#This Row],[RiskFree]]</f>
        <v>-8.7346287871842745E-2</v>
      </c>
      <c r="I46" s="2">
        <f>pivot_RET[[#This Row],[GOOG]]-pivot_RET[[#This Row],[RiskFree]]</f>
        <v>-0.12137328787184275</v>
      </c>
    </row>
    <row r="47" spans="1:9" x14ac:dyDescent="0.25">
      <c r="A47" s="1">
        <v>44865</v>
      </c>
      <c r="B47">
        <v>-3.3059999999999999E-3</v>
      </c>
      <c r="C47">
        <v>6.8367999999999998E-2</v>
      </c>
      <c r="D47">
        <v>-1.5497E-2</v>
      </c>
      <c r="E47">
        <f>wrds_riskfree[[#This Row],[TMYTM]]/100 / 12</f>
        <v>2.8811356542910835E-3</v>
      </c>
      <c r="G47" s="2">
        <f>pivot_RET[[#This Row],[MSFT]]-pivot_RET[[#This Row],[RiskFree]]</f>
        <v>-6.187135654291083E-3</v>
      </c>
      <c r="H47" s="2">
        <f>pivot_RET[[#This Row],[KO]]-pivot_RET[[#This Row],[RiskFree]]</f>
        <v>6.5486864345708912E-2</v>
      </c>
      <c r="I47" s="2">
        <f>pivot_RET[[#This Row],[GOOG]]-pivot_RET[[#This Row],[RiskFree]]</f>
        <v>-1.8378135654291083E-2</v>
      </c>
    </row>
    <row r="48" spans="1:9" x14ac:dyDescent="0.25">
      <c r="A48" s="1">
        <v>44895</v>
      </c>
      <c r="B48">
        <v>0.10205500000000001</v>
      </c>
      <c r="C48">
        <v>7.0175000000000001E-2</v>
      </c>
      <c r="D48">
        <v>7.1730000000000002E-2</v>
      </c>
      <c r="E48">
        <f>wrds_riskfree[[#This Row],[TMYTM]]/100 / 12</f>
        <v>3.3203032800051668E-3</v>
      </c>
      <c r="G48" s="2">
        <f>pivot_RET[[#This Row],[MSFT]]-pivot_RET[[#This Row],[RiskFree]]</f>
        <v>9.8734696719994838E-2</v>
      </c>
      <c r="H48" s="2">
        <f>pivot_RET[[#This Row],[KO]]-pivot_RET[[#This Row],[RiskFree]]</f>
        <v>6.6854696719994833E-2</v>
      </c>
      <c r="I48" s="2">
        <f>pivot_RET[[#This Row],[GOOG]]-pivot_RET[[#This Row],[RiskFree]]</f>
        <v>6.8409696719994834E-2</v>
      </c>
    </row>
    <row r="49" spans="1:9" x14ac:dyDescent="0.25">
      <c r="A49" s="1">
        <v>44925</v>
      </c>
      <c r="B49">
        <v>-6.0045000000000001E-2</v>
      </c>
      <c r="C49">
        <v>0</v>
      </c>
      <c r="D49">
        <v>-0.12538199999999999</v>
      </c>
      <c r="E49">
        <f>wrds_riskfree[[#This Row],[TMYTM]]/100 / 12</f>
        <v>3.326299436054917E-3</v>
      </c>
      <c r="G49" s="2">
        <f>pivot_RET[[#This Row],[MSFT]]-pivot_RET[[#This Row],[RiskFree]]</f>
        <v>-6.337129943605492E-2</v>
      </c>
      <c r="H49" s="2">
        <f>pivot_RET[[#This Row],[KO]]-pivot_RET[[#This Row],[RiskFree]]</f>
        <v>-3.326299436054917E-3</v>
      </c>
      <c r="I49" s="2">
        <f>pivot_RET[[#This Row],[GOOG]]-pivot_RET[[#This Row],[RiskFree]]</f>
        <v>-0.12870829943605491</v>
      </c>
    </row>
    <row r="50" spans="1:9" x14ac:dyDescent="0.25">
      <c r="A50" s="1">
        <v>44957</v>
      </c>
      <c r="B50">
        <v>3.3316999999999999E-2</v>
      </c>
      <c r="C50">
        <v>-3.6000999999999998E-2</v>
      </c>
      <c r="D50">
        <v>0.12554899999999999</v>
      </c>
      <c r="E50">
        <f>wrds_riskfree[[#This Row],[TMYTM]]/100 / 12</f>
        <v>3.7371452171155836E-3</v>
      </c>
      <c r="G50" s="2">
        <f>pivot_RET[[#This Row],[MSFT]]-pivot_RET[[#This Row],[RiskFree]]</f>
        <v>2.9579854782884416E-2</v>
      </c>
      <c r="H50" s="2">
        <f>pivot_RET[[#This Row],[KO]]-pivot_RET[[#This Row],[RiskFree]]</f>
        <v>-3.9738145217115585E-2</v>
      </c>
      <c r="I50" s="2">
        <f>pivot_RET[[#This Row],[GOOG]]-pivot_RET[[#This Row],[RiskFree]]</f>
        <v>0.12181185478288441</v>
      </c>
    </row>
    <row r="51" spans="1:9" x14ac:dyDescent="0.25">
      <c r="A51" s="1">
        <v>44985</v>
      </c>
      <c r="B51">
        <v>9.2409999999999992E-3</v>
      </c>
      <c r="C51">
        <v>-2.9517000000000002E-2</v>
      </c>
      <c r="D51">
        <v>-9.5824999999999994E-2</v>
      </c>
      <c r="E51">
        <f>wrds_riskfree[[#This Row],[TMYTM]]/100 / 12</f>
        <v>3.6820249317449168E-3</v>
      </c>
      <c r="G51" s="2">
        <f>pivot_RET[[#This Row],[MSFT]]-pivot_RET[[#This Row],[RiskFree]]</f>
        <v>5.5589750682550829E-3</v>
      </c>
      <c r="H51" s="2">
        <f>pivot_RET[[#This Row],[KO]]-pivot_RET[[#This Row],[RiskFree]]</f>
        <v>-3.3199024931744918E-2</v>
      </c>
      <c r="I51" s="2">
        <f>pivot_RET[[#This Row],[GOOG]]-pivot_RET[[#This Row],[RiskFree]]</f>
        <v>-9.9507024931744917E-2</v>
      </c>
    </row>
    <row r="52" spans="1:9" x14ac:dyDescent="0.25">
      <c r="A52" s="1">
        <v>45016</v>
      </c>
      <c r="B52">
        <v>0.15588199999999999</v>
      </c>
      <c r="C52">
        <v>5.0076000000000002E-2</v>
      </c>
      <c r="D52">
        <v>0.15171599999999999</v>
      </c>
      <c r="E52">
        <f>wrds_riskfree[[#This Row],[TMYTM]]/100 / 12</f>
        <v>3.8881788842497506E-3</v>
      </c>
      <c r="G52" s="2">
        <f>pivot_RET[[#This Row],[MSFT]]-pivot_RET[[#This Row],[RiskFree]]</f>
        <v>0.15199382111575024</v>
      </c>
      <c r="H52" s="2">
        <f>pivot_RET[[#This Row],[KO]]-pivot_RET[[#This Row],[RiskFree]]</f>
        <v>4.6187821115750254E-2</v>
      </c>
      <c r="I52" s="2">
        <f>pivot_RET[[#This Row],[GOOG]]-pivot_RET[[#This Row],[RiskFree]]</f>
        <v>0.14782782111575024</v>
      </c>
    </row>
    <row r="53" spans="1:9" x14ac:dyDescent="0.25">
      <c r="A53" s="1">
        <v>45044</v>
      </c>
      <c r="B53">
        <v>6.5765000000000004E-2</v>
      </c>
      <c r="C53">
        <v>3.4176999999999999E-2</v>
      </c>
      <c r="D53">
        <v>4.0577000000000002E-2</v>
      </c>
      <c r="E53">
        <f>wrds_riskfree[[#This Row],[TMYTM]]/100 / 12</f>
        <v>3.4746881452196662E-3</v>
      </c>
      <c r="G53" s="2">
        <f>pivot_RET[[#This Row],[MSFT]]-pivot_RET[[#This Row],[RiskFree]]</f>
        <v>6.2290311854780338E-2</v>
      </c>
      <c r="H53" s="2">
        <f>pivot_RET[[#This Row],[KO]]-pivot_RET[[#This Row],[RiskFree]]</f>
        <v>3.0702311854780333E-2</v>
      </c>
      <c r="I53" s="2">
        <f>pivot_RET[[#This Row],[GOOG]]-pivot_RET[[#This Row],[RiskFree]]</f>
        <v>3.7102311854780336E-2</v>
      </c>
    </row>
    <row r="54" spans="1:9" x14ac:dyDescent="0.25">
      <c r="A54" s="1">
        <v>45077</v>
      </c>
      <c r="B54">
        <v>7.0982000000000003E-2</v>
      </c>
      <c r="C54">
        <v>-6.9991999999999999E-2</v>
      </c>
      <c r="D54">
        <v>0.13999300000000001</v>
      </c>
      <c r="E54">
        <f>wrds_riskfree[[#This Row],[TMYTM]]/100 / 12</f>
        <v>4.1287155540311671E-3</v>
      </c>
      <c r="G54" s="2">
        <f>pivot_RET[[#This Row],[MSFT]]-pivot_RET[[#This Row],[RiskFree]]</f>
        <v>6.685328444596883E-2</v>
      </c>
      <c r="H54" s="2">
        <f>pivot_RET[[#This Row],[KO]]-pivot_RET[[#This Row],[RiskFree]]</f>
        <v>-7.4120715554031172E-2</v>
      </c>
      <c r="I54" s="2">
        <f>pivot_RET[[#This Row],[GOOG]]-pivot_RET[[#This Row],[RiskFree]]</f>
        <v>0.13586428444596885</v>
      </c>
    </row>
    <row r="55" spans="1:9" x14ac:dyDescent="0.25">
      <c r="A55" s="1">
        <v>45107</v>
      </c>
      <c r="B55">
        <v>3.6998999999999997E-2</v>
      </c>
      <c r="C55">
        <v>1.7097000000000001E-2</v>
      </c>
      <c r="D55">
        <v>-1.9453999999999999E-2</v>
      </c>
      <c r="E55">
        <f>wrds_riskfree[[#This Row],[TMYTM]]/100 / 12</f>
        <v>4.3018495762031667E-3</v>
      </c>
      <c r="G55" s="2">
        <f>pivot_RET[[#This Row],[MSFT]]-pivot_RET[[#This Row],[RiskFree]]</f>
        <v>3.2697150423796832E-2</v>
      </c>
      <c r="H55" s="2">
        <f>pivot_RET[[#This Row],[KO]]-pivot_RET[[#This Row],[RiskFree]]</f>
        <v>1.2795150423796834E-2</v>
      </c>
      <c r="I55" s="2">
        <f>pivot_RET[[#This Row],[GOOG]]-pivot_RET[[#This Row],[RiskFree]]</f>
        <v>-2.3755849576203164E-2</v>
      </c>
    </row>
    <row r="56" spans="1:9" x14ac:dyDescent="0.25">
      <c r="A56" s="1">
        <v>45138</v>
      </c>
      <c r="B56">
        <v>-1.3566999999999999E-2</v>
      </c>
      <c r="C56">
        <v>2.8396000000000001E-2</v>
      </c>
      <c r="D56">
        <v>0.100355</v>
      </c>
      <c r="E56">
        <f>wrds_riskfree[[#This Row],[TMYTM]]/100 / 12</f>
        <v>4.4415771726095832E-3</v>
      </c>
      <c r="G56" s="2">
        <f>pivot_RET[[#This Row],[MSFT]]-pivot_RET[[#This Row],[RiskFree]]</f>
        <v>-1.8008577172609584E-2</v>
      </c>
      <c r="H56" s="2">
        <f>pivot_RET[[#This Row],[KO]]-pivot_RET[[#This Row],[RiskFree]]</f>
        <v>2.3954422827390416E-2</v>
      </c>
      <c r="I56" s="2">
        <f>pivot_RET[[#This Row],[GOOG]]-pivot_RET[[#This Row],[RiskFree]]</f>
        <v>9.5913422827390418E-2</v>
      </c>
    </row>
    <row r="57" spans="1:9" x14ac:dyDescent="0.25">
      <c r="A57" s="1">
        <v>45169</v>
      </c>
      <c r="B57">
        <v>-2.2266999999999999E-2</v>
      </c>
      <c r="C57">
        <v>-3.3909000000000002E-2</v>
      </c>
      <c r="D57">
        <v>3.1852999999999999E-2</v>
      </c>
      <c r="E57">
        <f>wrds_riskfree[[#This Row],[TMYTM]]/100 / 12</f>
        <v>4.4634518342988334E-3</v>
      </c>
      <c r="G57" s="2">
        <f>pivot_RET[[#This Row],[MSFT]]-pivot_RET[[#This Row],[RiskFree]]</f>
        <v>-2.6730451834298834E-2</v>
      </c>
      <c r="H57" s="2">
        <f>pivot_RET[[#This Row],[KO]]-pivot_RET[[#This Row],[RiskFree]]</f>
        <v>-3.8372451834298833E-2</v>
      </c>
      <c r="I57" s="2">
        <f>pivot_RET[[#This Row],[GOOG]]-pivot_RET[[#This Row],[RiskFree]]</f>
        <v>2.7389548165701168E-2</v>
      </c>
    </row>
    <row r="58" spans="1:9" x14ac:dyDescent="0.25">
      <c r="A58" s="1">
        <v>45198</v>
      </c>
      <c r="B58">
        <v>-3.6643000000000002E-2</v>
      </c>
      <c r="C58">
        <v>-5.6661000000000003E-2</v>
      </c>
      <c r="D58">
        <v>-4.0044000000000003E-2</v>
      </c>
      <c r="E58">
        <f>wrds_riskfree[[#This Row],[TMYTM]]/100 / 12</f>
        <v>4.4716127231124994E-3</v>
      </c>
      <c r="G58" s="2">
        <f>pivot_RET[[#This Row],[MSFT]]-pivot_RET[[#This Row],[RiskFree]]</f>
        <v>-4.1114612723112502E-2</v>
      </c>
      <c r="H58" s="2">
        <f>pivot_RET[[#This Row],[KO]]-pivot_RET[[#This Row],[RiskFree]]</f>
        <v>-6.1132612723112503E-2</v>
      </c>
      <c r="I58" s="2">
        <f>pivot_RET[[#This Row],[GOOG]]-pivot_RET[[#This Row],[RiskFree]]</f>
        <v>-4.4515612723112503E-2</v>
      </c>
    </row>
    <row r="59" spans="1:9" x14ac:dyDescent="0.25">
      <c r="A59" s="1">
        <v>45230</v>
      </c>
      <c r="B59">
        <v>7.0815000000000003E-2</v>
      </c>
      <c r="C59">
        <v>9.11E-3</v>
      </c>
      <c r="D59">
        <v>-4.9678E-2</v>
      </c>
      <c r="E59">
        <f>wrds_riskfree[[#This Row],[TMYTM]]/100 / 12</f>
        <v>4.4751976559595829E-3</v>
      </c>
      <c r="G59" s="2">
        <f>pivot_RET[[#This Row],[MSFT]]-pivot_RET[[#This Row],[RiskFree]]</f>
        <v>6.6339802344040424E-2</v>
      </c>
      <c r="H59" s="2">
        <f>pivot_RET[[#This Row],[KO]]-pivot_RET[[#This Row],[RiskFree]]</f>
        <v>4.6348023440404172E-3</v>
      </c>
      <c r="I59" s="2">
        <f>pivot_RET[[#This Row],[GOOG]]-pivot_RET[[#This Row],[RiskFree]]</f>
        <v>-5.4153197655959585E-2</v>
      </c>
    </row>
    <row r="60" spans="1:9" x14ac:dyDescent="0.25">
      <c r="A60" s="1">
        <v>45260</v>
      </c>
      <c r="B60">
        <v>0.122889</v>
      </c>
      <c r="C60">
        <v>4.2661999999999999E-2</v>
      </c>
      <c r="D60">
        <v>6.8794999999999995E-2</v>
      </c>
      <c r="E60">
        <f>wrds_riskfree[[#This Row],[TMYTM]]/100 / 12</f>
        <v>4.4549617851250825E-3</v>
      </c>
      <c r="G60" s="2">
        <f>pivot_RET[[#This Row],[MSFT]]-pivot_RET[[#This Row],[RiskFree]]</f>
        <v>0.11843403821487491</v>
      </c>
      <c r="H60" s="2">
        <f>pivot_RET[[#This Row],[KO]]-pivot_RET[[#This Row],[RiskFree]]</f>
        <v>3.8207038214874915E-2</v>
      </c>
      <c r="I60" s="2">
        <f>pivot_RET[[#This Row],[GOOG]]-pivot_RET[[#This Row],[RiskFree]]</f>
        <v>6.4340038214874912E-2</v>
      </c>
    </row>
    <row r="61" spans="1:9" x14ac:dyDescent="0.25">
      <c r="A61" s="1">
        <v>45289</v>
      </c>
      <c r="B61">
        <v>-7.574E-3</v>
      </c>
      <c r="C61">
        <v>8.3850000000000001E-3</v>
      </c>
      <c r="D61">
        <v>5.2345000000000003E-2</v>
      </c>
      <c r="E61">
        <f>wrds_riskfree[[#This Row],[TMYTM]]/100 / 12</f>
        <v>4.4843461814780836E-3</v>
      </c>
      <c r="G61" s="2">
        <f>pivot_RET[[#This Row],[MSFT]]-pivot_RET[[#This Row],[RiskFree]]</f>
        <v>-1.2058346181478084E-2</v>
      </c>
      <c r="H61" s="2">
        <f>pivot_RET[[#This Row],[KO]]-pivot_RET[[#This Row],[RiskFree]]</f>
        <v>3.9006538185219165E-3</v>
      </c>
      <c r="I61" s="2">
        <f>pivot_RET[[#This Row],[GOOG]]-pivot_RET[[#This Row],[RiskFree]]</f>
        <v>4.786065381852192E-2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DC0DD-10B4-4AB8-9D4C-7A902506A92F}">
  <dimension ref="A1:N122"/>
  <sheetViews>
    <sheetView zoomScaleNormal="100" workbookViewId="0">
      <pane ySplit="1" topLeftCell="A2" activePane="bottomLeft" state="frozen"/>
      <selection pane="bottomLeft" activeCell="E69" sqref="E69:M71"/>
    </sheetView>
  </sheetViews>
  <sheetFormatPr defaultRowHeight="15" x14ac:dyDescent="0.25"/>
  <cols>
    <col min="1" max="1" width="9.28515625" bestFit="1" customWidth="1"/>
    <col min="2" max="2" width="7.140625" bestFit="1" customWidth="1"/>
    <col min="3" max="3" width="10" bestFit="1" customWidth="1"/>
    <col min="5" max="5" width="8.28515625" bestFit="1" customWidth="1"/>
    <col min="6" max="6" width="6.140625" bestFit="1" customWidth="1"/>
    <col min="7" max="7" width="9" bestFit="1" customWidth="1"/>
    <col min="8" max="8" width="11.85546875" bestFit="1" customWidth="1"/>
    <col min="9" max="9" width="13.5703125" bestFit="1" customWidth="1"/>
    <col min="10" max="10" width="8.42578125" bestFit="1" customWidth="1"/>
    <col min="11" max="11" width="6.5703125" bestFit="1" customWidth="1"/>
    <col min="12" max="12" width="7" bestFit="1" customWidth="1"/>
    <col min="13" max="13" width="6.140625" bestFit="1" customWidth="1"/>
    <col min="14" max="14" width="11.85546875" bestFit="1" customWidth="1"/>
  </cols>
  <sheetData>
    <row r="1" spans="1:14" x14ac:dyDescent="0.25">
      <c r="A1" t="s">
        <v>20</v>
      </c>
      <c r="B1" t="s">
        <v>21</v>
      </c>
      <c r="C1" t="s">
        <v>22</v>
      </c>
      <c r="E1" s="3" t="s">
        <v>17</v>
      </c>
      <c r="F1" s="3" t="s">
        <v>18</v>
      </c>
      <c r="G1" s="3" t="s">
        <v>19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9"/>
    </row>
    <row r="2" spans="1:14" x14ac:dyDescent="0.25">
      <c r="A2">
        <v>0</v>
      </c>
      <c r="B2">
        <v>0</v>
      </c>
      <c r="C2">
        <f>1-A2-B2</f>
        <v>1</v>
      </c>
      <c r="E2" s="2" cm="1">
        <f t="array" ref="E2:G67">_xlfn._xlws.FILTER(A2:C122, C2:C122&gt;=0)</f>
        <v>0</v>
      </c>
      <c r="F2" s="2">
        <v>0</v>
      </c>
      <c r="G2" s="2">
        <v>1</v>
      </c>
      <c r="I2" s="7">
        <f>SUMPRODUCT(E2:G2, pivot_RET!$M$7:$O$7)</f>
        <v>1.8293964705359347E-2</v>
      </c>
      <c r="J2" s="7" cm="1">
        <f t="array" ref="J2">MMULT(E2:G2,MMULT(pivot_RET!$M$16:$O$18,TRANSPOSE(portfolio_RET!E2:G2)))</f>
        <v>5.978584115347501E-3</v>
      </c>
      <c r="K2" s="7">
        <f>SQRT(J2)</f>
        <v>7.7321304407954095E-2</v>
      </c>
      <c r="L2" s="7">
        <f>I2/K2</f>
        <v>0.23659669020634672</v>
      </c>
      <c r="M2" s="8">
        <f>I2+pivot_RET!$P$2</f>
        <v>1.9821050000000003E-2</v>
      </c>
    </row>
    <row r="3" spans="1:14" x14ac:dyDescent="0.25">
      <c r="A3">
        <v>0</v>
      </c>
      <c r="B3">
        <v>0.1</v>
      </c>
      <c r="C3">
        <f t="shared" ref="C3:C66" si="0">1-A3-B3</f>
        <v>0.9</v>
      </c>
      <c r="E3" s="2">
        <v>0</v>
      </c>
      <c r="F3" s="2">
        <v>0.1</v>
      </c>
      <c r="G3" s="2">
        <v>0.9</v>
      </c>
      <c r="I3" s="7">
        <f>SUMPRODUCT(E3:G3, pivot_RET!$M$7:$O$7)</f>
        <v>1.708082803869268E-2</v>
      </c>
      <c r="J3" s="7" cm="1">
        <f t="array" ref="J3">MMULT(E3:G3,MMULT(pivot_RET!$M$16:$O$18,TRANSPOSE(portfolio_RET!E3:G3)))</f>
        <v>5.1159178476734906E-3</v>
      </c>
      <c r="K3" s="7">
        <f t="shared" ref="K3:K66" si="1">SQRT(J3)</f>
        <v>7.15256446854797E-2</v>
      </c>
      <c r="L3" s="7">
        <f t="shared" ref="L3:L66" si="2">I3/K3</f>
        <v>0.23880704765126332</v>
      </c>
      <c r="M3" s="8">
        <f>I3+pivot_RET!$P$2</f>
        <v>1.8607913333333337E-2</v>
      </c>
    </row>
    <row r="4" spans="1:14" x14ac:dyDescent="0.25">
      <c r="A4">
        <v>0</v>
      </c>
      <c r="B4">
        <v>0.2</v>
      </c>
      <c r="C4">
        <f t="shared" si="0"/>
        <v>0.8</v>
      </c>
      <c r="E4" s="2">
        <v>0</v>
      </c>
      <c r="F4" s="2">
        <v>0.2</v>
      </c>
      <c r="G4" s="2">
        <v>0.8</v>
      </c>
      <c r="I4" s="7">
        <f>SUMPRODUCT(E4:G4, pivot_RET!$M$7:$O$7)</f>
        <v>1.5867691372026014E-2</v>
      </c>
      <c r="J4" s="7" cm="1">
        <f t="array" ref="J4">MMULT(E4:G4,MMULT(pivot_RET!$M$16:$O$18,TRANSPOSE(portfolio_RET!E4:G4)))</f>
        <v>4.3731407382574562E-3</v>
      </c>
      <c r="K4" s="7">
        <f t="shared" si="1"/>
        <v>6.6129726585382589E-2</v>
      </c>
      <c r="L4" s="7">
        <f t="shared" si="2"/>
        <v>0.23994793554058685</v>
      </c>
      <c r="M4" s="8">
        <f>I4+pivot_RET!$P$2</f>
        <v>1.739477666666667E-2</v>
      </c>
    </row>
    <row r="5" spans="1:14" x14ac:dyDescent="0.25">
      <c r="A5">
        <v>0</v>
      </c>
      <c r="B5">
        <v>0.3</v>
      </c>
      <c r="C5">
        <f t="shared" si="0"/>
        <v>0.7</v>
      </c>
      <c r="E5" s="2">
        <v>0</v>
      </c>
      <c r="F5" s="2">
        <v>0.3</v>
      </c>
      <c r="G5" s="2">
        <v>0.7</v>
      </c>
      <c r="I5" s="7">
        <f>SUMPRODUCT(E5:G5, pivot_RET!$M$7:$O$7)</f>
        <v>1.4654554705359346E-2</v>
      </c>
      <c r="J5" s="7" cm="1">
        <f t="array" ref="J5">MMULT(E5:G5,MMULT(pivot_RET!$M$16:$O$18,TRANSPOSE(portfolio_RET!E5:G5)))</f>
        <v>3.7502527870994003E-3</v>
      </c>
      <c r="K5" s="7">
        <f t="shared" si="1"/>
        <v>6.123930753282078E-2</v>
      </c>
      <c r="L5" s="7">
        <f t="shared" si="2"/>
        <v>0.23929981078746423</v>
      </c>
      <c r="M5" s="8">
        <f>I5+pivot_RET!$P$2</f>
        <v>1.6181640000000001E-2</v>
      </c>
    </row>
    <row r="6" spans="1:14" x14ac:dyDescent="0.25">
      <c r="A6">
        <v>0</v>
      </c>
      <c r="B6">
        <v>0.4</v>
      </c>
      <c r="C6">
        <f t="shared" si="0"/>
        <v>0.6</v>
      </c>
      <c r="E6" s="2">
        <v>0</v>
      </c>
      <c r="F6" s="2">
        <v>0.4</v>
      </c>
      <c r="G6" s="2">
        <v>0.6</v>
      </c>
      <c r="I6" s="7">
        <f>SUMPRODUCT(E6:G6, pivot_RET!$M$7:$O$7)</f>
        <v>1.3441418038692678E-2</v>
      </c>
      <c r="J6" s="7" cm="1">
        <f t="array" ref="J6">MMULT(E6:G6,MMULT(pivot_RET!$M$16:$O$18,TRANSPOSE(portfolio_RET!E6:G6)))</f>
        <v>3.2472539941993226E-3</v>
      </c>
      <c r="K6" s="7">
        <f t="shared" si="1"/>
        <v>5.6984682101414962E-2</v>
      </c>
      <c r="L6" s="7">
        <f t="shared" si="2"/>
        <v>0.23587774017535354</v>
      </c>
      <c r="M6" s="8">
        <f>I6+pivot_RET!$P$2</f>
        <v>1.4968503333333334E-2</v>
      </c>
    </row>
    <row r="7" spans="1:14" x14ac:dyDescent="0.25">
      <c r="A7">
        <v>0</v>
      </c>
      <c r="B7">
        <v>0.5</v>
      </c>
      <c r="C7">
        <f t="shared" si="0"/>
        <v>0.5</v>
      </c>
      <c r="E7" s="2">
        <v>0</v>
      </c>
      <c r="F7" s="2">
        <v>0.5</v>
      </c>
      <c r="G7" s="2">
        <v>0.5</v>
      </c>
      <c r="I7" s="7">
        <f>SUMPRODUCT(E7:G7, pivot_RET!$M$7:$O$7)</f>
        <v>1.2228281372026011E-2</v>
      </c>
      <c r="J7" s="7" cm="1">
        <f t="array" ref="J7">MMULT(E7:G7,MMULT(pivot_RET!$M$16:$O$18,TRANSPOSE(portfolio_RET!E7:G7)))</f>
        <v>2.8641443595572224E-3</v>
      </c>
      <c r="K7" s="7">
        <f t="shared" si="1"/>
        <v>5.3517701366531265E-2</v>
      </c>
      <c r="L7" s="7">
        <f t="shared" si="2"/>
        <v>0.22849040709497467</v>
      </c>
      <c r="M7" s="8">
        <f>I7+pivot_RET!$P$2</f>
        <v>1.3755366666666668E-2</v>
      </c>
    </row>
    <row r="8" spans="1:14" x14ac:dyDescent="0.25">
      <c r="A8">
        <v>0</v>
      </c>
      <c r="B8">
        <v>0.6</v>
      </c>
      <c r="C8">
        <f t="shared" si="0"/>
        <v>0.4</v>
      </c>
      <c r="E8" s="2">
        <v>0</v>
      </c>
      <c r="F8" s="2">
        <v>0.6</v>
      </c>
      <c r="G8" s="2">
        <v>0.4</v>
      </c>
      <c r="I8" s="7">
        <f>SUMPRODUCT(E8:G8, pivot_RET!$M$7:$O$7)</f>
        <v>1.1015144705359345E-2</v>
      </c>
      <c r="J8" s="7" cm="1">
        <f t="array" ref="J8">MMULT(E8:G8,MMULT(pivot_RET!$M$16:$O$18,TRANSPOSE(portfolio_RET!E8:G8)))</f>
        <v>2.6009238831731004E-3</v>
      </c>
      <c r="K8" s="7">
        <f t="shared" si="1"/>
        <v>5.0999253751139347E-2</v>
      </c>
      <c r="L8" s="7">
        <f t="shared" si="2"/>
        <v>0.21598638990111227</v>
      </c>
      <c r="M8" s="8">
        <f>I8+pivot_RET!$P$2</f>
        <v>1.2542230000000001E-2</v>
      </c>
    </row>
    <row r="9" spans="1:14" x14ac:dyDescent="0.25">
      <c r="A9">
        <v>0</v>
      </c>
      <c r="B9">
        <v>0.7</v>
      </c>
      <c r="C9">
        <f t="shared" si="0"/>
        <v>0.30000000000000004</v>
      </c>
      <c r="E9" s="2">
        <v>0</v>
      </c>
      <c r="F9" s="2">
        <v>0.7</v>
      </c>
      <c r="G9" s="2">
        <v>0.30000000000000004</v>
      </c>
      <c r="I9" s="7">
        <f>SUMPRODUCT(E9:G9, pivot_RET!$M$7:$O$7)</f>
        <v>9.8020080386926785E-3</v>
      </c>
      <c r="J9" s="7" cm="1">
        <f t="array" ref="J9">MMULT(E9:G9,MMULT(pivot_RET!$M$16:$O$18,TRANSPOSE(portfolio_RET!E9:G9)))</f>
        <v>2.457592565046956E-3</v>
      </c>
      <c r="K9" s="7">
        <f t="shared" si="1"/>
        <v>4.9574111843248954E-2</v>
      </c>
      <c r="L9" s="7">
        <f t="shared" si="2"/>
        <v>0.19772432978095852</v>
      </c>
      <c r="M9" s="8">
        <f>I9+pivot_RET!$P$2</f>
        <v>1.1329093333333335E-2</v>
      </c>
    </row>
    <row r="10" spans="1:14" x14ac:dyDescent="0.25">
      <c r="A10">
        <v>0</v>
      </c>
      <c r="B10">
        <v>0.8</v>
      </c>
      <c r="C10">
        <f t="shared" si="0"/>
        <v>0.19999999999999996</v>
      </c>
      <c r="E10" s="2">
        <v>0</v>
      </c>
      <c r="F10" s="2">
        <v>0.8</v>
      </c>
      <c r="G10" s="2">
        <v>0.19999999999999996</v>
      </c>
      <c r="I10" s="7">
        <f>SUMPRODUCT(E10:G10, pivot_RET!$M$7:$O$7)</f>
        <v>8.5888713720260104E-3</v>
      </c>
      <c r="J10" s="7" cm="1">
        <f t="array" ref="J10">MMULT(E10:G10,MMULT(pivot_RET!$M$16:$O$18,TRANSPOSE(portfolio_RET!E10:G10)))</f>
        <v>2.4341504051787889E-3</v>
      </c>
      <c r="K10" s="7">
        <f t="shared" si="1"/>
        <v>4.9337109817852005E-2</v>
      </c>
      <c r="L10" s="7">
        <f t="shared" si="2"/>
        <v>0.17408541772583194</v>
      </c>
      <c r="M10" s="8">
        <f>I10+pivot_RET!$P$2</f>
        <v>1.0115956666666667E-2</v>
      </c>
    </row>
    <row r="11" spans="1:14" x14ac:dyDescent="0.25">
      <c r="A11">
        <v>0</v>
      </c>
      <c r="B11">
        <v>0.9</v>
      </c>
      <c r="C11">
        <f t="shared" si="0"/>
        <v>9.9999999999999978E-2</v>
      </c>
      <c r="E11" s="2">
        <v>0</v>
      </c>
      <c r="F11" s="2">
        <v>0.9</v>
      </c>
      <c r="G11" s="2">
        <v>9.9999999999999978E-2</v>
      </c>
      <c r="I11" s="7">
        <f>SUMPRODUCT(E11:G11, pivot_RET!$M$7:$O$7)</f>
        <v>7.375734705359344E-3</v>
      </c>
      <c r="J11" s="7" cm="1">
        <f t="array" ref="J11">MMULT(E11:G11,MMULT(pivot_RET!$M$16:$O$18,TRANSPOSE(portfolio_RET!E11:G11)))</f>
        <v>2.5305974035686003E-3</v>
      </c>
      <c r="K11" s="7">
        <f t="shared" si="1"/>
        <v>5.0305043520193882E-2</v>
      </c>
      <c r="L11" s="7">
        <f t="shared" si="2"/>
        <v>0.14662018336985463</v>
      </c>
      <c r="M11" s="8">
        <f>I11+pivot_RET!$P$2</f>
        <v>8.9028200000000005E-3</v>
      </c>
    </row>
    <row r="12" spans="1:14" x14ac:dyDescent="0.25">
      <c r="A12">
        <v>0</v>
      </c>
      <c r="B12">
        <v>1</v>
      </c>
      <c r="C12">
        <f t="shared" si="0"/>
        <v>0</v>
      </c>
      <c r="E12" s="2">
        <v>0</v>
      </c>
      <c r="F12" s="2">
        <v>1</v>
      </c>
      <c r="G12" s="2">
        <v>0</v>
      </c>
      <c r="I12" s="7">
        <f>SUMPRODUCT(E12:G12, pivot_RET!$M$7:$O$7)</f>
        <v>6.1625980386926767E-3</v>
      </c>
      <c r="J12" s="7" cm="1">
        <f t="array" ref="J12">MMULT(E12:G12,MMULT(pivot_RET!$M$16:$O$18,TRANSPOSE(portfolio_RET!E12:G12)))</f>
        <v>2.7469335602163889E-3</v>
      </c>
      <c r="K12" s="7">
        <f t="shared" si="1"/>
        <v>5.2411196897384334E-2</v>
      </c>
      <c r="L12" s="7">
        <f t="shared" si="2"/>
        <v>0.11758170779343967</v>
      </c>
      <c r="M12" s="8">
        <f>I12+pivot_RET!$P$2</f>
        <v>7.6896833333333333E-3</v>
      </c>
    </row>
    <row r="13" spans="1:14" x14ac:dyDescent="0.25">
      <c r="A13">
        <v>0.1</v>
      </c>
      <c r="B13">
        <v>0</v>
      </c>
      <c r="C13">
        <f t="shared" si="0"/>
        <v>0.9</v>
      </c>
      <c r="E13" s="2">
        <v>0.1</v>
      </c>
      <c r="F13" s="2">
        <v>0</v>
      </c>
      <c r="G13" s="2">
        <v>0.9</v>
      </c>
      <c r="I13" s="7">
        <f>SUMPRODUCT(E13:G13, pivot_RET!$M$7:$O$7)</f>
        <v>1.8799289705359348E-2</v>
      </c>
      <c r="J13" s="7" cm="1">
        <f t="array" ref="J13">MMULT(E13:G13,MMULT(pivot_RET!$M$16:$O$18,TRANSPOSE(portfolio_RET!E13:G13)))</f>
        <v>5.4738088335152101E-3</v>
      </c>
      <c r="K13" s="7">
        <f t="shared" si="1"/>
        <v>7.3985193339716357E-2</v>
      </c>
      <c r="L13" s="7">
        <f t="shared" si="2"/>
        <v>0.2540952974068611</v>
      </c>
      <c r="M13" s="8">
        <f>I13+pivot_RET!$P$2</f>
        <v>2.0326375000000004E-2</v>
      </c>
    </row>
    <row r="14" spans="1:14" x14ac:dyDescent="0.25">
      <c r="A14">
        <v>0.1</v>
      </c>
      <c r="B14">
        <v>0.1</v>
      </c>
      <c r="C14">
        <f t="shared" si="0"/>
        <v>0.8</v>
      </c>
      <c r="E14" s="2">
        <v>0.1</v>
      </c>
      <c r="F14" s="2">
        <v>0.1</v>
      </c>
      <c r="G14" s="2">
        <v>0.8</v>
      </c>
      <c r="I14" s="7">
        <f>SUMPRODUCT(E14:G14, pivot_RET!$M$7:$O$7)</f>
        <v>1.7586153038692681E-2</v>
      </c>
      <c r="J14" s="7" cm="1">
        <f t="array" ref="J14">MMULT(E14:G14,MMULT(pivot_RET!$M$16:$O$18,TRANSPOSE(portfolio_RET!E14:G14)))</f>
        <v>4.6608224038220325E-3</v>
      </c>
      <c r="K14" s="7">
        <f t="shared" si="1"/>
        <v>6.8270216081553689E-2</v>
      </c>
      <c r="L14" s="7">
        <f t="shared" si="2"/>
        <v>0.25759627035140414</v>
      </c>
      <c r="M14" s="8">
        <f>I14+pivot_RET!$P$2</f>
        <v>1.9113238333333338E-2</v>
      </c>
    </row>
    <row r="15" spans="1:14" x14ac:dyDescent="0.25">
      <c r="A15">
        <v>0.1</v>
      </c>
      <c r="B15">
        <v>0.2</v>
      </c>
      <c r="C15">
        <f t="shared" si="0"/>
        <v>0.7</v>
      </c>
      <c r="E15" s="2">
        <v>0.1</v>
      </c>
      <c r="F15" s="2">
        <v>0.2</v>
      </c>
      <c r="G15" s="2">
        <v>0.7</v>
      </c>
      <c r="I15" s="7">
        <f>SUMPRODUCT(E15:G15, pivot_RET!$M$7:$O$7)</f>
        <v>1.6373016372026011E-2</v>
      </c>
      <c r="J15" s="7" cm="1">
        <f t="array" ref="J15">MMULT(E15:G15,MMULT(pivot_RET!$M$16:$O$18,TRANSPOSE(portfolio_RET!E15:G15)))</f>
        <v>3.9677251323868307E-3</v>
      </c>
      <c r="K15" s="7">
        <f t="shared" si="1"/>
        <v>6.2989881190448599E-2</v>
      </c>
      <c r="L15" s="7">
        <f t="shared" si="2"/>
        <v>0.25993089782980439</v>
      </c>
      <c r="M15" s="8">
        <f>I15+pivot_RET!$P$2</f>
        <v>1.7900101666666668E-2</v>
      </c>
    </row>
    <row r="16" spans="1:14" x14ac:dyDescent="0.25">
      <c r="A16">
        <v>0.1</v>
      </c>
      <c r="B16">
        <v>0.3</v>
      </c>
      <c r="C16">
        <f t="shared" si="0"/>
        <v>0.60000000000000009</v>
      </c>
      <c r="E16" s="2">
        <v>0.1</v>
      </c>
      <c r="F16" s="2">
        <v>0.3</v>
      </c>
      <c r="G16" s="2">
        <v>0.60000000000000009</v>
      </c>
      <c r="I16" s="7">
        <f>SUMPRODUCT(E16:G16, pivot_RET!$M$7:$O$7)</f>
        <v>1.5159879705359348E-2</v>
      </c>
      <c r="J16" s="7" cm="1">
        <f t="array" ref="J16">MMULT(E16:G16,MMULT(pivot_RET!$M$16:$O$18,TRANSPOSE(portfolio_RET!E16:G16)))</f>
        <v>3.3945170192096093E-3</v>
      </c>
      <c r="K16" s="7">
        <f t="shared" si="1"/>
        <v>5.8262483805701329E-2</v>
      </c>
      <c r="L16" s="7">
        <f t="shared" si="2"/>
        <v>0.26019968108321301</v>
      </c>
      <c r="M16" s="8">
        <f>I16+pivot_RET!$P$2</f>
        <v>1.6686965000000005E-2</v>
      </c>
    </row>
    <row r="17" spans="1:13" x14ac:dyDescent="0.25">
      <c r="A17">
        <v>0.1</v>
      </c>
      <c r="B17">
        <v>0.4</v>
      </c>
      <c r="C17">
        <f t="shared" si="0"/>
        <v>0.5</v>
      </c>
      <c r="E17" s="2">
        <v>0.1</v>
      </c>
      <c r="F17" s="2">
        <v>0.4</v>
      </c>
      <c r="G17" s="2">
        <v>0.5</v>
      </c>
      <c r="I17" s="7">
        <f>SUMPRODUCT(E17:G17, pivot_RET!$M$7:$O$7)</f>
        <v>1.3946743038692679E-2</v>
      </c>
      <c r="J17" s="7" cm="1">
        <f t="array" ref="J17">MMULT(E17:G17,MMULT(pivot_RET!$M$16:$O$18,TRANSPOSE(portfolio_RET!E17:G17)))</f>
        <v>2.9411980642903646E-3</v>
      </c>
      <c r="K17" s="7">
        <f t="shared" si="1"/>
        <v>5.4232813538395409E-2</v>
      </c>
      <c r="L17" s="7">
        <f t="shared" si="2"/>
        <v>0.2571642909291208</v>
      </c>
      <c r="M17" s="8">
        <f>I17+pivot_RET!$P$2</f>
        <v>1.5473828333333335E-2</v>
      </c>
    </row>
    <row r="18" spans="1:13" x14ac:dyDescent="0.25">
      <c r="A18">
        <v>0.1</v>
      </c>
      <c r="B18">
        <v>0.5</v>
      </c>
      <c r="C18">
        <f t="shared" si="0"/>
        <v>0.4</v>
      </c>
      <c r="E18" s="2">
        <v>0.1</v>
      </c>
      <c r="F18" s="2">
        <v>0.5</v>
      </c>
      <c r="G18" s="2">
        <v>0.4</v>
      </c>
      <c r="I18" s="7">
        <f>SUMPRODUCT(E18:G18, pivot_RET!$M$7:$O$7)</f>
        <v>1.2733606372026012E-2</v>
      </c>
      <c r="J18" s="7" cm="1">
        <f t="array" ref="J18">MMULT(E18:G18,MMULT(pivot_RET!$M$16:$O$18,TRANSPOSE(portfolio_RET!E18:G18)))</f>
        <v>2.6077682676290976E-3</v>
      </c>
      <c r="K18" s="7">
        <f t="shared" si="1"/>
        <v>5.1066312453799695E-2</v>
      </c>
      <c r="L18" s="7">
        <f t="shared" si="2"/>
        <v>0.24935433478863897</v>
      </c>
      <c r="M18" s="8">
        <f>I18+pivot_RET!$P$2</f>
        <v>1.4260691666666669E-2</v>
      </c>
    </row>
    <row r="19" spans="1:13" x14ac:dyDescent="0.25">
      <c r="A19">
        <v>0.1</v>
      </c>
      <c r="B19">
        <v>0.6</v>
      </c>
      <c r="C19">
        <f t="shared" si="0"/>
        <v>0.30000000000000004</v>
      </c>
      <c r="E19" s="2">
        <v>0.1</v>
      </c>
      <c r="F19" s="2">
        <v>0.6</v>
      </c>
      <c r="G19" s="2">
        <v>0.30000000000000004</v>
      </c>
      <c r="I19" s="7">
        <f>SUMPRODUCT(E19:G19, pivot_RET!$M$7:$O$7)</f>
        <v>1.1520469705359346E-2</v>
      </c>
      <c r="J19" s="7" cm="1">
        <f t="array" ref="J19">MMULT(E19:G19,MMULT(pivot_RET!$M$16:$O$18,TRANSPOSE(portfolio_RET!E19:G19)))</f>
        <v>2.3942276292258091E-3</v>
      </c>
      <c r="K19" s="7">
        <f t="shared" si="1"/>
        <v>4.8930845376161332E-2</v>
      </c>
      <c r="L19" s="7">
        <f t="shared" si="2"/>
        <v>0.23544391307353163</v>
      </c>
      <c r="M19" s="8">
        <f>I19+pivot_RET!$P$2</f>
        <v>1.3047555000000002E-2</v>
      </c>
    </row>
    <row r="20" spans="1:13" x14ac:dyDescent="0.25">
      <c r="A20">
        <v>0.1</v>
      </c>
      <c r="B20">
        <v>0.7</v>
      </c>
      <c r="C20">
        <f t="shared" si="0"/>
        <v>0.20000000000000007</v>
      </c>
      <c r="E20" s="2">
        <v>0.1</v>
      </c>
      <c r="F20" s="2">
        <v>0.7</v>
      </c>
      <c r="G20" s="2">
        <v>0.20000000000000007</v>
      </c>
      <c r="I20" s="7">
        <f>SUMPRODUCT(E20:G20, pivot_RET!$M$7:$O$7)</f>
        <v>1.0307333038692679E-2</v>
      </c>
      <c r="J20" s="7" cm="1">
        <f t="array" ref="J20">MMULT(E20:G20,MMULT(pivot_RET!$M$16:$O$18,TRANSPOSE(portfolio_RET!E20:G20)))</f>
        <v>2.3005761490804974E-3</v>
      </c>
      <c r="K20" s="7">
        <f t="shared" si="1"/>
        <v>4.7964321626397445E-2</v>
      </c>
      <c r="L20" s="7">
        <f t="shared" si="2"/>
        <v>0.21489583693017308</v>
      </c>
      <c r="M20" s="8">
        <f>I20+pivot_RET!$P$2</f>
        <v>1.1834418333333336E-2</v>
      </c>
    </row>
    <row r="21" spans="1:13" x14ac:dyDescent="0.25">
      <c r="A21">
        <v>0.1</v>
      </c>
      <c r="B21">
        <v>0.8</v>
      </c>
      <c r="C21">
        <f t="shared" si="0"/>
        <v>9.9999999999999978E-2</v>
      </c>
      <c r="E21" s="2">
        <v>0.1</v>
      </c>
      <c r="F21" s="2">
        <v>0.8</v>
      </c>
      <c r="G21" s="2">
        <v>9.9999999999999978E-2</v>
      </c>
      <c r="I21" s="7">
        <f>SUMPRODUCT(E21:G21, pivot_RET!$M$7:$O$7)</f>
        <v>9.0941963720260113E-3</v>
      </c>
      <c r="J21" s="7" cm="1">
        <f t="array" ref="J21">MMULT(E21:G21,MMULT(pivot_RET!$M$16:$O$18,TRANSPOSE(portfolio_RET!E21:G21)))</f>
        <v>2.3268138271931643E-3</v>
      </c>
      <c r="K21" s="7">
        <f t="shared" si="1"/>
        <v>4.8237058649892452E-2</v>
      </c>
      <c r="L21" s="7">
        <f t="shared" si="2"/>
        <v>0.18853132066016401</v>
      </c>
      <c r="M21" s="8">
        <f>I21+pivot_RET!$P$2</f>
        <v>1.0621281666666668E-2</v>
      </c>
    </row>
    <row r="22" spans="1:13" x14ac:dyDescent="0.25">
      <c r="A22">
        <v>0.1</v>
      </c>
      <c r="B22">
        <v>0.9</v>
      </c>
      <c r="C22">
        <f t="shared" si="0"/>
        <v>0</v>
      </c>
      <c r="E22" s="2">
        <v>0.1</v>
      </c>
      <c r="F22" s="2">
        <v>0.9</v>
      </c>
      <c r="G22" s="2">
        <v>0</v>
      </c>
      <c r="I22" s="7">
        <f>SUMPRODUCT(E22:G22, pivot_RET!$M$7:$O$7)</f>
        <v>7.8810597053593449E-3</v>
      </c>
      <c r="J22" s="7" cm="1">
        <f t="array" ref="J22">MMULT(E22:G22,MMULT(pivot_RET!$M$16:$O$18,TRANSPOSE(portfolio_RET!E22:G22)))</f>
        <v>2.4729406635638084E-3</v>
      </c>
      <c r="K22" s="7">
        <f t="shared" si="1"/>
        <v>4.972867043832771E-2</v>
      </c>
      <c r="L22" s="7">
        <f t="shared" si="2"/>
        <v>0.15848120683486289</v>
      </c>
      <c r="M22" s="8">
        <f>I22+pivot_RET!$P$2</f>
        <v>9.4081450000000014E-3</v>
      </c>
    </row>
    <row r="23" spans="1:13" x14ac:dyDescent="0.25">
      <c r="A23">
        <v>0.1</v>
      </c>
      <c r="B23">
        <v>1</v>
      </c>
      <c r="C23">
        <f t="shared" si="0"/>
        <v>-9.9999999999999978E-2</v>
      </c>
      <c r="E23" s="2">
        <v>0.2</v>
      </c>
      <c r="F23" s="2">
        <v>0</v>
      </c>
      <c r="G23" s="2">
        <v>0.8</v>
      </c>
      <c r="I23" s="7">
        <f>SUMPRODUCT(E23:G23, pivot_RET!$M$7:$O$7)</f>
        <v>1.9304614705359349E-2</v>
      </c>
      <c r="J23" s="7" cm="1">
        <f t="array" ref="J23">MMULT(E23:G23,MMULT(pivot_RET!$M$16:$O$18,TRANSPOSE(portfolio_RET!E23:G23)))</f>
        <v>5.0363558578833349E-3</v>
      </c>
      <c r="K23" s="7">
        <f t="shared" si="1"/>
        <v>7.0967287237736057E-2</v>
      </c>
      <c r="L23" s="7">
        <f t="shared" si="2"/>
        <v>0.27202131371726346</v>
      </c>
      <c r="M23" s="8">
        <f>I23+pivot_RET!$P$2</f>
        <v>2.0831700000000005E-2</v>
      </c>
    </row>
    <row r="24" spans="1:13" x14ac:dyDescent="0.25">
      <c r="A24">
        <v>0.2</v>
      </c>
      <c r="B24">
        <v>0</v>
      </c>
      <c r="C24">
        <f t="shared" si="0"/>
        <v>0.8</v>
      </c>
      <c r="E24" s="2">
        <v>0.2</v>
      </c>
      <c r="F24" s="2">
        <v>0.1</v>
      </c>
      <c r="G24" s="2">
        <v>0.70000000000000007</v>
      </c>
      <c r="I24" s="7">
        <f>SUMPRODUCT(E24:G24, pivot_RET!$M$7:$O$7)</f>
        <v>1.8091478038692682E-2</v>
      </c>
      <c r="J24" s="7" cm="1">
        <f t="array" ref="J24">MMULT(E24:G24,MMULT(pivot_RET!$M$16:$O$18,TRANSPOSE(portfolio_RET!E24:G24)))</f>
        <v>4.2730492661709907E-3</v>
      </c>
      <c r="K24" s="7">
        <f t="shared" si="1"/>
        <v>6.5368564816515526E-2</v>
      </c>
      <c r="L24" s="7">
        <f t="shared" si="2"/>
        <v>0.27676113265564345</v>
      </c>
      <c r="M24" s="8">
        <f>I24+pivot_RET!$P$2</f>
        <v>1.9618563333333339E-2</v>
      </c>
    </row>
    <row r="25" spans="1:13" x14ac:dyDescent="0.25">
      <c r="A25">
        <v>0.2</v>
      </c>
      <c r="B25">
        <v>0.1</v>
      </c>
      <c r="C25">
        <f t="shared" si="0"/>
        <v>0.70000000000000007</v>
      </c>
      <c r="E25" s="2">
        <v>0.2</v>
      </c>
      <c r="F25" s="2">
        <v>0.2</v>
      </c>
      <c r="G25" s="2">
        <v>0.60000000000000009</v>
      </c>
      <c r="I25" s="7">
        <f>SUMPRODUCT(E25:G25, pivot_RET!$M$7:$O$7)</f>
        <v>1.6878341372026016E-2</v>
      </c>
      <c r="J25" s="7" cm="1">
        <f t="array" ref="J25">MMULT(E25:G25,MMULT(pivot_RET!$M$16:$O$18,TRANSPOSE(portfolio_RET!E25:G25)))</f>
        <v>3.6296318327166239E-3</v>
      </c>
      <c r="K25" s="7">
        <f t="shared" si="1"/>
        <v>6.024642589163795E-2</v>
      </c>
      <c r="L25" s="7">
        <f t="shared" si="2"/>
        <v>0.28015506517157041</v>
      </c>
      <c r="M25" s="8">
        <f>I25+pivot_RET!$P$2</f>
        <v>1.8405426666666672E-2</v>
      </c>
    </row>
    <row r="26" spans="1:13" x14ac:dyDescent="0.25">
      <c r="A26">
        <v>0.2</v>
      </c>
      <c r="B26">
        <v>0.2</v>
      </c>
      <c r="C26">
        <f t="shared" si="0"/>
        <v>0.60000000000000009</v>
      </c>
      <c r="E26" s="2">
        <v>0.2</v>
      </c>
      <c r="F26" s="2">
        <v>0.3</v>
      </c>
      <c r="G26" s="2">
        <v>0.5</v>
      </c>
      <c r="I26" s="7">
        <f>SUMPRODUCT(E26:G26, pivot_RET!$M$7:$O$7)</f>
        <v>1.5665204705359349E-2</v>
      </c>
      <c r="J26" s="7" cm="1">
        <f t="array" ref="J26">MMULT(E26:G26,MMULT(pivot_RET!$M$16:$O$18,TRANSPOSE(portfolio_RET!E26:G26)))</f>
        <v>3.1061035575202338E-3</v>
      </c>
      <c r="K26" s="7">
        <f t="shared" si="1"/>
        <v>5.5732428239941546E-2</v>
      </c>
      <c r="L26" s="7">
        <f t="shared" si="2"/>
        <v>0.28107881174523502</v>
      </c>
      <c r="M26" s="8">
        <f>I26+pivot_RET!$P$2</f>
        <v>1.7192290000000006E-2</v>
      </c>
    </row>
    <row r="27" spans="1:13" x14ac:dyDescent="0.25">
      <c r="A27">
        <v>0.2</v>
      </c>
      <c r="B27">
        <v>0.3</v>
      </c>
      <c r="C27">
        <f t="shared" si="0"/>
        <v>0.5</v>
      </c>
      <c r="E27" s="2">
        <v>0.2</v>
      </c>
      <c r="F27" s="2">
        <v>0.4</v>
      </c>
      <c r="G27" s="2">
        <v>0.4</v>
      </c>
      <c r="I27" s="7">
        <f>SUMPRODUCT(E27:G27, pivot_RET!$M$7:$O$7)</f>
        <v>1.4452068038692679E-2</v>
      </c>
      <c r="J27" s="7" cm="1">
        <f t="array" ref="J27">MMULT(E27:G27,MMULT(pivot_RET!$M$16:$O$18,TRANSPOSE(portfolio_RET!E27:G27)))</f>
        <v>2.7024644405818227E-3</v>
      </c>
      <c r="K27" s="7">
        <f t="shared" si="1"/>
        <v>5.1985232908796537E-2</v>
      </c>
      <c r="L27" s="7">
        <f t="shared" si="2"/>
        <v>0.27800333344754935</v>
      </c>
      <c r="M27" s="8">
        <f>I27+pivot_RET!$P$2</f>
        <v>1.5979153333333336E-2</v>
      </c>
    </row>
    <row r="28" spans="1:13" x14ac:dyDescent="0.25">
      <c r="A28">
        <v>0.2</v>
      </c>
      <c r="B28">
        <v>0.4</v>
      </c>
      <c r="C28">
        <f t="shared" si="0"/>
        <v>0.4</v>
      </c>
      <c r="E28" s="2">
        <v>0.2</v>
      </c>
      <c r="F28" s="2">
        <v>0.5</v>
      </c>
      <c r="G28" s="2">
        <v>0.30000000000000004</v>
      </c>
      <c r="I28" s="7">
        <f>SUMPRODUCT(E28:G28, pivot_RET!$M$7:$O$7)</f>
        <v>1.3238931372026013E-2</v>
      </c>
      <c r="J28" s="7" cm="1">
        <f t="array" ref="J28">MMULT(E28:G28,MMULT(pivot_RET!$M$16:$O$18,TRANSPOSE(portfolio_RET!E28:G28)))</f>
        <v>2.4187144819013892E-3</v>
      </c>
      <c r="K28" s="7">
        <f t="shared" si="1"/>
        <v>4.9180427833655421E-2</v>
      </c>
      <c r="L28" s="7">
        <f t="shared" si="2"/>
        <v>0.2691910574020317</v>
      </c>
      <c r="M28" s="8">
        <f>I28+pivot_RET!$P$2</f>
        <v>1.476601666666667E-2</v>
      </c>
    </row>
    <row r="29" spans="1:13" x14ac:dyDescent="0.25">
      <c r="A29">
        <v>0.2</v>
      </c>
      <c r="B29">
        <v>0.5</v>
      </c>
      <c r="C29">
        <f t="shared" si="0"/>
        <v>0.30000000000000004</v>
      </c>
      <c r="E29" s="2">
        <v>0.2</v>
      </c>
      <c r="F29" s="2">
        <v>0.6</v>
      </c>
      <c r="G29" s="2">
        <v>0.20000000000000007</v>
      </c>
      <c r="I29" s="7">
        <f>SUMPRODUCT(E29:G29, pivot_RET!$M$7:$O$7)</f>
        <v>1.2025794705359347E-2</v>
      </c>
      <c r="J29" s="7" cm="1">
        <f t="array" ref="J29">MMULT(E29:G29,MMULT(pivot_RET!$M$16:$O$18,TRANSPOSE(portfolio_RET!E29:G29)))</f>
        <v>2.2548536814789339E-3</v>
      </c>
      <c r="K29" s="7">
        <f t="shared" si="1"/>
        <v>4.7485299635560203E-2</v>
      </c>
      <c r="L29" s="7">
        <f t="shared" si="2"/>
        <v>0.25325300245875709</v>
      </c>
      <c r="M29" s="8">
        <f>I29+pivot_RET!$P$2</f>
        <v>1.3552880000000003E-2</v>
      </c>
    </row>
    <row r="30" spans="1:13" x14ac:dyDescent="0.25">
      <c r="A30">
        <v>0.2</v>
      </c>
      <c r="B30">
        <v>0.6</v>
      </c>
      <c r="C30">
        <f t="shared" si="0"/>
        <v>0.20000000000000007</v>
      </c>
      <c r="E30" s="2">
        <v>0.2</v>
      </c>
      <c r="F30" s="2">
        <v>0.7</v>
      </c>
      <c r="G30" s="2">
        <v>0.10000000000000009</v>
      </c>
      <c r="I30" s="7">
        <f>SUMPRODUCT(E30:G30, pivot_RET!$M$7:$O$7)</f>
        <v>1.081265803869268E-2</v>
      </c>
      <c r="J30" s="7" cm="1">
        <f t="array" ref="J30">MMULT(E30:G30,MMULT(pivot_RET!$M$16:$O$18,TRANSPOSE(portfolio_RET!E30:G30)))</f>
        <v>2.2108820393144557E-3</v>
      </c>
      <c r="K30" s="7">
        <f t="shared" si="1"/>
        <v>4.7020017432094344E-2</v>
      </c>
      <c r="L30" s="7">
        <f t="shared" si="2"/>
        <v>0.22995861399473472</v>
      </c>
      <c r="M30" s="8">
        <f>I30+pivot_RET!$P$2</f>
        <v>1.2339743333333337E-2</v>
      </c>
    </row>
    <row r="31" spans="1:13" x14ac:dyDescent="0.25">
      <c r="A31">
        <v>0.2</v>
      </c>
      <c r="B31">
        <v>0.7</v>
      </c>
      <c r="C31">
        <f t="shared" si="0"/>
        <v>0.10000000000000009</v>
      </c>
      <c r="E31" s="2">
        <v>0.2</v>
      </c>
      <c r="F31" s="2">
        <v>0.8</v>
      </c>
      <c r="G31" s="2">
        <v>0</v>
      </c>
      <c r="I31" s="7">
        <f>SUMPRODUCT(E31:G31, pivot_RET!$M$7:$O$7)</f>
        <v>9.5995213720260122E-3</v>
      </c>
      <c r="J31" s="7" cm="1">
        <f t="array" ref="J31">MMULT(E31:G31,MMULT(pivot_RET!$M$16:$O$18,TRANSPOSE(portfolio_RET!E31:G31)))</f>
        <v>2.2867995554079557E-3</v>
      </c>
      <c r="K31" s="7">
        <f t="shared" si="1"/>
        <v>4.7820493048566066E-2</v>
      </c>
      <c r="L31" s="7">
        <f t="shared" si="2"/>
        <v>0.20074074439752898</v>
      </c>
      <c r="M31" s="8">
        <f>I31+pivot_RET!$P$2</f>
        <v>1.1126606666666669E-2</v>
      </c>
    </row>
    <row r="32" spans="1:13" x14ac:dyDescent="0.25">
      <c r="A32">
        <v>0.2</v>
      </c>
      <c r="B32">
        <v>0.8</v>
      </c>
      <c r="C32">
        <f t="shared" si="0"/>
        <v>0</v>
      </c>
      <c r="E32" s="2">
        <v>0.3</v>
      </c>
      <c r="F32" s="2">
        <v>0</v>
      </c>
      <c r="G32" s="2">
        <v>0.7</v>
      </c>
      <c r="I32" s="7">
        <f>SUMPRODUCT(E32:G32, pivot_RET!$M$7:$O$7)</f>
        <v>1.9809939705359346E-2</v>
      </c>
      <c r="J32" s="7" cm="1">
        <f t="array" ref="J32">MMULT(E32:G32,MMULT(pivot_RET!$M$16:$O$18,TRANSPOSE(portfolio_RET!E32:G32)))</f>
        <v>4.6662251884518752E-3</v>
      </c>
      <c r="K32" s="7">
        <f t="shared" si="1"/>
        <v>6.8309773740306556E-2</v>
      </c>
      <c r="L32" s="7">
        <f t="shared" si="2"/>
        <v>0.2900015418096808</v>
      </c>
      <c r="M32" s="8">
        <f>I32+pivot_RET!$P$2</f>
        <v>2.1337025000000003E-2</v>
      </c>
    </row>
    <row r="33" spans="1:13" x14ac:dyDescent="0.25">
      <c r="A33">
        <v>0.2</v>
      </c>
      <c r="B33">
        <v>0.9</v>
      </c>
      <c r="C33">
        <f t="shared" si="0"/>
        <v>-9.9999999999999978E-2</v>
      </c>
      <c r="E33" s="2">
        <v>0.3</v>
      </c>
      <c r="F33" s="2">
        <v>0.1</v>
      </c>
      <c r="G33" s="2">
        <v>0.6</v>
      </c>
      <c r="I33" s="7">
        <f>SUMPRODUCT(E33:G33, pivot_RET!$M$7:$O$7)</f>
        <v>1.859680303869268E-2</v>
      </c>
      <c r="J33" s="7" cm="1">
        <f t="array" ref="J33">MMULT(E33:G33,MMULT(pivot_RET!$M$16:$O$18,TRANSPOSE(portfolio_RET!E33:G33)))</f>
        <v>3.9525984347203637E-3</v>
      </c>
      <c r="K33" s="7">
        <f t="shared" si="1"/>
        <v>6.2869694088013212E-2</v>
      </c>
      <c r="L33" s="7">
        <f t="shared" si="2"/>
        <v>0.29579916537622158</v>
      </c>
      <c r="M33" s="8">
        <f>I33+pivot_RET!$P$2</f>
        <v>2.0123888333333336E-2</v>
      </c>
    </row>
    <row r="34" spans="1:13" x14ac:dyDescent="0.25">
      <c r="A34">
        <v>0.2</v>
      </c>
      <c r="B34">
        <v>1</v>
      </c>
      <c r="C34">
        <f t="shared" si="0"/>
        <v>-0.19999999999999996</v>
      </c>
      <c r="E34" s="2">
        <v>0.3</v>
      </c>
      <c r="F34" s="2">
        <v>0.2</v>
      </c>
      <c r="G34" s="2">
        <v>0.49999999999999994</v>
      </c>
      <c r="I34" s="7">
        <f>SUMPRODUCT(E34:G34, pivot_RET!$M$7:$O$7)</f>
        <v>1.7383666372026013E-2</v>
      </c>
      <c r="J34" s="7" cm="1">
        <f t="array" ref="J34">MMULT(E34:G34,MMULT(pivot_RET!$M$16:$O$18,TRANSPOSE(portfolio_RET!E34:G34)))</f>
        <v>3.35886083924683E-3</v>
      </c>
      <c r="K34" s="7">
        <f t="shared" si="1"/>
        <v>5.7955679956729261E-2</v>
      </c>
      <c r="L34" s="7">
        <f t="shared" si="2"/>
        <v>0.29994758727712223</v>
      </c>
      <c r="M34" s="8">
        <f>I34+pivot_RET!$P$2</f>
        <v>1.891075166666667E-2</v>
      </c>
    </row>
    <row r="35" spans="1:13" x14ac:dyDescent="0.25">
      <c r="A35">
        <v>0.3</v>
      </c>
      <c r="B35">
        <v>0</v>
      </c>
      <c r="C35">
        <f t="shared" si="0"/>
        <v>0.7</v>
      </c>
      <c r="E35" s="2">
        <v>0.3</v>
      </c>
      <c r="F35" s="2">
        <v>0.3</v>
      </c>
      <c r="G35" s="2">
        <v>0.39999999999999997</v>
      </c>
      <c r="I35" s="7">
        <f>SUMPRODUCT(E35:G35, pivot_RET!$M$7:$O$7)</f>
        <v>1.6170529705359347E-2</v>
      </c>
      <c r="J35" s="7" cm="1">
        <f t="array" ref="J35">MMULT(E35:G35,MMULT(pivot_RET!$M$16:$O$18,TRANSPOSE(portfolio_RET!E35:G35)))</f>
        <v>2.8850124020312748E-3</v>
      </c>
      <c r="K35" s="7">
        <f t="shared" si="1"/>
        <v>5.3712311456790562E-2</v>
      </c>
      <c r="L35" s="7">
        <f t="shared" si="2"/>
        <v>0.3010581609091223</v>
      </c>
      <c r="M35" s="8">
        <f>I35+pivot_RET!$P$2</f>
        <v>1.7697615000000003E-2</v>
      </c>
    </row>
    <row r="36" spans="1:13" x14ac:dyDescent="0.25">
      <c r="A36">
        <v>0.3</v>
      </c>
      <c r="B36">
        <v>0.1</v>
      </c>
      <c r="C36">
        <f t="shared" si="0"/>
        <v>0.6</v>
      </c>
      <c r="E36" s="2">
        <v>0.3</v>
      </c>
      <c r="F36" s="2">
        <v>0.4</v>
      </c>
      <c r="G36" s="2">
        <v>0.29999999999999993</v>
      </c>
      <c r="I36" s="7">
        <f>SUMPRODUCT(E36:G36, pivot_RET!$M$7:$O$7)</f>
        <v>1.4957393038692679E-2</v>
      </c>
      <c r="J36" s="7" cm="1">
        <f t="array" ref="J36">MMULT(E36:G36,MMULT(pivot_RET!$M$16:$O$18,TRANSPOSE(portfolio_RET!E36:G36)))</f>
        <v>2.5310531230736972E-3</v>
      </c>
      <c r="K36" s="7">
        <f t="shared" si="1"/>
        <v>5.0309572877074771E-2</v>
      </c>
      <c r="L36" s="7">
        <f t="shared" si="2"/>
        <v>0.29730709650903264</v>
      </c>
      <c r="M36" s="8">
        <f>I36+pivot_RET!$P$2</f>
        <v>1.6484478333333333E-2</v>
      </c>
    </row>
    <row r="37" spans="1:13" x14ac:dyDescent="0.25">
      <c r="A37">
        <v>0.3</v>
      </c>
      <c r="B37">
        <v>0.2</v>
      </c>
      <c r="C37">
        <f t="shared" si="0"/>
        <v>0.49999999999999994</v>
      </c>
      <c r="E37" s="2">
        <v>0.3</v>
      </c>
      <c r="F37" s="2">
        <v>0.5</v>
      </c>
      <c r="G37" s="2">
        <v>0.19999999999999996</v>
      </c>
      <c r="I37" s="7">
        <f>SUMPRODUCT(E37:G37, pivot_RET!$M$7:$O$7)</f>
        <v>1.3744256372026012E-2</v>
      </c>
      <c r="J37" s="7" cm="1">
        <f t="array" ref="J37">MMULT(E37:G37,MMULT(pivot_RET!$M$16:$O$18,TRANSPOSE(portfolio_RET!E37:G37)))</f>
        <v>2.2969830023740973E-3</v>
      </c>
      <c r="K37" s="7">
        <f t="shared" si="1"/>
        <v>4.7926850536772155E-2</v>
      </c>
      <c r="L37" s="7">
        <f t="shared" si="2"/>
        <v>0.28677570543636394</v>
      </c>
      <c r="M37" s="8">
        <f>I37+pivot_RET!$P$2</f>
        <v>1.5271341666666669E-2</v>
      </c>
    </row>
    <row r="38" spans="1:13" x14ac:dyDescent="0.25">
      <c r="A38">
        <v>0.3</v>
      </c>
      <c r="B38">
        <v>0.3</v>
      </c>
      <c r="C38">
        <f t="shared" si="0"/>
        <v>0.39999999999999997</v>
      </c>
      <c r="E38" s="2">
        <v>0.3</v>
      </c>
      <c r="F38" s="2">
        <v>0.6</v>
      </c>
      <c r="G38" s="2">
        <v>9.9999999999999978E-2</v>
      </c>
      <c r="I38" s="7">
        <f>SUMPRODUCT(E38:G38, pivot_RET!$M$7:$O$7)</f>
        <v>1.2531119705359344E-2</v>
      </c>
      <c r="J38" s="7" cm="1">
        <f t="array" ref="J38">MMULT(E38:G38,MMULT(pivot_RET!$M$16:$O$18,TRANSPOSE(portfolio_RET!E38:G38)))</f>
        <v>2.182802039932475E-3</v>
      </c>
      <c r="K38" s="7">
        <f t="shared" si="1"/>
        <v>4.672046703461423E-2</v>
      </c>
      <c r="L38" s="7">
        <f t="shared" si="2"/>
        <v>0.2682147782485842</v>
      </c>
      <c r="M38" s="8">
        <f>I38+pivot_RET!$P$2</f>
        <v>1.4058205000000001E-2</v>
      </c>
    </row>
    <row r="39" spans="1:13" x14ac:dyDescent="0.25">
      <c r="A39">
        <v>0.3</v>
      </c>
      <c r="B39">
        <v>0.4</v>
      </c>
      <c r="C39">
        <f t="shared" si="0"/>
        <v>0.29999999999999993</v>
      </c>
      <c r="E39" s="2">
        <v>0.3</v>
      </c>
      <c r="F39" s="2">
        <v>0.7</v>
      </c>
      <c r="G39" s="2">
        <v>0</v>
      </c>
      <c r="I39" s="7">
        <f>SUMPRODUCT(E39:G39, pivot_RET!$M$7:$O$7)</f>
        <v>1.1317983038692678E-2</v>
      </c>
      <c r="J39" s="7" cm="1">
        <f t="array" ref="J39">MMULT(E39:G39,MMULT(pivot_RET!$M$16:$O$18,TRANSPOSE(portfolio_RET!E39:G39)))</f>
        <v>2.1885102357488305E-3</v>
      </c>
      <c r="K39" s="7">
        <f t="shared" si="1"/>
        <v>4.6781515962491325E-2</v>
      </c>
      <c r="L39" s="7">
        <f t="shared" si="2"/>
        <v>0.24193279772650497</v>
      </c>
      <c r="M39" s="8">
        <f>I39+pivot_RET!$P$2</f>
        <v>1.2845068333333334E-2</v>
      </c>
    </row>
    <row r="40" spans="1:13" x14ac:dyDescent="0.25">
      <c r="A40">
        <v>0.3</v>
      </c>
      <c r="B40">
        <v>0.5</v>
      </c>
      <c r="C40">
        <f t="shared" si="0"/>
        <v>0.19999999999999996</v>
      </c>
      <c r="E40" s="2">
        <v>0.4</v>
      </c>
      <c r="F40" s="2">
        <v>0</v>
      </c>
      <c r="G40" s="2">
        <v>0.6</v>
      </c>
      <c r="I40" s="7">
        <f>SUMPRODUCT(E40:G40, pivot_RET!$M$7:$O$7)</f>
        <v>2.0315264705359347E-2</v>
      </c>
      <c r="J40" s="7" cm="1">
        <f t="array" ref="J40">MMULT(E40:G40,MMULT(pivot_RET!$M$16:$O$18,TRANSPOSE(portfolio_RET!E40:G40)))</f>
        <v>4.3634168252208337E-3</v>
      </c>
      <c r="K40" s="7">
        <f t="shared" si="1"/>
        <v>6.6056164172776738E-2</v>
      </c>
      <c r="L40" s="7">
        <f t="shared" si="2"/>
        <v>0.30754532843025323</v>
      </c>
      <c r="M40" s="8">
        <f>I40+pivot_RET!$P$2</f>
        <v>2.1842350000000003E-2</v>
      </c>
    </row>
    <row r="41" spans="1:13" x14ac:dyDescent="0.25">
      <c r="A41">
        <v>0.3</v>
      </c>
      <c r="B41">
        <v>0.6</v>
      </c>
      <c r="C41">
        <f t="shared" si="0"/>
        <v>9.9999999999999978E-2</v>
      </c>
      <c r="E41" s="2">
        <v>0.4</v>
      </c>
      <c r="F41" s="2">
        <v>0.1</v>
      </c>
      <c r="G41" s="2">
        <v>0.5</v>
      </c>
      <c r="I41" s="7">
        <f>SUMPRODUCT(E41:G41, pivot_RET!$M$7:$O$7)</f>
        <v>1.9102128038692684E-2</v>
      </c>
      <c r="J41" s="7" cm="1">
        <f t="array" ref="J41">MMULT(E41:G41,MMULT(pivot_RET!$M$16:$O$18,TRANSPOSE(portfolio_RET!E41:G41)))</f>
        <v>3.6994699094701558E-3</v>
      </c>
      <c r="K41" s="7">
        <f t="shared" si="1"/>
        <v>6.0823267829590973E-2</v>
      </c>
      <c r="L41" s="7">
        <f t="shared" si="2"/>
        <v>0.31405954859596275</v>
      </c>
      <c r="M41" s="8">
        <f>I41+pivot_RET!$P$2</f>
        <v>2.0629213333333341E-2</v>
      </c>
    </row>
    <row r="42" spans="1:13" x14ac:dyDescent="0.25">
      <c r="A42">
        <v>0.3</v>
      </c>
      <c r="B42">
        <v>0.7</v>
      </c>
      <c r="C42">
        <f t="shared" si="0"/>
        <v>0</v>
      </c>
      <c r="E42" s="2">
        <v>0.4</v>
      </c>
      <c r="F42" s="2">
        <v>0.2</v>
      </c>
      <c r="G42" s="2">
        <v>0.39999999999999997</v>
      </c>
      <c r="I42" s="7">
        <f>SUMPRODUCT(E42:G42, pivot_RET!$M$7:$O$7)</f>
        <v>1.7888991372026014E-2</v>
      </c>
      <c r="J42" s="7" cm="1">
        <f t="array" ref="J42">MMULT(E42:G42,MMULT(pivot_RET!$M$16:$O$18,TRANSPOSE(portfolio_RET!E42:G42)))</f>
        <v>3.155412151977456E-3</v>
      </c>
      <c r="K42" s="7">
        <f t="shared" si="1"/>
        <v>5.6173055391152228E-2</v>
      </c>
      <c r="L42" s="7">
        <f t="shared" si="2"/>
        <v>0.31846213896429237</v>
      </c>
      <c r="M42" s="8">
        <f>I42+pivot_RET!$P$2</f>
        <v>1.9416076666666671E-2</v>
      </c>
    </row>
    <row r="43" spans="1:13" x14ac:dyDescent="0.25">
      <c r="A43">
        <v>0.3</v>
      </c>
      <c r="B43">
        <v>0.8</v>
      </c>
      <c r="C43">
        <f t="shared" si="0"/>
        <v>-0.10000000000000009</v>
      </c>
      <c r="E43" s="2">
        <v>0.4</v>
      </c>
      <c r="F43" s="2">
        <v>0.3</v>
      </c>
      <c r="G43" s="2">
        <v>0.3</v>
      </c>
      <c r="I43" s="7">
        <f>SUMPRODUCT(E43:G43, pivot_RET!$M$7:$O$7)</f>
        <v>1.6675854705359348E-2</v>
      </c>
      <c r="J43" s="7" cm="1">
        <f t="array" ref="J43">MMULT(E43:G43,MMULT(pivot_RET!$M$16:$O$18,TRANSPOSE(portfolio_RET!E43:G43)))</f>
        <v>2.7312435527427335E-3</v>
      </c>
      <c r="K43" s="7">
        <f t="shared" si="1"/>
        <v>5.2261300718052676E-2</v>
      </c>
      <c r="L43" s="7">
        <f t="shared" si="2"/>
        <v>0.31908610149840738</v>
      </c>
      <c r="M43" s="8">
        <f>I43+pivot_RET!$P$2</f>
        <v>1.8202940000000004E-2</v>
      </c>
    </row>
    <row r="44" spans="1:13" x14ac:dyDescent="0.25">
      <c r="A44">
        <v>0.3</v>
      </c>
      <c r="B44">
        <v>0.9</v>
      </c>
      <c r="C44">
        <f t="shared" si="0"/>
        <v>-0.20000000000000007</v>
      </c>
      <c r="E44" s="2">
        <v>0.4</v>
      </c>
      <c r="F44" s="2">
        <v>0.4</v>
      </c>
      <c r="G44" s="2">
        <v>0.19999999999999996</v>
      </c>
      <c r="I44" s="7">
        <f>SUMPRODUCT(E44:G44, pivot_RET!$M$7:$O$7)</f>
        <v>1.5462718038692681E-2</v>
      </c>
      <c r="J44" s="7" cm="1">
        <f t="array" ref="J44">MMULT(E44:G44,MMULT(pivot_RET!$M$16:$O$18,TRANSPOSE(portfolio_RET!E44:G44)))</f>
        <v>2.426964111765989E-3</v>
      </c>
      <c r="K44" s="7">
        <f t="shared" si="1"/>
        <v>4.9264227506031079E-2</v>
      </c>
      <c r="L44" s="7">
        <f t="shared" si="2"/>
        <v>0.31387314531217786</v>
      </c>
      <c r="M44" s="8">
        <f>I44+pivot_RET!$P$2</f>
        <v>1.6989803333333338E-2</v>
      </c>
    </row>
    <row r="45" spans="1:13" x14ac:dyDescent="0.25">
      <c r="A45">
        <v>0.3</v>
      </c>
      <c r="B45">
        <v>1</v>
      </c>
      <c r="C45">
        <f t="shared" si="0"/>
        <v>-0.30000000000000004</v>
      </c>
      <c r="E45" s="2">
        <v>0.4</v>
      </c>
      <c r="F45" s="2">
        <v>0.5</v>
      </c>
      <c r="G45" s="2">
        <v>9.9999999999999978E-2</v>
      </c>
      <c r="I45" s="7">
        <f>SUMPRODUCT(E45:G45, pivot_RET!$M$7:$O$7)</f>
        <v>1.4249581372026013E-2</v>
      </c>
      <c r="J45" s="7" cm="1">
        <f t="array" ref="J45">MMULT(E45:G45,MMULT(pivot_RET!$M$16:$O$18,TRANSPOSE(portfolio_RET!E45:G45)))</f>
        <v>2.2425738290472222E-3</v>
      </c>
      <c r="K45" s="7">
        <f t="shared" si="1"/>
        <v>4.7355821490575184E-2</v>
      </c>
      <c r="L45" s="7">
        <f t="shared" si="2"/>
        <v>0.30090453345555379</v>
      </c>
      <c r="M45" s="8">
        <f>I45+pivot_RET!$P$2</f>
        <v>1.5776666666666668E-2</v>
      </c>
    </row>
    <row r="46" spans="1:13" x14ac:dyDescent="0.25">
      <c r="A46">
        <v>0.4</v>
      </c>
      <c r="B46">
        <v>0</v>
      </c>
      <c r="C46">
        <f t="shared" si="0"/>
        <v>0.6</v>
      </c>
      <c r="E46" s="2">
        <v>0.4</v>
      </c>
      <c r="F46" s="2">
        <v>0.6</v>
      </c>
      <c r="G46" s="2">
        <v>0</v>
      </c>
      <c r="I46" s="7">
        <f>SUMPRODUCT(E46:G46, pivot_RET!$M$7:$O$7)</f>
        <v>1.3036444705359349E-2</v>
      </c>
      <c r="J46" s="7" cm="1">
        <f t="array" ref="J46">MMULT(E46:G46,MMULT(pivot_RET!$M$16:$O$18,TRANSPOSE(portfolio_RET!E46:G46)))</f>
        <v>2.178072704586434E-3</v>
      </c>
      <c r="K46" s="7">
        <f t="shared" si="1"/>
        <v>4.6669826489782816E-2</v>
      </c>
      <c r="L46" s="7">
        <f t="shared" si="2"/>
        <v>0.27933347273560893</v>
      </c>
      <c r="M46" s="8">
        <f>I46+pivot_RET!$P$2</f>
        <v>1.4563530000000005E-2</v>
      </c>
    </row>
    <row r="47" spans="1:13" x14ac:dyDescent="0.25">
      <c r="A47">
        <v>0.4</v>
      </c>
      <c r="B47">
        <v>0.1</v>
      </c>
      <c r="C47">
        <f t="shared" si="0"/>
        <v>0.5</v>
      </c>
      <c r="E47" s="2">
        <v>0.5</v>
      </c>
      <c r="F47" s="2">
        <v>0</v>
      </c>
      <c r="G47" s="2">
        <v>0.5</v>
      </c>
      <c r="I47" s="7">
        <f>SUMPRODUCT(E47:G47, pivot_RET!$M$7:$O$7)</f>
        <v>2.0820589705359348E-2</v>
      </c>
      <c r="J47" s="7" cm="1">
        <f t="array" ref="J47">MMULT(E47:G47,MMULT(pivot_RET!$M$16:$O$18,TRANSPOSE(portfolio_RET!E47:G47)))</f>
        <v>4.1279307681902086E-3</v>
      </c>
      <c r="K47" s="7">
        <f t="shared" si="1"/>
        <v>6.4248974841550649E-2</v>
      </c>
      <c r="L47" s="7">
        <f t="shared" si="2"/>
        <v>0.32406104154512361</v>
      </c>
      <c r="M47" s="8">
        <f>I47+pivot_RET!$P$2</f>
        <v>2.2347675000000004E-2</v>
      </c>
    </row>
    <row r="48" spans="1:13" x14ac:dyDescent="0.25">
      <c r="A48">
        <v>0.4</v>
      </c>
      <c r="B48">
        <v>0.2</v>
      </c>
      <c r="C48">
        <f t="shared" si="0"/>
        <v>0.39999999999999997</v>
      </c>
      <c r="E48" s="2">
        <v>0.5</v>
      </c>
      <c r="F48" s="2">
        <v>0.1</v>
      </c>
      <c r="G48" s="2">
        <v>0.4</v>
      </c>
      <c r="I48" s="7">
        <f>SUMPRODUCT(E48:G48, pivot_RET!$M$7:$O$7)</f>
        <v>1.9607453038692681E-2</v>
      </c>
      <c r="J48" s="7" cm="1">
        <f t="array" ref="J48">MMULT(E48:G48,MMULT(pivot_RET!$M$16:$O$18,TRANSPOSE(portfolio_RET!E48:G48)))</f>
        <v>3.5136636904203643E-3</v>
      </c>
      <c r="K48" s="7">
        <f t="shared" si="1"/>
        <v>5.9276164606191957E-2</v>
      </c>
      <c r="L48" s="7">
        <f t="shared" si="2"/>
        <v>0.33078140545963219</v>
      </c>
      <c r="M48" s="8">
        <f>I48+pivot_RET!$P$2</f>
        <v>2.1134538333333338E-2</v>
      </c>
    </row>
    <row r="49" spans="1:13" x14ac:dyDescent="0.25">
      <c r="A49">
        <v>0.4</v>
      </c>
      <c r="B49">
        <v>0.3</v>
      </c>
      <c r="C49">
        <f t="shared" si="0"/>
        <v>0.3</v>
      </c>
      <c r="E49" s="2">
        <v>0.5</v>
      </c>
      <c r="F49" s="2">
        <v>0.2</v>
      </c>
      <c r="G49" s="2">
        <v>0.3</v>
      </c>
      <c r="I49" s="7">
        <f>SUMPRODUCT(E49:G49, pivot_RET!$M$7:$O$7)</f>
        <v>1.8394316372026015E-2</v>
      </c>
      <c r="J49" s="7" cm="1">
        <f t="array" ref="J49">MMULT(E49:G49,MMULT(pivot_RET!$M$16:$O$18,TRANSPOSE(portfolio_RET!E49:G49)))</f>
        <v>3.0192857709084977E-3</v>
      </c>
      <c r="K49" s="7">
        <f t="shared" si="1"/>
        <v>5.4948027907364409E-2</v>
      </c>
      <c r="L49" s="7">
        <f t="shared" si="2"/>
        <v>0.33475844488971579</v>
      </c>
      <c r="M49" s="8">
        <f>I49+pivot_RET!$P$2</f>
        <v>1.9921401666666672E-2</v>
      </c>
    </row>
    <row r="50" spans="1:13" x14ac:dyDescent="0.25">
      <c r="A50">
        <v>0.4</v>
      </c>
      <c r="B50">
        <v>0.4</v>
      </c>
      <c r="C50">
        <f t="shared" si="0"/>
        <v>0.19999999999999996</v>
      </c>
      <c r="E50" s="2">
        <v>0.5</v>
      </c>
      <c r="F50" s="2">
        <v>0.3</v>
      </c>
      <c r="G50" s="2">
        <v>0.2</v>
      </c>
      <c r="I50" s="7">
        <f>SUMPRODUCT(E50:G50, pivot_RET!$M$7:$O$7)</f>
        <v>1.7181179705359349E-2</v>
      </c>
      <c r="J50" s="7" cm="1">
        <f t="array" ref="J50">MMULT(E50:G50,MMULT(pivot_RET!$M$16:$O$18,TRANSPOSE(portfolio_RET!E50:G50)))</f>
        <v>2.6447970096546087E-3</v>
      </c>
      <c r="K50" s="7">
        <f t="shared" si="1"/>
        <v>5.1427589965451506E-2</v>
      </c>
      <c r="L50" s="7">
        <f t="shared" si="2"/>
        <v>0.33408486994824138</v>
      </c>
      <c r="M50" s="8">
        <f>I50+pivot_RET!$P$2</f>
        <v>1.8708265000000005E-2</v>
      </c>
    </row>
    <row r="51" spans="1:13" x14ac:dyDescent="0.25">
      <c r="A51">
        <v>0.4</v>
      </c>
      <c r="B51">
        <v>0.5</v>
      </c>
      <c r="C51">
        <f t="shared" si="0"/>
        <v>9.9999999999999978E-2</v>
      </c>
      <c r="E51" s="2">
        <v>0.5</v>
      </c>
      <c r="F51" s="2">
        <v>0.4</v>
      </c>
      <c r="G51" s="2">
        <v>9.9999999999999978E-2</v>
      </c>
      <c r="I51" s="7">
        <f>SUMPRODUCT(E51:G51, pivot_RET!$M$7:$O$7)</f>
        <v>1.5968043038692682E-2</v>
      </c>
      <c r="J51" s="7" cm="1">
        <f t="array" ref="J51">MMULT(E51:G51,MMULT(pivot_RET!$M$16:$O$18,TRANSPOSE(portfolio_RET!E51:G51)))</f>
        <v>2.3901974066586973E-3</v>
      </c>
      <c r="K51" s="7">
        <f t="shared" si="1"/>
        <v>4.8889645188513048E-2</v>
      </c>
      <c r="L51" s="7">
        <f t="shared" si="2"/>
        <v>0.32661400951309177</v>
      </c>
      <c r="M51" s="8">
        <f>I51+pivot_RET!$P$2</f>
        <v>1.7495128333333339E-2</v>
      </c>
    </row>
    <row r="52" spans="1:13" x14ac:dyDescent="0.25">
      <c r="A52">
        <v>0.4</v>
      </c>
      <c r="B52">
        <v>0.6</v>
      </c>
      <c r="C52">
        <f t="shared" si="0"/>
        <v>0</v>
      </c>
      <c r="E52" s="2">
        <v>0.5</v>
      </c>
      <c r="F52" s="2">
        <v>0.5</v>
      </c>
      <c r="G52" s="2">
        <v>0</v>
      </c>
      <c r="I52" s="7">
        <f>SUMPRODUCT(E52:G52, pivot_RET!$M$7:$O$7)</f>
        <v>1.4754906372026014E-2</v>
      </c>
      <c r="J52" s="7" cm="1">
        <f t="array" ref="J52">MMULT(E52:G52,MMULT(pivot_RET!$M$16:$O$18,TRANSPOSE(portfolio_RET!E52:G52)))</f>
        <v>2.2554869619207641E-3</v>
      </c>
      <c r="K52" s="7">
        <f t="shared" si="1"/>
        <v>4.7491967341022671E-2</v>
      </c>
      <c r="L52" s="7">
        <f t="shared" si="2"/>
        <v>0.31068214685814882</v>
      </c>
      <c r="M52" s="8">
        <f>I52+pivot_RET!$P$2</f>
        <v>1.6281991666666669E-2</v>
      </c>
    </row>
    <row r="53" spans="1:13" x14ac:dyDescent="0.25">
      <c r="A53">
        <v>0.4</v>
      </c>
      <c r="B53">
        <v>0.7</v>
      </c>
      <c r="C53">
        <f t="shared" si="0"/>
        <v>-9.9999999999999978E-2</v>
      </c>
      <c r="E53" s="2">
        <v>0.6</v>
      </c>
      <c r="F53" s="2">
        <v>0</v>
      </c>
      <c r="G53" s="2">
        <v>0.4</v>
      </c>
      <c r="I53" s="7">
        <f>SUMPRODUCT(E53:G53, pivot_RET!$M$7:$O$7)</f>
        <v>2.1325914705359349E-2</v>
      </c>
      <c r="J53" s="7" cm="1">
        <f t="array" ref="J53">MMULT(E53:G53,MMULT(pivot_RET!$M$16:$O$18,TRANSPOSE(portfolio_RET!E53:G53)))</f>
        <v>3.95976701736E-3</v>
      </c>
      <c r="K53" s="7">
        <f t="shared" si="1"/>
        <v>6.2926679694387186E-2</v>
      </c>
      <c r="L53" s="7">
        <f t="shared" si="2"/>
        <v>0.33890100048074739</v>
      </c>
      <c r="M53" s="8">
        <f>I53+pivot_RET!$P$2</f>
        <v>2.2853000000000005E-2</v>
      </c>
    </row>
    <row r="54" spans="1:13" x14ac:dyDescent="0.25">
      <c r="A54">
        <v>0.4</v>
      </c>
      <c r="B54">
        <v>0.8</v>
      </c>
      <c r="C54">
        <f t="shared" si="0"/>
        <v>-0.20000000000000007</v>
      </c>
      <c r="E54" s="2">
        <v>0.6</v>
      </c>
      <c r="F54" s="2">
        <v>0.1</v>
      </c>
      <c r="G54" s="2">
        <v>0.30000000000000004</v>
      </c>
      <c r="I54" s="7">
        <f>SUMPRODUCT(E54:G54, pivot_RET!$M$7:$O$7)</f>
        <v>2.0112778038692682E-2</v>
      </c>
      <c r="J54" s="7" cm="1">
        <f t="array" ref="J54">MMULT(E54:G54,MMULT(pivot_RET!$M$16:$O$18,TRANSPOSE(portfolio_RET!E54:G54)))</f>
        <v>3.3951797775709897E-3</v>
      </c>
      <c r="K54" s="7">
        <f t="shared" si="1"/>
        <v>5.8268171222125978E-2</v>
      </c>
      <c r="L54" s="7">
        <f t="shared" si="2"/>
        <v>0.34517606468238227</v>
      </c>
      <c r="M54" s="8">
        <f>I54+pivot_RET!$P$2</f>
        <v>2.1639863333333339E-2</v>
      </c>
    </row>
    <row r="55" spans="1:13" x14ac:dyDescent="0.25">
      <c r="A55">
        <v>0.4</v>
      </c>
      <c r="B55">
        <v>0.9</v>
      </c>
      <c r="C55">
        <f t="shared" si="0"/>
        <v>-0.30000000000000004</v>
      </c>
      <c r="E55" s="2">
        <v>0.6</v>
      </c>
      <c r="F55" s="2">
        <v>0.2</v>
      </c>
      <c r="G55" s="2">
        <v>0.2</v>
      </c>
      <c r="I55" s="7">
        <f>SUMPRODUCT(E55:G55, pivot_RET!$M$7:$O$7)</f>
        <v>1.8899641372026016E-2</v>
      </c>
      <c r="J55" s="7" cm="1">
        <f t="array" ref="J55">MMULT(E55:G55,MMULT(pivot_RET!$M$16:$O$18,TRANSPOSE(portfolio_RET!E55:G55)))</f>
        <v>2.9504816960399562E-3</v>
      </c>
      <c r="K55" s="7">
        <f t="shared" si="1"/>
        <v>5.4318336646476541E-2</v>
      </c>
      <c r="L55" s="7">
        <f t="shared" si="2"/>
        <v>0.3479421966661414</v>
      </c>
      <c r="M55" s="8">
        <f>I55+pivot_RET!$P$2</f>
        <v>2.0426726666666672E-2</v>
      </c>
    </row>
    <row r="56" spans="1:13" x14ac:dyDescent="0.25">
      <c r="A56">
        <v>0.4</v>
      </c>
      <c r="B56">
        <v>1</v>
      </c>
      <c r="C56">
        <f t="shared" si="0"/>
        <v>-0.4</v>
      </c>
      <c r="E56" s="2">
        <v>0.6</v>
      </c>
      <c r="F56" s="2">
        <v>0.3</v>
      </c>
      <c r="G56" s="2">
        <v>0.10000000000000003</v>
      </c>
      <c r="I56" s="7">
        <f>SUMPRODUCT(E56:G56, pivot_RET!$M$7:$O$7)</f>
        <v>1.7686504705359346E-2</v>
      </c>
      <c r="J56" s="7" cm="1">
        <f t="array" ref="J56">MMULT(E56:G56,MMULT(pivot_RET!$M$16:$O$18,TRANSPOSE(portfolio_RET!E56:G56)))</f>
        <v>2.6256727727669003E-3</v>
      </c>
      <c r="K56" s="7">
        <f t="shared" si="1"/>
        <v>5.1241318999093885E-2</v>
      </c>
      <c r="L56" s="7">
        <f t="shared" si="2"/>
        <v>0.34516099606397915</v>
      </c>
      <c r="M56" s="8">
        <f>I56+pivot_RET!$P$2</f>
        <v>1.9213590000000003E-2</v>
      </c>
    </row>
    <row r="57" spans="1:13" x14ac:dyDescent="0.25">
      <c r="A57">
        <v>0.5</v>
      </c>
      <c r="B57">
        <v>0</v>
      </c>
      <c r="C57">
        <f t="shared" si="0"/>
        <v>0.5</v>
      </c>
      <c r="E57" s="2">
        <v>0.6</v>
      </c>
      <c r="F57" s="2">
        <v>0.4</v>
      </c>
      <c r="G57" s="2">
        <v>0</v>
      </c>
      <c r="I57" s="7">
        <f>SUMPRODUCT(E57:G57, pivot_RET!$M$7:$O$7)</f>
        <v>1.6473368038692683E-2</v>
      </c>
      <c r="J57" s="7" cm="1">
        <f t="array" ref="J57">MMULT(E57:G57,MMULT(pivot_RET!$M$16:$O$18,TRANSPOSE(portfolio_RET!E57:G57)))</f>
        <v>2.4207530077518225E-3</v>
      </c>
      <c r="K57" s="7">
        <f t="shared" si="1"/>
        <v>4.9201148439358834E-2</v>
      </c>
      <c r="L57" s="7">
        <f t="shared" si="2"/>
        <v>0.33481673825147312</v>
      </c>
      <c r="M57" s="8">
        <f>I57+pivot_RET!$P$2</f>
        <v>1.800045333333334E-2</v>
      </c>
    </row>
    <row r="58" spans="1:13" x14ac:dyDescent="0.25">
      <c r="A58">
        <v>0.5</v>
      </c>
      <c r="B58">
        <v>0.1</v>
      </c>
      <c r="C58">
        <f t="shared" si="0"/>
        <v>0.4</v>
      </c>
      <c r="E58" s="2">
        <v>0.7</v>
      </c>
      <c r="F58" s="2">
        <v>0</v>
      </c>
      <c r="G58" s="2">
        <v>0.30000000000000004</v>
      </c>
      <c r="I58" s="7">
        <f>SUMPRODUCT(E58:G58, pivot_RET!$M$7:$O$7)</f>
        <v>2.183123970535935E-2</v>
      </c>
      <c r="J58" s="7" cm="1">
        <f t="array" ref="J58">MMULT(E58:G58,MMULT(pivot_RET!$M$16:$O$18,TRANSPOSE(portfolio_RET!E58:G58)))</f>
        <v>3.8589255727302088E-3</v>
      </c>
      <c r="K58" s="7">
        <f t="shared" si="1"/>
        <v>6.2120250906851693E-2</v>
      </c>
      <c r="L58" s="7">
        <f t="shared" si="2"/>
        <v>0.35143515015892224</v>
      </c>
      <c r="M58" s="8">
        <f>I58+pivot_RET!$P$2</f>
        <v>2.3358325000000006E-2</v>
      </c>
    </row>
    <row r="59" spans="1:13" x14ac:dyDescent="0.25">
      <c r="A59">
        <v>0.5</v>
      </c>
      <c r="B59">
        <v>0.2</v>
      </c>
      <c r="C59">
        <f t="shared" si="0"/>
        <v>0.3</v>
      </c>
      <c r="E59" s="2">
        <v>0.7</v>
      </c>
      <c r="F59" s="2">
        <v>0.1</v>
      </c>
      <c r="G59" s="2">
        <v>0.20000000000000004</v>
      </c>
      <c r="I59" s="7">
        <f>SUMPRODUCT(E59:G59, pivot_RET!$M$7:$O$7)</f>
        <v>2.0618103038692683E-2</v>
      </c>
      <c r="J59" s="7" cm="1">
        <f t="array" ref="J59">MMULT(E59:G59,MMULT(pivot_RET!$M$16:$O$18,TRANSPOSE(portfolio_RET!E59:G59)))</f>
        <v>3.3440181709220307E-3</v>
      </c>
      <c r="K59" s="7">
        <f t="shared" si="1"/>
        <v>5.7827486292610288E-2</v>
      </c>
      <c r="L59" s="7">
        <f t="shared" si="2"/>
        <v>0.3565450335220165</v>
      </c>
      <c r="M59" s="8">
        <f>I59+pivot_RET!$P$2</f>
        <v>2.214518833333334E-2</v>
      </c>
    </row>
    <row r="60" spans="1:13" x14ac:dyDescent="0.25">
      <c r="A60">
        <v>0.5</v>
      </c>
      <c r="B60">
        <v>0.3</v>
      </c>
      <c r="C60">
        <f t="shared" si="0"/>
        <v>0.2</v>
      </c>
      <c r="E60" s="2">
        <v>0.7</v>
      </c>
      <c r="F60" s="2">
        <v>0.2</v>
      </c>
      <c r="G60" s="2">
        <v>0.10000000000000003</v>
      </c>
      <c r="I60" s="7">
        <f>SUMPRODUCT(E60:G60, pivot_RET!$M$7:$O$7)</f>
        <v>1.9404966372026017E-2</v>
      </c>
      <c r="J60" s="7" cm="1">
        <f t="array" ref="J60">MMULT(E60:G60,MMULT(pivot_RET!$M$16:$O$18,TRANSPOSE(portfolio_RET!E60:G60)))</f>
        <v>2.9489999273718307E-3</v>
      </c>
      <c r="K60" s="7">
        <f t="shared" si="1"/>
        <v>5.4304695260832009E-2</v>
      </c>
      <c r="L60" s="7">
        <f t="shared" si="2"/>
        <v>0.35733496484643951</v>
      </c>
      <c r="M60" s="8">
        <f>I60+pivot_RET!$P$2</f>
        <v>2.0932051666666673E-2</v>
      </c>
    </row>
    <row r="61" spans="1:13" x14ac:dyDescent="0.25">
      <c r="A61">
        <v>0.5</v>
      </c>
      <c r="B61">
        <v>0.4</v>
      </c>
      <c r="C61">
        <f t="shared" si="0"/>
        <v>9.9999999999999978E-2</v>
      </c>
      <c r="E61" s="2">
        <v>0.7</v>
      </c>
      <c r="F61" s="2">
        <v>0.3</v>
      </c>
      <c r="G61" s="2">
        <v>0</v>
      </c>
      <c r="I61" s="7">
        <f>SUMPRODUCT(E61:G61, pivot_RET!$M$7:$O$7)</f>
        <v>1.8191829705359347E-2</v>
      </c>
      <c r="J61" s="7" cm="1">
        <f t="array" ref="J61">MMULT(E61:G61,MMULT(pivot_RET!$M$16:$O$18,TRANSPOSE(portfolio_RET!E61:G61)))</f>
        <v>2.6738708420796084E-3</v>
      </c>
      <c r="K61" s="7">
        <f t="shared" si="1"/>
        <v>5.1709485030114237E-2</v>
      </c>
      <c r="L61" s="7">
        <f t="shared" si="2"/>
        <v>0.35180837122560604</v>
      </c>
      <c r="M61" s="8">
        <f>I61+pivot_RET!$P$2</f>
        <v>1.9718915000000004E-2</v>
      </c>
    </row>
    <row r="62" spans="1:13" x14ac:dyDescent="0.25">
      <c r="A62">
        <v>0.5</v>
      </c>
      <c r="B62">
        <v>0.5</v>
      </c>
      <c r="C62">
        <f t="shared" si="0"/>
        <v>0</v>
      </c>
      <c r="E62" s="2">
        <v>0.8</v>
      </c>
      <c r="F62" s="2">
        <v>0</v>
      </c>
      <c r="G62" s="2">
        <v>0.19999999999999996</v>
      </c>
      <c r="I62" s="7">
        <f>SUMPRODUCT(E62:G62, pivot_RET!$M$7:$O$7)</f>
        <v>2.2336564705359351E-2</v>
      </c>
      <c r="J62" s="7" cm="1">
        <f t="array" ref="J62">MMULT(E62:G62,MMULT(pivot_RET!$M$16:$O$18,TRANSPOSE(portfolio_RET!E62:G62)))</f>
        <v>3.825406434300834E-3</v>
      </c>
      <c r="K62" s="7">
        <f t="shared" si="1"/>
        <v>6.1849870123556722E-2</v>
      </c>
      <c r="L62" s="7">
        <f t="shared" si="2"/>
        <v>0.36114165900005724</v>
      </c>
      <c r="M62" s="8">
        <f>I62+pivot_RET!$P$2</f>
        <v>2.3863650000000007E-2</v>
      </c>
    </row>
    <row r="63" spans="1:13" x14ac:dyDescent="0.25">
      <c r="A63">
        <v>0.5</v>
      </c>
      <c r="B63">
        <v>0.6</v>
      </c>
      <c r="C63">
        <f t="shared" si="0"/>
        <v>-9.9999999999999978E-2</v>
      </c>
      <c r="E63" s="2">
        <v>0.8</v>
      </c>
      <c r="F63" s="2">
        <v>0.1</v>
      </c>
      <c r="G63" s="2">
        <v>9.999999999999995E-2</v>
      </c>
      <c r="I63" s="7">
        <f>SUMPRODUCT(E63:G63, pivot_RET!$M$7:$O$7)</f>
        <v>2.1123428038692684E-2</v>
      </c>
      <c r="J63" s="7" cm="1">
        <f t="array" ref="J63">MMULT(E63:G63,MMULT(pivot_RET!$M$16:$O$18,TRANSPOSE(portfolio_RET!E63:G63)))</f>
        <v>3.3601788704734894E-3</v>
      </c>
      <c r="K63" s="7">
        <f t="shared" si="1"/>
        <v>5.7967049868640798E-2</v>
      </c>
      <c r="L63" s="7">
        <f t="shared" si="2"/>
        <v>0.36440405517549213</v>
      </c>
      <c r="M63" s="8">
        <f>I63+pivot_RET!$P$2</f>
        <v>2.2650513333333341E-2</v>
      </c>
    </row>
    <row r="64" spans="1:13" x14ac:dyDescent="0.25">
      <c r="A64">
        <v>0.5</v>
      </c>
      <c r="B64">
        <v>0.7</v>
      </c>
      <c r="C64">
        <f t="shared" si="0"/>
        <v>-0.19999999999999996</v>
      </c>
      <c r="E64" s="2">
        <v>0.8</v>
      </c>
      <c r="F64" s="2">
        <v>0.2</v>
      </c>
      <c r="G64" s="2">
        <v>0</v>
      </c>
      <c r="I64" s="7">
        <f>SUMPRODUCT(E64:G64, pivot_RET!$M$7:$O$7)</f>
        <v>1.9910291372026018E-2</v>
      </c>
      <c r="J64" s="7" cm="1">
        <f t="array" ref="J64">MMULT(E64:G64,MMULT(pivot_RET!$M$16:$O$18,TRANSPOSE(portfolio_RET!E64:G64)))</f>
        <v>3.014840464904123E-3</v>
      </c>
      <c r="K64" s="7">
        <f t="shared" si="1"/>
        <v>5.4907562911716661E-2</v>
      </c>
      <c r="L64" s="7">
        <f t="shared" si="2"/>
        <v>0.362614734950791</v>
      </c>
      <c r="M64" s="8">
        <f>I64+pivot_RET!$P$2</f>
        <v>2.1437376666666674E-2</v>
      </c>
    </row>
    <row r="65" spans="1:13" x14ac:dyDescent="0.25">
      <c r="A65">
        <v>0.5</v>
      </c>
      <c r="B65">
        <v>0.8</v>
      </c>
      <c r="C65">
        <f t="shared" si="0"/>
        <v>-0.30000000000000004</v>
      </c>
      <c r="E65" s="2">
        <v>0.9</v>
      </c>
      <c r="F65" s="2">
        <v>0</v>
      </c>
      <c r="G65" s="2">
        <v>9.9999999999999978E-2</v>
      </c>
      <c r="I65" s="7">
        <f>SUMPRODUCT(E65:G65, pivot_RET!$M$7:$O$7)</f>
        <v>2.2841889705359351E-2</v>
      </c>
      <c r="J65" s="7" cm="1">
        <f t="array" ref="J65">MMULT(E65:G65,MMULT(pivot_RET!$M$16:$O$18,TRANSPOSE(portfolio_RET!E65:G65)))</f>
        <v>3.8592096020718756E-3</v>
      </c>
      <c r="K65" s="7">
        <f t="shared" si="1"/>
        <v>6.2122536989983559E-2</v>
      </c>
      <c r="L65" s="7">
        <f t="shared" si="2"/>
        <v>0.3676908705296808</v>
      </c>
      <c r="M65" s="8">
        <f>I65+pivot_RET!$P$2</f>
        <v>2.4368975000000008E-2</v>
      </c>
    </row>
    <row r="66" spans="1:13" x14ac:dyDescent="0.25">
      <c r="A66">
        <v>0.5</v>
      </c>
      <c r="B66">
        <v>0.9</v>
      </c>
      <c r="C66">
        <f t="shared" si="0"/>
        <v>-0.4</v>
      </c>
      <c r="E66" s="2">
        <v>0.9</v>
      </c>
      <c r="F66" s="2">
        <v>0.1</v>
      </c>
      <c r="G66" s="2">
        <v>0</v>
      </c>
      <c r="I66" s="7">
        <f>SUMPRODUCT(E66:G66, pivot_RET!$M$7:$O$7)</f>
        <v>2.1628753038692685E-2</v>
      </c>
      <c r="J66" s="7" cm="1">
        <f t="array" ref="J66">MMULT(E66:G66,MMULT(pivot_RET!$M$16:$O$18,TRANSPOSE(portfolio_RET!E66:G66)))</f>
        <v>3.4436618762253646E-3</v>
      </c>
      <c r="K66" s="7">
        <f t="shared" si="1"/>
        <v>5.8682722126920495E-2</v>
      </c>
      <c r="L66" s="7">
        <f t="shared" si="2"/>
        <v>0.36857105898927905</v>
      </c>
      <c r="M66" s="8">
        <f>I66+pivot_RET!$P$2</f>
        <v>2.3155838333333342E-2</v>
      </c>
    </row>
    <row r="67" spans="1:13" x14ac:dyDescent="0.25">
      <c r="A67">
        <v>0.5</v>
      </c>
      <c r="B67">
        <v>1</v>
      </c>
      <c r="C67">
        <f t="shared" ref="C67:C122" si="3">1-A67-B67</f>
        <v>-0.5</v>
      </c>
      <c r="E67" s="2">
        <v>1</v>
      </c>
      <c r="F67" s="2">
        <v>0</v>
      </c>
      <c r="G67" s="2">
        <v>0</v>
      </c>
      <c r="I67" s="7">
        <f>SUMPRODUCT(E67:G67, pivot_RET!$M$7:$O$7)</f>
        <v>2.3347214705359352E-2</v>
      </c>
      <c r="J67" s="7" cm="1">
        <f t="array" ref="J67">MMULT(E67:G67,MMULT(pivot_RET!$M$16:$O$18,TRANSPOSE(portfolio_RET!E67:G67)))</f>
        <v>3.9603350760433337E-3</v>
      </c>
      <c r="K67" s="7">
        <f t="shared" ref="K67" si="4">SQRT(J67)</f>
        <v>6.2931193187824863E-2</v>
      </c>
      <c r="L67" s="7">
        <f t="shared" ref="L67" si="5">I67/K67</f>
        <v>0.3709959008035506</v>
      </c>
      <c r="M67" s="8">
        <f>I67+pivot_RET!$P$2</f>
        <v>2.4874300000000009E-2</v>
      </c>
    </row>
    <row r="68" spans="1:13" x14ac:dyDescent="0.25">
      <c r="A68">
        <v>0.6</v>
      </c>
      <c r="B68">
        <v>0</v>
      </c>
      <c r="C68">
        <f t="shared" si="3"/>
        <v>0.4</v>
      </c>
      <c r="I68" s="7"/>
      <c r="J68" s="7"/>
      <c r="K68" s="7"/>
      <c r="L68" s="7"/>
      <c r="M68" s="8"/>
    </row>
    <row r="69" spans="1:13" x14ac:dyDescent="0.25">
      <c r="A69">
        <v>0.6</v>
      </c>
      <c r="B69">
        <v>0.1</v>
      </c>
      <c r="C69">
        <f t="shared" si="3"/>
        <v>0.30000000000000004</v>
      </c>
      <c r="E69" t="s">
        <v>39</v>
      </c>
      <c r="I69" s="7"/>
      <c r="J69" s="7"/>
      <c r="K69" s="7"/>
      <c r="L69" s="7"/>
      <c r="M69" s="8"/>
    </row>
    <row r="70" spans="1:13" x14ac:dyDescent="0.25">
      <c r="A70">
        <v>0.6</v>
      </c>
      <c r="B70">
        <v>0.2</v>
      </c>
      <c r="C70">
        <f t="shared" si="3"/>
        <v>0.2</v>
      </c>
      <c r="E70" t="s">
        <v>17</v>
      </c>
      <c r="F70" t="s">
        <v>18</v>
      </c>
      <c r="G70" t="s">
        <v>19</v>
      </c>
      <c r="H70" t="s">
        <v>40</v>
      </c>
      <c r="I70" s="7"/>
      <c r="J70" s="7"/>
      <c r="K70" s="7"/>
      <c r="L70" s="7"/>
      <c r="M70" s="8"/>
    </row>
    <row r="71" spans="1:13" x14ac:dyDescent="0.25">
      <c r="A71">
        <v>0.6</v>
      </c>
      <c r="B71">
        <v>0.3</v>
      </c>
      <c r="C71">
        <f t="shared" si="3"/>
        <v>0.10000000000000003</v>
      </c>
      <c r="E71">
        <v>1.0000009999999999</v>
      </c>
      <c r="F71">
        <v>0</v>
      </c>
      <c r="G71">
        <v>0</v>
      </c>
      <c r="H71">
        <f>SUM(E71:G71)</f>
        <v>1.0000009999999999</v>
      </c>
      <c r="I71" s="7">
        <f>SUMPRODUCT(E71:G71, pivot_RET!$M$7:$O$7)</f>
        <v>2.3347238052574056E-2</v>
      </c>
      <c r="J71" s="7" cm="1">
        <f t="array" ref="J71">MMULT(E71:G71,MMULT(pivot_RET!$M$16:$O$18,TRANSPOSE(portfolio_RET!E71:G71)))</f>
        <v>3.9603429967174451E-3</v>
      </c>
      <c r="K71" s="7">
        <f t="shared" ref="K68:K71" si="6">SQRT(J71)</f>
        <v>6.2931256119018036E-2</v>
      </c>
      <c r="L71" s="7">
        <f t="shared" ref="L68:L71" si="7">I71/K71</f>
        <v>0.37099590080355066</v>
      </c>
      <c r="M71" s="8">
        <f>I71+pivot_RET!$P$2</f>
        <v>2.4874323347214712E-2</v>
      </c>
    </row>
    <row r="72" spans="1:13" x14ac:dyDescent="0.25">
      <c r="A72">
        <v>0.6</v>
      </c>
      <c r="B72">
        <v>0.4</v>
      </c>
      <c r="C72">
        <f t="shared" si="3"/>
        <v>0</v>
      </c>
    </row>
    <row r="73" spans="1:13" x14ac:dyDescent="0.25">
      <c r="A73">
        <v>0.6</v>
      </c>
      <c r="B73">
        <v>0.5</v>
      </c>
      <c r="C73">
        <f t="shared" si="3"/>
        <v>-9.9999999999999978E-2</v>
      </c>
    </row>
    <row r="74" spans="1:13" x14ac:dyDescent="0.25">
      <c r="A74">
        <v>0.6</v>
      </c>
      <c r="B74">
        <v>0.6</v>
      </c>
      <c r="C74">
        <f t="shared" si="3"/>
        <v>-0.19999999999999996</v>
      </c>
    </row>
    <row r="75" spans="1:13" x14ac:dyDescent="0.25">
      <c r="A75">
        <v>0.6</v>
      </c>
      <c r="B75">
        <v>0.7</v>
      </c>
      <c r="C75">
        <f t="shared" si="3"/>
        <v>-0.29999999999999993</v>
      </c>
    </row>
    <row r="76" spans="1:13" x14ac:dyDescent="0.25">
      <c r="A76">
        <v>0.6</v>
      </c>
      <c r="B76">
        <v>0.8</v>
      </c>
      <c r="C76">
        <f t="shared" si="3"/>
        <v>-0.4</v>
      </c>
    </row>
    <row r="77" spans="1:13" x14ac:dyDescent="0.25">
      <c r="A77">
        <v>0.6</v>
      </c>
      <c r="B77">
        <v>0.9</v>
      </c>
      <c r="C77">
        <f t="shared" si="3"/>
        <v>-0.5</v>
      </c>
    </row>
    <row r="78" spans="1:13" x14ac:dyDescent="0.25">
      <c r="A78">
        <v>0.6</v>
      </c>
      <c r="B78">
        <v>1</v>
      </c>
      <c r="C78">
        <f t="shared" si="3"/>
        <v>-0.6</v>
      </c>
    </row>
    <row r="79" spans="1:13" x14ac:dyDescent="0.25">
      <c r="A79">
        <v>0.7</v>
      </c>
      <c r="B79">
        <v>0</v>
      </c>
      <c r="C79">
        <f t="shared" si="3"/>
        <v>0.30000000000000004</v>
      </c>
    </row>
    <row r="80" spans="1:13" x14ac:dyDescent="0.25">
      <c r="A80">
        <v>0.7</v>
      </c>
      <c r="B80">
        <v>0.1</v>
      </c>
      <c r="C80">
        <f t="shared" si="3"/>
        <v>0.20000000000000004</v>
      </c>
    </row>
    <row r="81" spans="1:3" x14ac:dyDescent="0.25">
      <c r="A81">
        <v>0.7</v>
      </c>
      <c r="B81">
        <v>0.2</v>
      </c>
      <c r="C81">
        <f t="shared" si="3"/>
        <v>0.10000000000000003</v>
      </c>
    </row>
    <row r="82" spans="1:3" x14ac:dyDescent="0.25">
      <c r="A82">
        <v>0.7</v>
      </c>
      <c r="B82">
        <v>0.3</v>
      </c>
      <c r="C82">
        <f t="shared" si="3"/>
        <v>0</v>
      </c>
    </row>
    <row r="83" spans="1:3" x14ac:dyDescent="0.25">
      <c r="A83">
        <v>0.7</v>
      </c>
      <c r="B83">
        <v>0.4</v>
      </c>
      <c r="C83">
        <f t="shared" si="3"/>
        <v>-9.9999999999999978E-2</v>
      </c>
    </row>
    <row r="84" spans="1:3" x14ac:dyDescent="0.25">
      <c r="A84">
        <v>0.7</v>
      </c>
      <c r="B84">
        <v>0.5</v>
      </c>
      <c r="C84">
        <f t="shared" si="3"/>
        <v>-0.19999999999999996</v>
      </c>
    </row>
    <row r="85" spans="1:3" x14ac:dyDescent="0.25">
      <c r="A85">
        <v>0.7</v>
      </c>
      <c r="B85">
        <v>0.6</v>
      </c>
      <c r="C85">
        <f t="shared" si="3"/>
        <v>-0.29999999999999993</v>
      </c>
    </row>
    <row r="86" spans="1:3" x14ac:dyDescent="0.25">
      <c r="A86">
        <v>0.7</v>
      </c>
      <c r="B86">
        <v>0.7</v>
      </c>
      <c r="C86">
        <f t="shared" si="3"/>
        <v>-0.39999999999999991</v>
      </c>
    </row>
    <row r="87" spans="1:3" x14ac:dyDescent="0.25">
      <c r="A87">
        <v>0.7</v>
      </c>
      <c r="B87">
        <v>0.8</v>
      </c>
      <c r="C87">
        <f t="shared" si="3"/>
        <v>-0.5</v>
      </c>
    </row>
    <row r="88" spans="1:3" x14ac:dyDescent="0.25">
      <c r="A88">
        <v>0.7</v>
      </c>
      <c r="B88">
        <v>0.9</v>
      </c>
      <c r="C88">
        <f t="shared" si="3"/>
        <v>-0.6</v>
      </c>
    </row>
    <row r="89" spans="1:3" x14ac:dyDescent="0.25">
      <c r="A89">
        <v>0.7</v>
      </c>
      <c r="B89">
        <v>1</v>
      </c>
      <c r="C89">
        <f t="shared" si="3"/>
        <v>-0.7</v>
      </c>
    </row>
    <row r="90" spans="1:3" x14ac:dyDescent="0.25">
      <c r="A90">
        <v>0.8</v>
      </c>
      <c r="B90">
        <v>0</v>
      </c>
      <c r="C90">
        <f t="shared" si="3"/>
        <v>0.19999999999999996</v>
      </c>
    </row>
    <row r="91" spans="1:3" x14ac:dyDescent="0.25">
      <c r="A91">
        <v>0.8</v>
      </c>
      <c r="B91">
        <v>0.1</v>
      </c>
      <c r="C91">
        <f t="shared" si="3"/>
        <v>9.999999999999995E-2</v>
      </c>
    </row>
    <row r="92" spans="1:3" x14ac:dyDescent="0.25">
      <c r="A92">
        <v>0.8</v>
      </c>
      <c r="B92">
        <v>0.2</v>
      </c>
      <c r="C92">
        <f t="shared" si="3"/>
        <v>0</v>
      </c>
    </row>
    <row r="93" spans="1:3" x14ac:dyDescent="0.25">
      <c r="A93">
        <v>0.8</v>
      </c>
      <c r="B93">
        <v>0.3</v>
      </c>
      <c r="C93">
        <f t="shared" si="3"/>
        <v>-0.10000000000000003</v>
      </c>
    </row>
    <row r="94" spans="1:3" x14ac:dyDescent="0.25">
      <c r="A94">
        <v>0.8</v>
      </c>
      <c r="B94">
        <v>0.4</v>
      </c>
      <c r="C94">
        <f t="shared" si="3"/>
        <v>-0.20000000000000007</v>
      </c>
    </row>
    <row r="95" spans="1:3" x14ac:dyDescent="0.25">
      <c r="A95">
        <v>0.8</v>
      </c>
      <c r="B95">
        <v>0.5</v>
      </c>
      <c r="C95">
        <f t="shared" si="3"/>
        <v>-0.30000000000000004</v>
      </c>
    </row>
    <row r="96" spans="1:3" x14ac:dyDescent="0.25">
      <c r="A96">
        <v>0.8</v>
      </c>
      <c r="B96">
        <v>0.6</v>
      </c>
      <c r="C96">
        <f t="shared" si="3"/>
        <v>-0.4</v>
      </c>
    </row>
    <row r="97" spans="1:3" x14ac:dyDescent="0.25">
      <c r="A97">
        <v>0.8</v>
      </c>
      <c r="B97">
        <v>0.7</v>
      </c>
      <c r="C97">
        <f t="shared" si="3"/>
        <v>-0.5</v>
      </c>
    </row>
    <row r="98" spans="1:3" x14ac:dyDescent="0.25">
      <c r="A98">
        <v>0.8</v>
      </c>
      <c r="B98">
        <v>0.8</v>
      </c>
      <c r="C98">
        <f t="shared" si="3"/>
        <v>-0.60000000000000009</v>
      </c>
    </row>
    <row r="99" spans="1:3" x14ac:dyDescent="0.25">
      <c r="A99">
        <v>0.8</v>
      </c>
      <c r="B99">
        <v>0.9</v>
      </c>
      <c r="C99">
        <f t="shared" si="3"/>
        <v>-0.70000000000000007</v>
      </c>
    </row>
    <row r="100" spans="1:3" x14ac:dyDescent="0.25">
      <c r="A100">
        <v>0.8</v>
      </c>
      <c r="B100">
        <v>1</v>
      </c>
      <c r="C100">
        <f t="shared" si="3"/>
        <v>-0.8</v>
      </c>
    </row>
    <row r="101" spans="1:3" x14ac:dyDescent="0.25">
      <c r="A101">
        <v>0.9</v>
      </c>
      <c r="B101">
        <v>0</v>
      </c>
      <c r="C101">
        <f t="shared" si="3"/>
        <v>9.9999999999999978E-2</v>
      </c>
    </row>
    <row r="102" spans="1:3" x14ac:dyDescent="0.25">
      <c r="A102">
        <v>0.9</v>
      </c>
      <c r="B102">
        <v>0.1</v>
      </c>
      <c r="C102">
        <f t="shared" si="3"/>
        <v>0</v>
      </c>
    </row>
    <row r="103" spans="1:3" x14ac:dyDescent="0.25">
      <c r="A103">
        <v>0.9</v>
      </c>
      <c r="B103">
        <v>0.2</v>
      </c>
      <c r="C103">
        <f t="shared" si="3"/>
        <v>-0.10000000000000003</v>
      </c>
    </row>
    <row r="104" spans="1:3" x14ac:dyDescent="0.25">
      <c r="A104">
        <v>0.9</v>
      </c>
      <c r="B104">
        <v>0.3</v>
      </c>
      <c r="C104">
        <f t="shared" si="3"/>
        <v>-0.2</v>
      </c>
    </row>
    <row r="105" spans="1:3" x14ac:dyDescent="0.25">
      <c r="A105">
        <v>0.9</v>
      </c>
      <c r="B105">
        <v>0.4</v>
      </c>
      <c r="C105">
        <f t="shared" si="3"/>
        <v>-0.30000000000000004</v>
      </c>
    </row>
    <row r="106" spans="1:3" x14ac:dyDescent="0.25">
      <c r="A106">
        <v>0.9</v>
      </c>
      <c r="B106">
        <v>0.5</v>
      </c>
      <c r="C106">
        <f t="shared" si="3"/>
        <v>-0.4</v>
      </c>
    </row>
    <row r="107" spans="1:3" x14ac:dyDescent="0.25">
      <c r="A107">
        <v>0.9</v>
      </c>
      <c r="B107">
        <v>0.6</v>
      </c>
      <c r="C107">
        <f t="shared" si="3"/>
        <v>-0.5</v>
      </c>
    </row>
    <row r="108" spans="1:3" x14ac:dyDescent="0.25">
      <c r="A108">
        <v>0.9</v>
      </c>
      <c r="B108">
        <v>0.7</v>
      </c>
      <c r="C108">
        <f t="shared" si="3"/>
        <v>-0.6</v>
      </c>
    </row>
    <row r="109" spans="1:3" x14ac:dyDescent="0.25">
      <c r="A109">
        <v>0.9</v>
      </c>
      <c r="B109">
        <v>0.8</v>
      </c>
      <c r="C109">
        <f t="shared" si="3"/>
        <v>-0.70000000000000007</v>
      </c>
    </row>
    <row r="110" spans="1:3" x14ac:dyDescent="0.25">
      <c r="A110">
        <v>0.9</v>
      </c>
      <c r="B110">
        <v>0.9</v>
      </c>
      <c r="C110">
        <f t="shared" si="3"/>
        <v>-0.8</v>
      </c>
    </row>
    <row r="111" spans="1:3" x14ac:dyDescent="0.25">
      <c r="A111">
        <v>0.9</v>
      </c>
      <c r="B111">
        <v>1</v>
      </c>
      <c r="C111">
        <f t="shared" si="3"/>
        <v>-0.9</v>
      </c>
    </row>
    <row r="112" spans="1:3" x14ac:dyDescent="0.25">
      <c r="A112">
        <v>1</v>
      </c>
      <c r="B112">
        <v>0</v>
      </c>
      <c r="C112">
        <f t="shared" si="3"/>
        <v>0</v>
      </c>
    </row>
    <row r="113" spans="1:3" x14ac:dyDescent="0.25">
      <c r="A113">
        <v>1</v>
      </c>
      <c r="B113">
        <v>0.1</v>
      </c>
      <c r="C113">
        <f t="shared" si="3"/>
        <v>-0.1</v>
      </c>
    </row>
    <row r="114" spans="1:3" x14ac:dyDescent="0.25">
      <c r="A114">
        <v>1</v>
      </c>
      <c r="B114">
        <v>0.2</v>
      </c>
      <c r="C114">
        <f t="shared" si="3"/>
        <v>-0.2</v>
      </c>
    </row>
    <row r="115" spans="1:3" x14ac:dyDescent="0.25">
      <c r="A115">
        <v>1</v>
      </c>
      <c r="B115">
        <v>0.3</v>
      </c>
      <c r="C115">
        <f t="shared" si="3"/>
        <v>-0.3</v>
      </c>
    </row>
    <row r="116" spans="1:3" x14ac:dyDescent="0.25">
      <c r="A116">
        <v>1</v>
      </c>
      <c r="B116">
        <v>0.4</v>
      </c>
      <c r="C116">
        <f t="shared" si="3"/>
        <v>-0.4</v>
      </c>
    </row>
    <row r="117" spans="1:3" x14ac:dyDescent="0.25">
      <c r="A117">
        <v>1</v>
      </c>
      <c r="B117">
        <v>0.5</v>
      </c>
      <c r="C117">
        <f t="shared" si="3"/>
        <v>-0.5</v>
      </c>
    </row>
    <row r="118" spans="1:3" x14ac:dyDescent="0.25">
      <c r="A118">
        <v>1</v>
      </c>
      <c r="B118">
        <v>0.6</v>
      </c>
      <c r="C118">
        <f t="shared" si="3"/>
        <v>-0.6</v>
      </c>
    </row>
    <row r="119" spans="1:3" x14ac:dyDescent="0.25">
      <c r="A119">
        <v>1</v>
      </c>
      <c r="B119">
        <v>0.7</v>
      </c>
      <c r="C119">
        <f t="shared" si="3"/>
        <v>-0.7</v>
      </c>
    </row>
    <row r="120" spans="1:3" x14ac:dyDescent="0.25">
      <c r="A120">
        <v>1</v>
      </c>
      <c r="B120">
        <v>0.8</v>
      </c>
      <c r="C120">
        <f t="shared" si="3"/>
        <v>-0.8</v>
      </c>
    </row>
    <row r="121" spans="1:3" x14ac:dyDescent="0.25">
      <c r="A121">
        <v>1</v>
      </c>
      <c r="B121">
        <v>0.9</v>
      </c>
      <c r="C121">
        <f t="shared" si="3"/>
        <v>-0.9</v>
      </c>
    </row>
    <row r="122" spans="1:3" x14ac:dyDescent="0.25">
      <c r="A122">
        <v>1</v>
      </c>
      <c r="B122">
        <v>1</v>
      </c>
      <c r="C122">
        <f t="shared" si="3"/>
        <v>-1</v>
      </c>
    </row>
  </sheetData>
  <conditionalFormatting sqref="L2:L71">
    <cfRule type="top10" dxfId="3" priority="1" rank="1"/>
  </conditionalFormatting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4320-0A4E-4F0F-BCDA-012AD192E333}">
  <dimension ref="A1:N122"/>
  <sheetViews>
    <sheetView zoomScaleNormal="100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9.28515625" bestFit="1" customWidth="1"/>
    <col min="2" max="2" width="7.140625" bestFit="1" customWidth="1"/>
    <col min="3" max="3" width="10" bestFit="1" customWidth="1"/>
    <col min="5" max="5" width="8.28515625" bestFit="1" customWidth="1"/>
    <col min="6" max="6" width="6.140625" bestFit="1" customWidth="1"/>
    <col min="7" max="7" width="9" bestFit="1" customWidth="1"/>
    <col min="9" max="9" width="13.5703125" bestFit="1" customWidth="1"/>
    <col min="10" max="10" width="8.42578125" bestFit="1" customWidth="1"/>
    <col min="11" max="11" width="6.5703125" bestFit="1" customWidth="1"/>
    <col min="12" max="12" width="7" bestFit="1" customWidth="1"/>
    <col min="13" max="13" width="6.140625" bestFit="1" customWidth="1"/>
    <col min="14" max="14" width="11.85546875" bestFit="1" customWidth="1"/>
  </cols>
  <sheetData>
    <row r="1" spans="1:14" x14ac:dyDescent="0.25">
      <c r="A1" t="s">
        <v>20</v>
      </c>
      <c r="B1" t="s">
        <v>21</v>
      </c>
      <c r="C1" t="s">
        <v>22</v>
      </c>
      <c r="D1" t="s">
        <v>34</v>
      </c>
      <c r="E1" s="3" t="s">
        <v>17</v>
      </c>
      <c r="F1" s="3" t="s">
        <v>18</v>
      </c>
      <c r="G1" s="3" t="s">
        <v>19</v>
      </c>
      <c r="H1" s="4" t="s">
        <v>34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9"/>
    </row>
    <row r="2" spans="1:14" x14ac:dyDescent="0.25">
      <c r="A2">
        <v>0</v>
      </c>
      <c r="B2">
        <v>0</v>
      </c>
      <c r="C2">
        <f>1-A2-B2</f>
        <v>1</v>
      </c>
      <c r="D2" t="b">
        <f xml:space="preserve"> OR(A2&gt;=0.3, B2&gt;=0.3, C2&gt;=0.3)</f>
        <v>1</v>
      </c>
      <c r="E2" s="2" cm="1">
        <f t="array" ref="E2:H67">_xlfn._xlws.FILTER(A2:D122, ( C2:C122&gt;=0 ) * D2:D122)</f>
        <v>0</v>
      </c>
      <c r="F2" s="2">
        <v>0</v>
      </c>
      <c r="G2" s="2">
        <v>1</v>
      </c>
      <c r="H2" t="b">
        <v>1</v>
      </c>
      <c r="I2" s="7">
        <f>SUMPRODUCT(E2:G2, pivot_RET!$M$7:$O$7)</f>
        <v>1.8293964705359347E-2</v>
      </c>
      <c r="J2" s="7" cm="1">
        <f t="array" ref="J2">MMULT(E2:G2,MMULT(pivot_RET!$M$16:$O$18,TRANSPOSE('portfolio_RET_30%'!E2:G2)))</f>
        <v>5.978584115347501E-3</v>
      </c>
      <c r="K2" s="7">
        <f>SQRT(J2)</f>
        <v>7.7321304407954095E-2</v>
      </c>
      <c r="L2" s="7">
        <f>I2/K2</f>
        <v>0.23659669020634672</v>
      </c>
      <c r="M2" s="8">
        <f>I2+pivot_RET!$P$2</f>
        <v>1.9821050000000003E-2</v>
      </c>
    </row>
    <row r="3" spans="1:14" x14ac:dyDescent="0.25">
      <c r="A3">
        <v>0</v>
      </c>
      <c r="B3">
        <v>0.1</v>
      </c>
      <c r="C3">
        <f t="shared" ref="C3:C66" si="0">1-A3-B3</f>
        <v>0.9</v>
      </c>
      <c r="D3" t="b">
        <f t="shared" ref="D3:D66" si="1" xml:space="preserve"> OR(A3&gt;=0.3, B3&gt;=0.3, C3&gt;=0.3)</f>
        <v>1</v>
      </c>
      <c r="E3" s="2">
        <v>0</v>
      </c>
      <c r="F3" s="2">
        <v>0.1</v>
      </c>
      <c r="G3" s="2">
        <v>0.9</v>
      </c>
      <c r="H3" t="b">
        <v>1</v>
      </c>
      <c r="I3" s="7">
        <f>SUMPRODUCT(E3:G3, pivot_RET!$M$7:$O$7)</f>
        <v>1.708082803869268E-2</v>
      </c>
      <c r="J3" s="7" cm="1">
        <f t="array" ref="J3">MMULT(E3:G3,MMULT(pivot_RET!$M$16:$O$18,TRANSPOSE('portfolio_RET_30%'!E3:G3)))</f>
        <v>5.1159178476734906E-3</v>
      </c>
      <c r="K3" s="7">
        <f t="shared" ref="K3:K66" si="2">SQRT(J3)</f>
        <v>7.15256446854797E-2</v>
      </c>
      <c r="L3" s="7">
        <f t="shared" ref="L3:L66" si="3">I3/K3</f>
        <v>0.23880704765126332</v>
      </c>
      <c r="M3" s="8">
        <f>I3+pivot_RET!$P$2</f>
        <v>1.8607913333333337E-2</v>
      </c>
    </row>
    <row r="4" spans="1:14" x14ac:dyDescent="0.25">
      <c r="A4">
        <v>0</v>
      </c>
      <c r="B4">
        <v>0.2</v>
      </c>
      <c r="C4">
        <f t="shared" si="0"/>
        <v>0.8</v>
      </c>
      <c r="D4" t="b">
        <f t="shared" si="1"/>
        <v>1</v>
      </c>
      <c r="E4" s="2">
        <v>0</v>
      </c>
      <c r="F4" s="2">
        <v>0.2</v>
      </c>
      <c r="G4" s="2">
        <v>0.8</v>
      </c>
      <c r="H4" t="b">
        <v>1</v>
      </c>
      <c r="I4" s="7">
        <f>SUMPRODUCT(E4:G4, pivot_RET!$M$7:$O$7)</f>
        <v>1.5867691372026014E-2</v>
      </c>
      <c r="J4" s="7" cm="1">
        <f t="array" ref="J4">MMULT(E4:G4,MMULT(pivot_RET!$M$16:$O$18,TRANSPOSE('portfolio_RET_30%'!E4:G4)))</f>
        <v>4.3731407382574562E-3</v>
      </c>
      <c r="K4" s="7">
        <f t="shared" si="2"/>
        <v>6.6129726585382589E-2</v>
      </c>
      <c r="L4" s="7">
        <f t="shared" si="3"/>
        <v>0.23994793554058685</v>
      </c>
      <c r="M4" s="8">
        <f>I4+pivot_RET!$P$2</f>
        <v>1.739477666666667E-2</v>
      </c>
    </row>
    <row r="5" spans="1:14" x14ac:dyDescent="0.25">
      <c r="A5">
        <v>0</v>
      </c>
      <c r="B5">
        <v>0.3</v>
      </c>
      <c r="C5">
        <f t="shared" si="0"/>
        <v>0.7</v>
      </c>
      <c r="D5" t="b">
        <f t="shared" si="1"/>
        <v>1</v>
      </c>
      <c r="E5" s="2">
        <v>0</v>
      </c>
      <c r="F5" s="2">
        <v>0.3</v>
      </c>
      <c r="G5" s="2">
        <v>0.7</v>
      </c>
      <c r="H5" t="b">
        <v>1</v>
      </c>
      <c r="I5" s="7">
        <f>SUMPRODUCT(E5:G5, pivot_RET!$M$7:$O$7)</f>
        <v>1.4654554705359346E-2</v>
      </c>
      <c r="J5" s="7" cm="1">
        <f t="array" ref="J5">MMULT(E5:G5,MMULT(pivot_RET!$M$16:$O$18,TRANSPOSE('portfolio_RET_30%'!E5:G5)))</f>
        <v>3.7502527870994003E-3</v>
      </c>
      <c r="K5" s="7">
        <f t="shared" si="2"/>
        <v>6.123930753282078E-2</v>
      </c>
      <c r="L5" s="7">
        <f t="shared" si="3"/>
        <v>0.23929981078746423</v>
      </c>
      <c r="M5" s="8">
        <f>I5+pivot_RET!$P$2</f>
        <v>1.6181640000000001E-2</v>
      </c>
    </row>
    <row r="6" spans="1:14" x14ac:dyDescent="0.25">
      <c r="A6">
        <v>0</v>
      </c>
      <c r="B6">
        <v>0.4</v>
      </c>
      <c r="C6">
        <f t="shared" si="0"/>
        <v>0.6</v>
      </c>
      <c r="D6" t="b">
        <f t="shared" si="1"/>
        <v>1</v>
      </c>
      <c r="E6" s="2">
        <v>0</v>
      </c>
      <c r="F6" s="2">
        <v>0.4</v>
      </c>
      <c r="G6" s="2">
        <v>0.6</v>
      </c>
      <c r="H6" t="b">
        <v>1</v>
      </c>
      <c r="I6" s="7">
        <f>SUMPRODUCT(E6:G6, pivot_RET!$M$7:$O$7)</f>
        <v>1.3441418038692678E-2</v>
      </c>
      <c r="J6" s="7" cm="1">
        <f t="array" ref="J6">MMULT(E6:G6,MMULT(pivot_RET!$M$16:$O$18,TRANSPOSE('portfolio_RET_30%'!E6:G6)))</f>
        <v>3.2472539941993226E-3</v>
      </c>
      <c r="K6" s="7">
        <f t="shared" si="2"/>
        <v>5.6984682101414962E-2</v>
      </c>
      <c r="L6" s="7">
        <f t="shared" si="3"/>
        <v>0.23587774017535354</v>
      </c>
      <c r="M6" s="8">
        <f>I6+pivot_RET!$P$2</f>
        <v>1.4968503333333334E-2</v>
      </c>
    </row>
    <row r="7" spans="1:14" x14ac:dyDescent="0.25">
      <c r="A7">
        <v>0</v>
      </c>
      <c r="B7">
        <v>0.5</v>
      </c>
      <c r="C7">
        <f t="shared" si="0"/>
        <v>0.5</v>
      </c>
      <c r="D7" t="b">
        <f t="shared" si="1"/>
        <v>1</v>
      </c>
      <c r="E7" s="2">
        <v>0</v>
      </c>
      <c r="F7" s="2">
        <v>0.5</v>
      </c>
      <c r="G7" s="2">
        <v>0.5</v>
      </c>
      <c r="H7" t="b">
        <v>1</v>
      </c>
      <c r="I7" s="7">
        <f>SUMPRODUCT(E7:G7, pivot_RET!$M$7:$O$7)</f>
        <v>1.2228281372026011E-2</v>
      </c>
      <c r="J7" s="7" cm="1">
        <f t="array" ref="J7">MMULT(E7:G7,MMULT(pivot_RET!$M$16:$O$18,TRANSPOSE('portfolio_RET_30%'!E7:G7)))</f>
        <v>2.8641443595572224E-3</v>
      </c>
      <c r="K7" s="7">
        <f t="shared" si="2"/>
        <v>5.3517701366531265E-2</v>
      </c>
      <c r="L7" s="7">
        <f t="shared" si="3"/>
        <v>0.22849040709497467</v>
      </c>
      <c r="M7" s="8">
        <f>I7+pivot_RET!$P$2</f>
        <v>1.3755366666666668E-2</v>
      </c>
    </row>
    <row r="8" spans="1:14" x14ac:dyDescent="0.25">
      <c r="A8">
        <v>0</v>
      </c>
      <c r="B8">
        <v>0.6</v>
      </c>
      <c r="C8">
        <f t="shared" si="0"/>
        <v>0.4</v>
      </c>
      <c r="D8" t="b">
        <f t="shared" si="1"/>
        <v>1</v>
      </c>
      <c r="E8" s="2">
        <v>0</v>
      </c>
      <c r="F8" s="2">
        <v>0.6</v>
      </c>
      <c r="G8" s="2">
        <v>0.4</v>
      </c>
      <c r="H8" t="b">
        <v>1</v>
      </c>
      <c r="I8" s="7">
        <f>SUMPRODUCT(E8:G8, pivot_RET!$M$7:$O$7)</f>
        <v>1.1015144705359345E-2</v>
      </c>
      <c r="J8" s="7" cm="1">
        <f t="array" ref="J8">MMULT(E8:G8,MMULT(pivot_RET!$M$16:$O$18,TRANSPOSE('portfolio_RET_30%'!E8:G8)))</f>
        <v>2.6009238831731004E-3</v>
      </c>
      <c r="K8" s="7">
        <f t="shared" si="2"/>
        <v>5.0999253751139347E-2</v>
      </c>
      <c r="L8" s="7">
        <f t="shared" si="3"/>
        <v>0.21598638990111227</v>
      </c>
      <c r="M8" s="8">
        <f>I8+pivot_RET!$P$2</f>
        <v>1.2542230000000001E-2</v>
      </c>
    </row>
    <row r="9" spans="1:14" x14ac:dyDescent="0.25">
      <c r="A9">
        <v>0</v>
      </c>
      <c r="B9">
        <v>0.7</v>
      </c>
      <c r="C9">
        <f t="shared" si="0"/>
        <v>0.30000000000000004</v>
      </c>
      <c r="D9" t="b">
        <f t="shared" si="1"/>
        <v>1</v>
      </c>
      <c r="E9" s="2">
        <v>0</v>
      </c>
      <c r="F9" s="2">
        <v>0.7</v>
      </c>
      <c r="G9" s="2">
        <v>0.30000000000000004</v>
      </c>
      <c r="H9" t="b">
        <v>1</v>
      </c>
      <c r="I9" s="7">
        <f>SUMPRODUCT(E9:G9, pivot_RET!$M$7:$O$7)</f>
        <v>9.8020080386926785E-3</v>
      </c>
      <c r="J9" s="7" cm="1">
        <f t="array" ref="J9">MMULT(E9:G9,MMULT(pivot_RET!$M$16:$O$18,TRANSPOSE('portfolio_RET_30%'!E9:G9)))</f>
        <v>2.457592565046956E-3</v>
      </c>
      <c r="K9" s="7">
        <f t="shared" si="2"/>
        <v>4.9574111843248954E-2</v>
      </c>
      <c r="L9" s="7">
        <f t="shared" si="3"/>
        <v>0.19772432978095852</v>
      </c>
      <c r="M9" s="8">
        <f>I9+pivot_RET!$P$2</f>
        <v>1.1329093333333335E-2</v>
      </c>
    </row>
    <row r="10" spans="1:14" x14ac:dyDescent="0.25">
      <c r="A10">
        <v>0</v>
      </c>
      <c r="B10">
        <v>0.8</v>
      </c>
      <c r="C10">
        <f t="shared" si="0"/>
        <v>0.19999999999999996</v>
      </c>
      <c r="D10" t="b">
        <f t="shared" si="1"/>
        <v>1</v>
      </c>
      <c r="E10" s="2">
        <v>0</v>
      </c>
      <c r="F10" s="2">
        <v>0.8</v>
      </c>
      <c r="G10" s="2">
        <v>0.19999999999999996</v>
      </c>
      <c r="H10" t="b">
        <v>1</v>
      </c>
      <c r="I10" s="7">
        <f>SUMPRODUCT(E10:G10, pivot_RET!$M$7:$O$7)</f>
        <v>8.5888713720260104E-3</v>
      </c>
      <c r="J10" s="7" cm="1">
        <f t="array" ref="J10">MMULT(E10:G10,MMULT(pivot_RET!$M$16:$O$18,TRANSPOSE('portfolio_RET_30%'!E10:G10)))</f>
        <v>2.4341504051787889E-3</v>
      </c>
      <c r="K10" s="7">
        <f t="shared" si="2"/>
        <v>4.9337109817852005E-2</v>
      </c>
      <c r="L10" s="7">
        <f t="shared" si="3"/>
        <v>0.17408541772583194</v>
      </c>
      <c r="M10" s="8">
        <f>I10+pivot_RET!$P$2</f>
        <v>1.0115956666666667E-2</v>
      </c>
    </row>
    <row r="11" spans="1:14" x14ac:dyDescent="0.25">
      <c r="A11">
        <v>0</v>
      </c>
      <c r="B11">
        <v>0.9</v>
      </c>
      <c r="C11">
        <f t="shared" si="0"/>
        <v>9.9999999999999978E-2</v>
      </c>
      <c r="D11" t="b">
        <f t="shared" si="1"/>
        <v>1</v>
      </c>
      <c r="E11" s="2">
        <v>0</v>
      </c>
      <c r="F11" s="2">
        <v>0.9</v>
      </c>
      <c r="G11" s="2">
        <v>9.9999999999999978E-2</v>
      </c>
      <c r="H11" t="b">
        <v>1</v>
      </c>
      <c r="I11" s="7">
        <f>SUMPRODUCT(E11:G11, pivot_RET!$M$7:$O$7)</f>
        <v>7.375734705359344E-3</v>
      </c>
      <c r="J11" s="7" cm="1">
        <f t="array" ref="J11">MMULT(E11:G11,MMULT(pivot_RET!$M$16:$O$18,TRANSPOSE('portfolio_RET_30%'!E11:G11)))</f>
        <v>2.5305974035686003E-3</v>
      </c>
      <c r="K11" s="7">
        <f t="shared" si="2"/>
        <v>5.0305043520193882E-2</v>
      </c>
      <c r="L11" s="7">
        <f t="shared" si="3"/>
        <v>0.14662018336985463</v>
      </c>
      <c r="M11" s="8">
        <f>I11+pivot_RET!$P$2</f>
        <v>8.9028200000000005E-3</v>
      </c>
    </row>
    <row r="12" spans="1:14" x14ac:dyDescent="0.25">
      <c r="A12">
        <v>0</v>
      </c>
      <c r="B12">
        <v>1</v>
      </c>
      <c r="C12">
        <f t="shared" si="0"/>
        <v>0</v>
      </c>
      <c r="D12" t="b">
        <f t="shared" si="1"/>
        <v>1</v>
      </c>
      <c r="E12" s="2">
        <v>0</v>
      </c>
      <c r="F12" s="2">
        <v>1</v>
      </c>
      <c r="G12" s="2">
        <v>0</v>
      </c>
      <c r="H12" t="b">
        <v>1</v>
      </c>
      <c r="I12" s="7">
        <f>SUMPRODUCT(E12:G12, pivot_RET!$M$7:$O$7)</f>
        <v>6.1625980386926767E-3</v>
      </c>
      <c r="J12" s="7" cm="1">
        <f t="array" ref="J12">MMULT(E12:G12,MMULT(pivot_RET!$M$16:$O$18,TRANSPOSE('portfolio_RET_30%'!E12:G12)))</f>
        <v>2.7469335602163889E-3</v>
      </c>
      <c r="K12" s="7">
        <f t="shared" si="2"/>
        <v>5.2411196897384334E-2</v>
      </c>
      <c r="L12" s="7">
        <f t="shared" si="3"/>
        <v>0.11758170779343967</v>
      </c>
      <c r="M12" s="8">
        <f>I12+pivot_RET!$P$2</f>
        <v>7.6896833333333333E-3</v>
      </c>
    </row>
    <row r="13" spans="1:14" x14ac:dyDescent="0.25">
      <c r="A13">
        <v>0.1</v>
      </c>
      <c r="B13">
        <v>0</v>
      </c>
      <c r="C13">
        <f t="shared" si="0"/>
        <v>0.9</v>
      </c>
      <c r="D13" t="b">
        <f t="shared" si="1"/>
        <v>1</v>
      </c>
      <c r="E13" s="2">
        <v>0.1</v>
      </c>
      <c r="F13" s="2">
        <v>0</v>
      </c>
      <c r="G13" s="2">
        <v>0.9</v>
      </c>
      <c r="H13" t="b">
        <v>1</v>
      </c>
      <c r="I13" s="7">
        <f>SUMPRODUCT(E13:G13, pivot_RET!$M$7:$O$7)</f>
        <v>1.8799289705359348E-2</v>
      </c>
      <c r="J13" s="7" cm="1">
        <f t="array" ref="J13">MMULT(E13:G13,MMULT(pivot_RET!$M$16:$O$18,TRANSPOSE('portfolio_RET_30%'!E13:G13)))</f>
        <v>5.4738088335152101E-3</v>
      </c>
      <c r="K13" s="7">
        <f t="shared" si="2"/>
        <v>7.3985193339716357E-2</v>
      </c>
      <c r="L13" s="7">
        <f t="shared" si="3"/>
        <v>0.2540952974068611</v>
      </c>
      <c r="M13" s="8">
        <f>I13+pivot_RET!$P$2</f>
        <v>2.0326375000000004E-2</v>
      </c>
    </row>
    <row r="14" spans="1:14" x14ac:dyDescent="0.25">
      <c r="A14">
        <v>0.1</v>
      </c>
      <c r="B14">
        <v>0.1</v>
      </c>
      <c r="C14">
        <f t="shared" si="0"/>
        <v>0.8</v>
      </c>
      <c r="D14" t="b">
        <f t="shared" si="1"/>
        <v>1</v>
      </c>
      <c r="E14" s="2">
        <v>0.1</v>
      </c>
      <c r="F14" s="2">
        <v>0.1</v>
      </c>
      <c r="G14" s="2">
        <v>0.8</v>
      </c>
      <c r="H14" t="b">
        <v>1</v>
      </c>
      <c r="I14" s="7">
        <f>SUMPRODUCT(E14:G14, pivot_RET!$M$7:$O$7)</f>
        <v>1.7586153038692681E-2</v>
      </c>
      <c r="J14" s="7" cm="1">
        <f t="array" ref="J14">MMULT(E14:G14,MMULT(pivot_RET!$M$16:$O$18,TRANSPOSE('portfolio_RET_30%'!E14:G14)))</f>
        <v>4.6608224038220325E-3</v>
      </c>
      <c r="K14" s="7">
        <f t="shared" si="2"/>
        <v>6.8270216081553689E-2</v>
      </c>
      <c r="L14" s="7">
        <f t="shared" si="3"/>
        <v>0.25759627035140414</v>
      </c>
      <c r="M14" s="8">
        <f>I14+pivot_RET!$P$2</f>
        <v>1.9113238333333338E-2</v>
      </c>
    </row>
    <row r="15" spans="1:14" x14ac:dyDescent="0.25">
      <c r="A15">
        <v>0.1</v>
      </c>
      <c r="B15">
        <v>0.2</v>
      </c>
      <c r="C15">
        <f t="shared" si="0"/>
        <v>0.7</v>
      </c>
      <c r="D15" t="b">
        <f t="shared" si="1"/>
        <v>1</v>
      </c>
      <c r="E15" s="2">
        <v>0.1</v>
      </c>
      <c r="F15" s="2">
        <v>0.2</v>
      </c>
      <c r="G15" s="2">
        <v>0.7</v>
      </c>
      <c r="H15" t="b">
        <v>1</v>
      </c>
      <c r="I15" s="7">
        <f>SUMPRODUCT(E15:G15, pivot_RET!$M$7:$O$7)</f>
        <v>1.6373016372026011E-2</v>
      </c>
      <c r="J15" s="7" cm="1">
        <f t="array" ref="J15">MMULT(E15:G15,MMULT(pivot_RET!$M$16:$O$18,TRANSPOSE('portfolio_RET_30%'!E15:G15)))</f>
        <v>3.9677251323868307E-3</v>
      </c>
      <c r="K15" s="7">
        <f t="shared" si="2"/>
        <v>6.2989881190448599E-2</v>
      </c>
      <c r="L15" s="7">
        <f t="shared" si="3"/>
        <v>0.25993089782980439</v>
      </c>
      <c r="M15" s="8">
        <f>I15+pivot_RET!$P$2</f>
        <v>1.7900101666666668E-2</v>
      </c>
    </row>
    <row r="16" spans="1:14" x14ac:dyDescent="0.25">
      <c r="A16">
        <v>0.1</v>
      </c>
      <c r="B16">
        <v>0.3</v>
      </c>
      <c r="C16">
        <f t="shared" si="0"/>
        <v>0.60000000000000009</v>
      </c>
      <c r="D16" t="b">
        <f t="shared" si="1"/>
        <v>1</v>
      </c>
      <c r="E16" s="2">
        <v>0.1</v>
      </c>
      <c r="F16" s="2">
        <v>0.3</v>
      </c>
      <c r="G16" s="2">
        <v>0.60000000000000009</v>
      </c>
      <c r="H16" t="b">
        <v>1</v>
      </c>
      <c r="I16" s="7">
        <f>SUMPRODUCT(E16:G16, pivot_RET!$M$7:$O$7)</f>
        <v>1.5159879705359348E-2</v>
      </c>
      <c r="J16" s="7" cm="1">
        <f t="array" ref="J16">MMULT(E16:G16,MMULT(pivot_RET!$M$16:$O$18,TRANSPOSE('portfolio_RET_30%'!E16:G16)))</f>
        <v>3.3945170192096093E-3</v>
      </c>
      <c r="K16" s="7">
        <f t="shared" si="2"/>
        <v>5.8262483805701329E-2</v>
      </c>
      <c r="L16" s="7">
        <f t="shared" si="3"/>
        <v>0.26019968108321301</v>
      </c>
      <c r="M16" s="8">
        <f>I16+pivot_RET!$P$2</f>
        <v>1.6686965000000005E-2</v>
      </c>
    </row>
    <row r="17" spans="1:13" x14ac:dyDescent="0.25">
      <c r="A17">
        <v>0.1</v>
      </c>
      <c r="B17">
        <v>0.4</v>
      </c>
      <c r="C17">
        <f t="shared" si="0"/>
        <v>0.5</v>
      </c>
      <c r="D17" t="b">
        <f t="shared" si="1"/>
        <v>1</v>
      </c>
      <c r="E17" s="2">
        <v>0.1</v>
      </c>
      <c r="F17" s="2">
        <v>0.4</v>
      </c>
      <c r="G17" s="2">
        <v>0.5</v>
      </c>
      <c r="H17" t="b">
        <v>1</v>
      </c>
      <c r="I17" s="7">
        <f>SUMPRODUCT(E17:G17, pivot_RET!$M$7:$O$7)</f>
        <v>1.3946743038692679E-2</v>
      </c>
      <c r="J17" s="7" cm="1">
        <f t="array" ref="J17">MMULT(E17:G17,MMULT(pivot_RET!$M$16:$O$18,TRANSPOSE('portfolio_RET_30%'!E17:G17)))</f>
        <v>2.9411980642903646E-3</v>
      </c>
      <c r="K17" s="7">
        <f t="shared" si="2"/>
        <v>5.4232813538395409E-2</v>
      </c>
      <c r="L17" s="7">
        <f t="shared" si="3"/>
        <v>0.2571642909291208</v>
      </c>
      <c r="M17" s="8">
        <f>I17+pivot_RET!$P$2</f>
        <v>1.5473828333333335E-2</v>
      </c>
    </row>
    <row r="18" spans="1:13" x14ac:dyDescent="0.25">
      <c r="A18">
        <v>0.1</v>
      </c>
      <c r="B18">
        <v>0.5</v>
      </c>
      <c r="C18">
        <f t="shared" si="0"/>
        <v>0.4</v>
      </c>
      <c r="D18" t="b">
        <f t="shared" si="1"/>
        <v>1</v>
      </c>
      <c r="E18" s="2">
        <v>0.1</v>
      </c>
      <c r="F18" s="2">
        <v>0.5</v>
      </c>
      <c r="G18" s="2">
        <v>0.4</v>
      </c>
      <c r="H18" t="b">
        <v>1</v>
      </c>
      <c r="I18" s="7">
        <f>SUMPRODUCT(E18:G18, pivot_RET!$M$7:$O$7)</f>
        <v>1.2733606372026012E-2</v>
      </c>
      <c r="J18" s="7" cm="1">
        <f t="array" ref="J18">MMULT(E18:G18,MMULT(pivot_RET!$M$16:$O$18,TRANSPOSE('portfolio_RET_30%'!E18:G18)))</f>
        <v>2.6077682676290976E-3</v>
      </c>
      <c r="K18" s="7">
        <f t="shared" si="2"/>
        <v>5.1066312453799695E-2</v>
      </c>
      <c r="L18" s="7">
        <f t="shared" si="3"/>
        <v>0.24935433478863897</v>
      </c>
      <c r="M18" s="8">
        <f>I18+pivot_RET!$P$2</f>
        <v>1.4260691666666669E-2</v>
      </c>
    </row>
    <row r="19" spans="1:13" x14ac:dyDescent="0.25">
      <c r="A19">
        <v>0.1</v>
      </c>
      <c r="B19">
        <v>0.6</v>
      </c>
      <c r="C19">
        <f t="shared" si="0"/>
        <v>0.30000000000000004</v>
      </c>
      <c r="D19" t="b">
        <f t="shared" si="1"/>
        <v>1</v>
      </c>
      <c r="E19" s="2">
        <v>0.1</v>
      </c>
      <c r="F19" s="2">
        <v>0.6</v>
      </c>
      <c r="G19" s="2">
        <v>0.30000000000000004</v>
      </c>
      <c r="H19" t="b">
        <v>1</v>
      </c>
      <c r="I19" s="7">
        <f>SUMPRODUCT(E19:G19, pivot_RET!$M$7:$O$7)</f>
        <v>1.1520469705359346E-2</v>
      </c>
      <c r="J19" s="7" cm="1">
        <f t="array" ref="J19">MMULT(E19:G19,MMULT(pivot_RET!$M$16:$O$18,TRANSPOSE('portfolio_RET_30%'!E19:G19)))</f>
        <v>2.3942276292258091E-3</v>
      </c>
      <c r="K19" s="7">
        <f t="shared" si="2"/>
        <v>4.8930845376161332E-2</v>
      </c>
      <c r="L19" s="7">
        <f t="shared" si="3"/>
        <v>0.23544391307353163</v>
      </c>
      <c r="M19" s="8">
        <f>I19+pivot_RET!$P$2</f>
        <v>1.3047555000000002E-2</v>
      </c>
    </row>
    <row r="20" spans="1:13" x14ac:dyDescent="0.25">
      <c r="A20">
        <v>0.1</v>
      </c>
      <c r="B20">
        <v>0.7</v>
      </c>
      <c r="C20">
        <f t="shared" si="0"/>
        <v>0.20000000000000007</v>
      </c>
      <c r="D20" t="b">
        <f t="shared" si="1"/>
        <v>1</v>
      </c>
      <c r="E20" s="2">
        <v>0.1</v>
      </c>
      <c r="F20" s="2">
        <v>0.7</v>
      </c>
      <c r="G20" s="2">
        <v>0.20000000000000007</v>
      </c>
      <c r="H20" t="b">
        <v>1</v>
      </c>
      <c r="I20" s="7">
        <f>SUMPRODUCT(E20:G20, pivot_RET!$M$7:$O$7)</f>
        <v>1.0307333038692679E-2</v>
      </c>
      <c r="J20" s="7" cm="1">
        <f t="array" ref="J20">MMULT(E20:G20,MMULT(pivot_RET!$M$16:$O$18,TRANSPOSE('portfolio_RET_30%'!E20:G20)))</f>
        <v>2.3005761490804974E-3</v>
      </c>
      <c r="K20" s="7">
        <f t="shared" si="2"/>
        <v>4.7964321626397445E-2</v>
      </c>
      <c r="L20" s="7">
        <f t="shared" si="3"/>
        <v>0.21489583693017308</v>
      </c>
      <c r="M20" s="8">
        <f>I20+pivot_RET!$P$2</f>
        <v>1.1834418333333336E-2</v>
      </c>
    </row>
    <row r="21" spans="1:13" x14ac:dyDescent="0.25">
      <c r="A21">
        <v>0.1</v>
      </c>
      <c r="B21">
        <v>0.8</v>
      </c>
      <c r="C21">
        <f t="shared" si="0"/>
        <v>9.9999999999999978E-2</v>
      </c>
      <c r="D21" t="b">
        <f t="shared" si="1"/>
        <v>1</v>
      </c>
      <c r="E21" s="2">
        <v>0.1</v>
      </c>
      <c r="F21" s="2">
        <v>0.8</v>
      </c>
      <c r="G21" s="2">
        <v>9.9999999999999978E-2</v>
      </c>
      <c r="H21" t="b">
        <v>1</v>
      </c>
      <c r="I21" s="7">
        <f>SUMPRODUCT(E21:G21, pivot_RET!$M$7:$O$7)</f>
        <v>9.0941963720260113E-3</v>
      </c>
      <c r="J21" s="7" cm="1">
        <f t="array" ref="J21">MMULT(E21:G21,MMULT(pivot_RET!$M$16:$O$18,TRANSPOSE('portfolio_RET_30%'!E21:G21)))</f>
        <v>2.3268138271931643E-3</v>
      </c>
      <c r="K21" s="7">
        <f t="shared" si="2"/>
        <v>4.8237058649892452E-2</v>
      </c>
      <c r="L21" s="7">
        <f t="shared" si="3"/>
        <v>0.18853132066016401</v>
      </c>
      <c r="M21" s="8">
        <f>I21+pivot_RET!$P$2</f>
        <v>1.0621281666666668E-2</v>
      </c>
    </row>
    <row r="22" spans="1:13" x14ac:dyDescent="0.25">
      <c r="A22">
        <v>0.1</v>
      </c>
      <c r="B22">
        <v>0.9</v>
      </c>
      <c r="C22">
        <f t="shared" si="0"/>
        <v>0</v>
      </c>
      <c r="D22" t="b">
        <f t="shared" si="1"/>
        <v>1</v>
      </c>
      <c r="E22" s="2">
        <v>0.1</v>
      </c>
      <c r="F22" s="2">
        <v>0.9</v>
      </c>
      <c r="G22" s="2">
        <v>0</v>
      </c>
      <c r="H22" t="b">
        <v>1</v>
      </c>
      <c r="I22" s="7">
        <f>SUMPRODUCT(E22:G22, pivot_RET!$M$7:$O$7)</f>
        <v>7.8810597053593449E-3</v>
      </c>
      <c r="J22" s="7" cm="1">
        <f t="array" ref="J22">MMULT(E22:G22,MMULT(pivot_RET!$M$16:$O$18,TRANSPOSE('portfolio_RET_30%'!E22:G22)))</f>
        <v>2.4729406635638084E-3</v>
      </c>
      <c r="K22" s="7">
        <f t="shared" si="2"/>
        <v>4.972867043832771E-2</v>
      </c>
      <c r="L22" s="7">
        <f t="shared" si="3"/>
        <v>0.15848120683486289</v>
      </c>
      <c r="M22" s="8">
        <f>I22+pivot_RET!$P$2</f>
        <v>9.4081450000000014E-3</v>
      </c>
    </row>
    <row r="23" spans="1:13" x14ac:dyDescent="0.25">
      <c r="A23">
        <v>0.1</v>
      </c>
      <c r="B23">
        <v>1</v>
      </c>
      <c r="C23">
        <f t="shared" si="0"/>
        <v>-9.9999999999999978E-2</v>
      </c>
      <c r="D23" t="b">
        <f t="shared" si="1"/>
        <v>1</v>
      </c>
      <c r="E23" s="2">
        <v>0.2</v>
      </c>
      <c r="F23" s="2">
        <v>0</v>
      </c>
      <c r="G23" s="2">
        <v>0.8</v>
      </c>
      <c r="H23" t="b">
        <v>1</v>
      </c>
      <c r="I23" s="7">
        <f>SUMPRODUCT(E23:G23, pivot_RET!$M$7:$O$7)</f>
        <v>1.9304614705359349E-2</v>
      </c>
      <c r="J23" s="7" cm="1">
        <f t="array" ref="J23">MMULT(E23:G23,MMULT(pivot_RET!$M$16:$O$18,TRANSPOSE('portfolio_RET_30%'!E23:G23)))</f>
        <v>5.0363558578833349E-3</v>
      </c>
      <c r="K23" s="7">
        <f t="shared" si="2"/>
        <v>7.0967287237736057E-2</v>
      </c>
      <c r="L23" s="7">
        <f t="shared" si="3"/>
        <v>0.27202131371726346</v>
      </c>
      <c r="M23" s="8">
        <f>I23+pivot_RET!$P$2</f>
        <v>2.0831700000000005E-2</v>
      </c>
    </row>
    <row r="24" spans="1:13" x14ac:dyDescent="0.25">
      <c r="A24">
        <v>0.2</v>
      </c>
      <c r="B24">
        <v>0</v>
      </c>
      <c r="C24">
        <f t="shared" si="0"/>
        <v>0.8</v>
      </c>
      <c r="D24" t="b">
        <f t="shared" si="1"/>
        <v>1</v>
      </c>
      <c r="E24" s="2">
        <v>0.2</v>
      </c>
      <c r="F24" s="2">
        <v>0.1</v>
      </c>
      <c r="G24" s="2">
        <v>0.70000000000000007</v>
      </c>
      <c r="H24" t="b">
        <v>1</v>
      </c>
      <c r="I24" s="7">
        <f>SUMPRODUCT(E24:G24, pivot_RET!$M$7:$O$7)</f>
        <v>1.8091478038692682E-2</v>
      </c>
      <c r="J24" s="7" cm="1">
        <f t="array" ref="J24">MMULT(E24:G24,MMULT(pivot_RET!$M$16:$O$18,TRANSPOSE('portfolio_RET_30%'!E24:G24)))</f>
        <v>4.2730492661709907E-3</v>
      </c>
      <c r="K24" s="7">
        <f t="shared" si="2"/>
        <v>6.5368564816515526E-2</v>
      </c>
      <c r="L24" s="7">
        <f t="shared" si="3"/>
        <v>0.27676113265564345</v>
      </c>
      <c r="M24" s="8">
        <f>I24+pivot_RET!$P$2</f>
        <v>1.9618563333333339E-2</v>
      </c>
    </row>
    <row r="25" spans="1:13" x14ac:dyDescent="0.25">
      <c r="A25">
        <v>0.2</v>
      </c>
      <c r="B25">
        <v>0.1</v>
      </c>
      <c r="C25">
        <f t="shared" si="0"/>
        <v>0.70000000000000007</v>
      </c>
      <c r="D25" t="b">
        <f t="shared" si="1"/>
        <v>1</v>
      </c>
      <c r="E25" s="2">
        <v>0.2</v>
      </c>
      <c r="F25" s="2">
        <v>0.2</v>
      </c>
      <c r="G25" s="2">
        <v>0.60000000000000009</v>
      </c>
      <c r="H25" t="b">
        <v>1</v>
      </c>
      <c r="I25" s="7">
        <f>SUMPRODUCT(E25:G25, pivot_RET!$M$7:$O$7)</f>
        <v>1.6878341372026016E-2</v>
      </c>
      <c r="J25" s="7" cm="1">
        <f t="array" ref="J25">MMULT(E25:G25,MMULT(pivot_RET!$M$16:$O$18,TRANSPOSE('portfolio_RET_30%'!E25:G25)))</f>
        <v>3.6296318327166239E-3</v>
      </c>
      <c r="K25" s="7">
        <f t="shared" si="2"/>
        <v>6.024642589163795E-2</v>
      </c>
      <c r="L25" s="7">
        <f t="shared" si="3"/>
        <v>0.28015506517157041</v>
      </c>
      <c r="M25" s="8">
        <f>I25+pivot_RET!$P$2</f>
        <v>1.8405426666666672E-2</v>
      </c>
    </row>
    <row r="26" spans="1:13" x14ac:dyDescent="0.25">
      <c r="A26">
        <v>0.2</v>
      </c>
      <c r="B26">
        <v>0.2</v>
      </c>
      <c r="C26">
        <f t="shared" si="0"/>
        <v>0.60000000000000009</v>
      </c>
      <c r="D26" t="b">
        <f t="shared" si="1"/>
        <v>1</v>
      </c>
      <c r="E26" s="2">
        <v>0.2</v>
      </c>
      <c r="F26" s="2">
        <v>0.3</v>
      </c>
      <c r="G26" s="2">
        <v>0.5</v>
      </c>
      <c r="H26" t="b">
        <v>1</v>
      </c>
      <c r="I26" s="7">
        <f>SUMPRODUCT(E26:G26, pivot_RET!$M$7:$O$7)</f>
        <v>1.5665204705359349E-2</v>
      </c>
      <c r="J26" s="7" cm="1">
        <f t="array" ref="J26">MMULT(E26:G26,MMULT(pivot_RET!$M$16:$O$18,TRANSPOSE('portfolio_RET_30%'!E26:G26)))</f>
        <v>3.1061035575202338E-3</v>
      </c>
      <c r="K26" s="7">
        <f t="shared" si="2"/>
        <v>5.5732428239941546E-2</v>
      </c>
      <c r="L26" s="7">
        <f t="shared" si="3"/>
        <v>0.28107881174523502</v>
      </c>
      <c r="M26" s="8">
        <f>I26+pivot_RET!$P$2</f>
        <v>1.7192290000000006E-2</v>
      </c>
    </row>
    <row r="27" spans="1:13" x14ac:dyDescent="0.25">
      <c r="A27">
        <v>0.2</v>
      </c>
      <c r="B27">
        <v>0.3</v>
      </c>
      <c r="C27">
        <f t="shared" si="0"/>
        <v>0.5</v>
      </c>
      <c r="D27" t="b">
        <f t="shared" si="1"/>
        <v>1</v>
      </c>
      <c r="E27" s="2">
        <v>0.2</v>
      </c>
      <c r="F27" s="2">
        <v>0.4</v>
      </c>
      <c r="G27" s="2">
        <v>0.4</v>
      </c>
      <c r="H27" t="b">
        <v>1</v>
      </c>
      <c r="I27" s="7">
        <f>SUMPRODUCT(E27:G27, pivot_RET!$M$7:$O$7)</f>
        <v>1.4452068038692679E-2</v>
      </c>
      <c r="J27" s="7" cm="1">
        <f t="array" ref="J27">MMULT(E27:G27,MMULT(pivot_RET!$M$16:$O$18,TRANSPOSE('portfolio_RET_30%'!E27:G27)))</f>
        <v>2.7024644405818227E-3</v>
      </c>
      <c r="K27" s="7">
        <f t="shared" si="2"/>
        <v>5.1985232908796537E-2</v>
      </c>
      <c r="L27" s="7">
        <f t="shared" si="3"/>
        <v>0.27800333344754935</v>
      </c>
      <c r="M27" s="8">
        <f>I27+pivot_RET!$P$2</f>
        <v>1.5979153333333336E-2</v>
      </c>
    </row>
    <row r="28" spans="1:13" x14ac:dyDescent="0.25">
      <c r="A28">
        <v>0.2</v>
      </c>
      <c r="B28">
        <v>0.4</v>
      </c>
      <c r="C28">
        <f t="shared" si="0"/>
        <v>0.4</v>
      </c>
      <c r="D28" t="b">
        <f t="shared" si="1"/>
        <v>1</v>
      </c>
      <c r="E28" s="2">
        <v>0.2</v>
      </c>
      <c r="F28" s="2">
        <v>0.5</v>
      </c>
      <c r="G28" s="2">
        <v>0.30000000000000004</v>
      </c>
      <c r="H28" t="b">
        <v>1</v>
      </c>
      <c r="I28" s="7">
        <f>SUMPRODUCT(E28:G28, pivot_RET!$M$7:$O$7)</f>
        <v>1.3238931372026013E-2</v>
      </c>
      <c r="J28" s="7" cm="1">
        <f t="array" ref="J28">MMULT(E28:G28,MMULT(pivot_RET!$M$16:$O$18,TRANSPOSE('portfolio_RET_30%'!E28:G28)))</f>
        <v>2.4187144819013892E-3</v>
      </c>
      <c r="K28" s="7">
        <f t="shared" si="2"/>
        <v>4.9180427833655421E-2</v>
      </c>
      <c r="L28" s="7">
        <f t="shared" si="3"/>
        <v>0.2691910574020317</v>
      </c>
      <c r="M28" s="8">
        <f>I28+pivot_RET!$P$2</f>
        <v>1.476601666666667E-2</v>
      </c>
    </row>
    <row r="29" spans="1:13" x14ac:dyDescent="0.25">
      <c r="A29">
        <v>0.2</v>
      </c>
      <c r="B29">
        <v>0.5</v>
      </c>
      <c r="C29">
        <f t="shared" si="0"/>
        <v>0.30000000000000004</v>
      </c>
      <c r="D29" t="b">
        <f t="shared" si="1"/>
        <v>1</v>
      </c>
      <c r="E29" s="2">
        <v>0.2</v>
      </c>
      <c r="F29" s="2">
        <v>0.6</v>
      </c>
      <c r="G29" s="2">
        <v>0.20000000000000007</v>
      </c>
      <c r="H29" t="b">
        <v>1</v>
      </c>
      <c r="I29" s="7">
        <f>SUMPRODUCT(E29:G29, pivot_RET!$M$7:$O$7)</f>
        <v>1.2025794705359347E-2</v>
      </c>
      <c r="J29" s="7" cm="1">
        <f t="array" ref="J29">MMULT(E29:G29,MMULT(pivot_RET!$M$16:$O$18,TRANSPOSE('portfolio_RET_30%'!E29:G29)))</f>
        <v>2.2548536814789339E-3</v>
      </c>
      <c r="K29" s="7">
        <f t="shared" si="2"/>
        <v>4.7485299635560203E-2</v>
      </c>
      <c r="L29" s="7">
        <f t="shared" si="3"/>
        <v>0.25325300245875709</v>
      </c>
      <c r="M29" s="8">
        <f>I29+pivot_RET!$P$2</f>
        <v>1.3552880000000003E-2</v>
      </c>
    </row>
    <row r="30" spans="1:13" x14ac:dyDescent="0.25">
      <c r="A30">
        <v>0.2</v>
      </c>
      <c r="B30">
        <v>0.6</v>
      </c>
      <c r="C30">
        <f t="shared" si="0"/>
        <v>0.20000000000000007</v>
      </c>
      <c r="D30" t="b">
        <f t="shared" si="1"/>
        <v>1</v>
      </c>
      <c r="E30" s="2">
        <v>0.2</v>
      </c>
      <c r="F30" s="2">
        <v>0.7</v>
      </c>
      <c r="G30" s="2">
        <v>0.10000000000000009</v>
      </c>
      <c r="H30" t="b">
        <v>1</v>
      </c>
      <c r="I30" s="7">
        <f>SUMPRODUCT(E30:G30, pivot_RET!$M$7:$O$7)</f>
        <v>1.081265803869268E-2</v>
      </c>
      <c r="J30" s="7" cm="1">
        <f t="array" ref="J30">MMULT(E30:G30,MMULT(pivot_RET!$M$16:$O$18,TRANSPOSE('portfolio_RET_30%'!E30:G30)))</f>
        <v>2.2108820393144557E-3</v>
      </c>
      <c r="K30" s="7">
        <f t="shared" si="2"/>
        <v>4.7020017432094344E-2</v>
      </c>
      <c r="L30" s="7">
        <f t="shared" si="3"/>
        <v>0.22995861399473472</v>
      </c>
      <c r="M30" s="8">
        <f>I30+pivot_RET!$P$2</f>
        <v>1.2339743333333337E-2</v>
      </c>
    </row>
    <row r="31" spans="1:13" x14ac:dyDescent="0.25">
      <c r="A31">
        <v>0.2</v>
      </c>
      <c r="B31">
        <v>0.7</v>
      </c>
      <c r="C31">
        <f t="shared" si="0"/>
        <v>0.10000000000000009</v>
      </c>
      <c r="D31" t="b">
        <f t="shared" si="1"/>
        <v>1</v>
      </c>
      <c r="E31" s="2">
        <v>0.2</v>
      </c>
      <c r="F31" s="2">
        <v>0.8</v>
      </c>
      <c r="G31" s="2">
        <v>0</v>
      </c>
      <c r="H31" t="b">
        <v>1</v>
      </c>
      <c r="I31" s="7">
        <f>SUMPRODUCT(E31:G31, pivot_RET!$M$7:$O$7)</f>
        <v>9.5995213720260122E-3</v>
      </c>
      <c r="J31" s="7" cm="1">
        <f t="array" ref="J31">MMULT(E31:G31,MMULT(pivot_RET!$M$16:$O$18,TRANSPOSE('portfolio_RET_30%'!E31:G31)))</f>
        <v>2.2867995554079557E-3</v>
      </c>
      <c r="K31" s="7">
        <f t="shared" si="2"/>
        <v>4.7820493048566066E-2</v>
      </c>
      <c r="L31" s="7">
        <f t="shared" si="3"/>
        <v>0.20074074439752898</v>
      </c>
      <c r="M31" s="8">
        <f>I31+pivot_RET!$P$2</f>
        <v>1.1126606666666669E-2</v>
      </c>
    </row>
    <row r="32" spans="1:13" x14ac:dyDescent="0.25">
      <c r="A32">
        <v>0.2</v>
      </c>
      <c r="B32">
        <v>0.8</v>
      </c>
      <c r="C32">
        <f t="shared" si="0"/>
        <v>0</v>
      </c>
      <c r="D32" t="b">
        <f t="shared" si="1"/>
        <v>1</v>
      </c>
      <c r="E32" s="2">
        <v>0.3</v>
      </c>
      <c r="F32" s="2">
        <v>0</v>
      </c>
      <c r="G32" s="2">
        <v>0.7</v>
      </c>
      <c r="H32" t="b">
        <v>1</v>
      </c>
      <c r="I32" s="7">
        <f>SUMPRODUCT(E32:G32, pivot_RET!$M$7:$O$7)</f>
        <v>1.9809939705359346E-2</v>
      </c>
      <c r="J32" s="7" cm="1">
        <f t="array" ref="J32">MMULT(E32:G32,MMULT(pivot_RET!$M$16:$O$18,TRANSPOSE('portfolio_RET_30%'!E32:G32)))</f>
        <v>4.6662251884518752E-3</v>
      </c>
      <c r="K32" s="7">
        <f t="shared" si="2"/>
        <v>6.8309773740306556E-2</v>
      </c>
      <c r="L32" s="7">
        <f t="shared" si="3"/>
        <v>0.2900015418096808</v>
      </c>
      <c r="M32" s="8">
        <f>I32+pivot_RET!$P$2</f>
        <v>2.1337025000000003E-2</v>
      </c>
    </row>
    <row r="33" spans="1:13" x14ac:dyDescent="0.25">
      <c r="A33">
        <v>0.2</v>
      </c>
      <c r="B33">
        <v>0.9</v>
      </c>
      <c r="C33">
        <f t="shared" si="0"/>
        <v>-9.9999999999999978E-2</v>
      </c>
      <c r="D33" t="b">
        <f t="shared" si="1"/>
        <v>1</v>
      </c>
      <c r="E33" s="2">
        <v>0.3</v>
      </c>
      <c r="F33" s="2">
        <v>0.1</v>
      </c>
      <c r="G33" s="2">
        <v>0.6</v>
      </c>
      <c r="H33" t="b">
        <v>1</v>
      </c>
      <c r="I33" s="7">
        <f>SUMPRODUCT(E33:G33, pivot_RET!$M$7:$O$7)</f>
        <v>1.859680303869268E-2</v>
      </c>
      <c r="J33" s="7" cm="1">
        <f t="array" ref="J33">MMULT(E33:G33,MMULT(pivot_RET!$M$16:$O$18,TRANSPOSE('portfolio_RET_30%'!E33:G33)))</f>
        <v>3.9525984347203637E-3</v>
      </c>
      <c r="K33" s="7">
        <f t="shared" si="2"/>
        <v>6.2869694088013212E-2</v>
      </c>
      <c r="L33" s="7">
        <f t="shared" si="3"/>
        <v>0.29579916537622158</v>
      </c>
      <c r="M33" s="8">
        <f>I33+pivot_RET!$P$2</f>
        <v>2.0123888333333336E-2</v>
      </c>
    </row>
    <row r="34" spans="1:13" x14ac:dyDescent="0.25">
      <c r="A34">
        <v>0.2</v>
      </c>
      <c r="B34">
        <v>1</v>
      </c>
      <c r="C34">
        <f t="shared" si="0"/>
        <v>-0.19999999999999996</v>
      </c>
      <c r="D34" t="b">
        <f t="shared" si="1"/>
        <v>1</v>
      </c>
      <c r="E34" s="2">
        <v>0.3</v>
      </c>
      <c r="F34" s="2">
        <v>0.2</v>
      </c>
      <c r="G34" s="2">
        <v>0.49999999999999994</v>
      </c>
      <c r="H34" t="b">
        <v>1</v>
      </c>
      <c r="I34" s="7">
        <f>SUMPRODUCT(E34:G34, pivot_RET!$M$7:$O$7)</f>
        <v>1.7383666372026013E-2</v>
      </c>
      <c r="J34" s="7" cm="1">
        <f t="array" ref="J34">MMULT(E34:G34,MMULT(pivot_RET!$M$16:$O$18,TRANSPOSE('portfolio_RET_30%'!E34:G34)))</f>
        <v>3.35886083924683E-3</v>
      </c>
      <c r="K34" s="7">
        <f t="shared" si="2"/>
        <v>5.7955679956729261E-2</v>
      </c>
      <c r="L34" s="7">
        <f t="shared" si="3"/>
        <v>0.29994758727712223</v>
      </c>
      <c r="M34" s="8">
        <f>I34+pivot_RET!$P$2</f>
        <v>1.891075166666667E-2</v>
      </c>
    </row>
    <row r="35" spans="1:13" x14ac:dyDescent="0.25">
      <c r="A35">
        <v>0.3</v>
      </c>
      <c r="B35">
        <v>0</v>
      </c>
      <c r="C35">
        <f t="shared" si="0"/>
        <v>0.7</v>
      </c>
      <c r="D35" t="b">
        <f t="shared" si="1"/>
        <v>1</v>
      </c>
      <c r="E35" s="2">
        <v>0.3</v>
      </c>
      <c r="F35" s="2">
        <v>0.3</v>
      </c>
      <c r="G35" s="2">
        <v>0.39999999999999997</v>
      </c>
      <c r="H35" t="b">
        <v>1</v>
      </c>
      <c r="I35" s="7">
        <f>SUMPRODUCT(E35:G35, pivot_RET!$M$7:$O$7)</f>
        <v>1.6170529705359347E-2</v>
      </c>
      <c r="J35" s="7" cm="1">
        <f t="array" ref="J35">MMULT(E35:G35,MMULT(pivot_RET!$M$16:$O$18,TRANSPOSE('portfolio_RET_30%'!E35:G35)))</f>
        <v>2.8850124020312748E-3</v>
      </c>
      <c r="K35" s="7">
        <f t="shared" si="2"/>
        <v>5.3712311456790562E-2</v>
      </c>
      <c r="L35" s="7">
        <f t="shared" si="3"/>
        <v>0.3010581609091223</v>
      </c>
      <c r="M35" s="8">
        <f>I35+pivot_RET!$P$2</f>
        <v>1.7697615000000003E-2</v>
      </c>
    </row>
    <row r="36" spans="1:13" x14ac:dyDescent="0.25">
      <c r="A36">
        <v>0.3</v>
      </c>
      <c r="B36">
        <v>0.1</v>
      </c>
      <c r="C36">
        <f t="shared" si="0"/>
        <v>0.6</v>
      </c>
      <c r="D36" t="b">
        <f t="shared" si="1"/>
        <v>1</v>
      </c>
      <c r="E36" s="2">
        <v>0.3</v>
      </c>
      <c r="F36" s="2">
        <v>0.4</v>
      </c>
      <c r="G36" s="2">
        <v>0.29999999999999993</v>
      </c>
      <c r="H36" t="b">
        <v>1</v>
      </c>
      <c r="I36" s="7">
        <f>SUMPRODUCT(E36:G36, pivot_RET!$M$7:$O$7)</f>
        <v>1.4957393038692679E-2</v>
      </c>
      <c r="J36" s="7" cm="1">
        <f t="array" ref="J36">MMULT(E36:G36,MMULT(pivot_RET!$M$16:$O$18,TRANSPOSE('portfolio_RET_30%'!E36:G36)))</f>
        <v>2.5310531230736972E-3</v>
      </c>
      <c r="K36" s="7">
        <f t="shared" si="2"/>
        <v>5.0309572877074771E-2</v>
      </c>
      <c r="L36" s="7">
        <f t="shared" si="3"/>
        <v>0.29730709650903264</v>
      </c>
      <c r="M36" s="8">
        <f>I36+pivot_RET!$P$2</f>
        <v>1.6484478333333333E-2</v>
      </c>
    </row>
    <row r="37" spans="1:13" x14ac:dyDescent="0.25">
      <c r="A37">
        <v>0.3</v>
      </c>
      <c r="B37">
        <v>0.2</v>
      </c>
      <c r="C37">
        <f t="shared" si="0"/>
        <v>0.49999999999999994</v>
      </c>
      <c r="D37" t="b">
        <f t="shared" si="1"/>
        <v>1</v>
      </c>
      <c r="E37" s="2">
        <v>0.3</v>
      </c>
      <c r="F37" s="2">
        <v>0.5</v>
      </c>
      <c r="G37" s="2">
        <v>0.19999999999999996</v>
      </c>
      <c r="H37" t="b">
        <v>1</v>
      </c>
      <c r="I37" s="7">
        <f>SUMPRODUCT(E37:G37, pivot_RET!$M$7:$O$7)</f>
        <v>1.3744256372026012E-2</v>
      </c>
      <c r="J37" s="7" cm="1">
        <f t="array" ref="J37">MMULT(E37:G37,MMULT(pivot_RET!$M$16:$O$18,TRANSPOSE('portfolio_RET_30%'!E37:G37)))</f>
        <v>2.2969830023740973E-3</v>
      </c>
      <c r="K37" s="7">
        <f t="shared" si="2"/>
        <v>4.7926850536772155E-2</v>
      </c>
      <c r="L37" s="7">
        <f t="shared" si="3"/>
        <v>0.28677570543636394</v>
      </c>
      <c r="M37" s="8">
        <f>I37+pivot_RET!$P$2</f>
        <v>1.5271341666666669E-2</v>
      </c>
    </row>
    <row r="38" spans="1:13" x14ac:dyDescent="0.25">
      <c r="A38">
        <v>0.3</v>
      </c>
      <c r="B38">
        <v>0.3</v>
      </c>
      <c r="C38">
        <f t="shared" si="0"/>
        <v>0.39999999999999997</v>
      </c>
      <c r="D38" t="b">
        <f t="shared" si="1"/>
        <v>1</v>
      </c>
      <c r="E38" s="2">
        <v>0.3</v>
      </c>
      <c r="F38" s="2">
        <v>0.6</v>
      </c>
      <c r="G38" s="2">
        <v>9.9999999999999978E-2</v>
      </c>
      <c r="H38" t="b">
        <v>1</v>
      </c>
      <c r="I38" s="7">
        <f>SUMPRODUCT(E38:G38, pivot_RET!$M$7:$O$7)</f>
        <v>1.2531119705359344E-2</v>
      </c>
      <c r="J38" s="7" cm="1">
        <f t="array" ref="J38">MMULT(E38:G38,MMULT(pivot_RET!$M$16:$O$18,TRANSPOSE('portfolio_RET_30%'!E38:G38)))</f>
        <v>2.182802039932475E-3</v>
      </c>
      <c r="K38" s="7">
        <f t="shared" si="2"/>
        <v>4.672046703461423E-2</v>
      </c>
      <c r="L38" s="7">
        <f t="shared" si="3"/>
        <v>0.2682147782485842</v>
      </c>
      <c r="M38" s="8">
        <f>I38+pivot_RET!$P$2</f>
        <v>1.4058205000000001E-2</v>
      </c>
    </row>
    <row r="39" spans="1:13" x14ac:dyDescent="0.25">
      <c r="A39">
        <v>0.3</v>
      </c>
      <c r="B39">
        <v>0.4</v>
      </c>
      <c r="C39">
        <f t="shared" si="0"/>
        <v>0.29999999999999993</v>
      </c>
      <c r="D39" t="b">
        <f t="shared" si="1"/>
        <v>1</v>
      </c>
      <c r="E39" s="2">
        <v>0.3</v>
      </c>
      <c r="F39" s="2">
        <v>0.7</v>
      </c>
      <c r="G39" s="2">
        <v>0</v>
      </c>
      <c r="H39" t="b">
        <v>1</v>
      </c>
      <c r="I39" s="7">
        <f>SUMPRODUCT(E39:G39, pivot_RET!$M$7:$O$7)</f>
        <v>1.1317983038692678E-2</v>
      </c>
      <c r="J39" s="7" cm="1">
        <f t="array" ref="J39">MMULT(E39:G39,MMULT(pivot_RET!$M$16:$O$18,TRANSPOSE('portfolio_RET_30%'!E39:G39)))</f>
        <v>2.1885102357488305E-3</v>
      </c>
      <c r="K39" s="7">
        <f t="shared" si="2"/>
        <v>4.6781515962491325E-2</v>
      </c>
      <c r="L39" s="7">
        <f t="shared" si="3"/>
        <v>0.24193279772650497</v>
      </c>
      <c r="M39" s="8">
        <f>I39+pivot_RET!$P$2</f>
        <v>1.2845068333333334E-2</v>
      </c>
    </row>
    <row r="40" spans="1:13" x14ac:dyDescent="0.25">
      <c r="A40">
        <v>0.3</v>
      </c>
      <c r="B40">
        <v>0.5</v>
      </c>
      <c r="C40">
        <f t="shared" si="0"/>
        <v>0.19999999999999996</v>
      </c>
      <c r="D40" t="b">
        <f t="shared" si="1"/>
        <v>1</v>
      </c>
      <c r="E40" s="2">
        <v>0.4</v>
      </c>
      <c r="F40" s="2">
        <v>0</v>
      </c>
      <c r="G40" s="2">
        <v>0.6</v>
      </c>
      <c r="H40" t="b">
        <v>1</v>
      </c>
      <c r="I40" s="7">
        <f>SUMPRODUCT(E40:G40, pivot_RET!$M$7:$O$7)</f>
        <v>2.0315264705359347E-2</v>
      </c>
      <c r="J40" s="7" cm="1">
        <f t="array" ref="J40">MMULT(E40:G40,MMULT(pivot_RET!$M$16:$O$18,TRANSPOSE('portfolio_RET_30%'!E40:G40)))</f>
        <v>4.3634168252208337E-3</v>
      </c>
      <c r="K40" s="7">
        <f t="shared" si="2"/>
        <v>6.6056164172776738E-2</v>
      </c>
      <c r="L40" s="7">
        <f t="shared" si="3"/>
        <v>0.30754532843025323</v>
      </c>
      <c r="M40" s="8">
        <f>I40+pivot_RET!$P$2</f>
        <v>2.1842350000000003E-2</v>
      </c>
    </row>
    <row r="41" spans="1:13" x14ac:dyDescent="0.25">
      <c r="A41">
        <v>0.3</v>
      </c>
      <c r="B41">
        <v>0.6</v>
      </c>
      <c r="C41">
        <f t="shared" si="0"/>
        <v>9.9999999999999978E-2</v>
      </c>
      <c r="D41" t="b">
        <f t="shared" si="1"/>
        <v>1</v>
      </c>
      <c r="E41" s="2">
        <v>0.4</v>
      </c>
      <c r="F41" s="2">
        <v>0.1</v>
      </c>
      <c r="G41" s="2">
        <v>0.5</v>
      </c>
      <c r="H41" t="b">
        <v>1</v>
      </c>
      <c r="I41" s="7">
        <f>SUMPRODUCT(E41:G41, pivot_RET!$M$7:$O$7)</f>
        <v>1.9102128038692684E-2</v>
      </c>
      <c r="J41" s="7" cm="1">
        <f t="array" ref="J41">MMULT(E41:G41,MMULT(pivot_RET!$M$16:$O$18,TRANSPOSE('portfolio_RET_30%'!E41:G41)))</f>
        <v>3.6994699094701558E-3</v>
      </c>
      <c r="K41" s="7">
        <f t="shared" si="2"/>
        <v>6.0823267829590973E-2</v>
      </c>
      <c r="L41" s="7">
        <f t="shared" si="3"/>
        <v>0.31405954859596275</v>
      </c>
      <c r="M41" s="8">
        <f>I41+pivot_RET!$P$2</f>
        <v>2.0629213333333341E-2</v>
      </c>
    </row>
    <row r="42" spans="1:13" x14ac:dyDescent="0.25">
      <c r="A42">
        <v>0.3</v>
      </c>
      <c r="B42">
        <v>0.7</v>
      </c>
      <c r="C42">
        <f t="shared" si="0"/>
        <v>0</v>
      </c>
      <c r="D42" t="b">
        <f t="shared" si="1"/>
        <v>1</v>
      </c>
      <c r="E42" s="2">
        <v>0.4</v>
      </c>
      <c r="F42" s="2">
        <v>0.2</v>
      </c>
      <c r="G42" s="2">
        <v>0.39999999999999997</v>
      </c>
      <c r="H42" t="b">
        <v>1</v>
      </c>
      <c r="I42" s="7">
        <f>SUMPRODUCT(E42:G42, pivot_RET!$M$7:$O$7)</f>
        <v>1.7888991372026014E-2</v>
      </c>
      <c r="J42" s="7" cm="1">
        <f t="array" ref="J42">MMULT(E42:G42,MMULT(pivot_RET!$M$16:$O$18,TRANSPOSE('portfolio_RET_30%'!E42:G42)))</f>
        <v>3.155412151977456E-3</v>
      </c>
      <c r="K42" s="7">
        <f t="shared" si="2"/>
        <v>5.6173055391152228E-2</v>
      </c>
      <c r="L42" s="7">
        <f t="shared" si="3"/>
        <v>0.31846213896429237</v>
      </c>
      <c r="M42" s="8">
        <f>I42+pivot_RET!$P$2</f>
        <v>1.9416076666666671E-2</v>
      </c>
    </row>
    <row r="43" spans="1:13" x14ac:dyDescent="0.25">
      <c r="A43">
        <v>0.3</v>
      </c>
      <c r="B43">
        <v>0.8</v>
      </c>
      <c r="C43">
        <f t="shared" si="0"/>
        <v>-0.10000000000000009</v>
      </c>
      <c r="D43" t="b">
        <f t="shared" si="1"/>
        <v>1</v>
      </c>
      <c r="E43" s="2">
        <v>0.4</v>
      </c>
      <c r="F43" s="2">
        <v>0.3</v>
      </c>
      <c r="G43" s="2">
        <v>0.3</v>
      </c>
      <c r="H43" t="b">
        <v>1</v>
      </c>
      <c r="I43" s="7">
        <f>SUMPRODUCT(E43:G43, pivot_RET!$M$7:$O$7)</f>
        <v>1.6675854705359348E-2</v>
      </c>
      <c r="J43" s="7" cm="1">
        <f t="array" ref="J43">MMULT(E43:G43,MMULT(pivot_RET!$M$16:$O$18,TRANSPOSE('portfolio_RET_30%'!E43:G43)))</f>
        <v>2.7312435527427335E-3</v>
      </c>
      <c r="K43" s="7">
        <f t="shared" si="2"/>
        <v>5.2261300718052676E-2</v>
      </c>
      <c r="L43" s="7">
        <f t="shared" si="3"/>
        <v>0.31908610149840738</v>
      </c>
      <c r="M43" s="8">
        <f>I43+pivot_RET!$P$2</f>
        <v>1.8202940000000004E-2</v>
      </c>
    </row>
    <row r="44" spans="1:13" x14ac:dyDescent="0.25">
      <c r="A44">
        <v>0.3</v>
      </c>
      <c r="B44">
        <v>0.9</v>
      </c>
      <c r="C44">
        <f t="shared" si="0"/>
        <v>-0.20000000000000007</v>
      </c>
      <c r="D44" t="b">
        <f t="shared" si="1"/>
        <v>1</v>
      </c>
      <c r="E44" s="2">
        <v>0.4</v>
      </c>
      <c r="F44" s="2">
        <v>0.4</v>
      </c>
      <c r="G44" s="2">
        <v>0.19999999999999996</v>
      </c>
      <c r="H44" t="b">
        <v>1</v>
      </c>
      <c r="I44" s="7">
        <f>SUMPRODUCT(E44:G44, pivot_RET!$M$7:$O$7)</f>
        <v>1.5462718038692681E-2</v>
      </c>
      <c r="J44" s="7" cm="1">
        <f t="array" ref="J44">MMULT(E44:G44,MMULT(pivot_RET!$M$16:$O$18,TRANSPOSE('portfolio_RET_30%'!E44:G44)))</f>
        <v>2.426964111765989E-3</v>
      </c>
      <c r="K44" s="7">
        <f t="shared" si="2"/>
        <v>4.9264227506031079E-2</v>
      </c>
      <c r="L44" s="7">
        <f t="shared" si="3"/>
        <v>0.31387314531217786</v>
      </c>
      <c r="M44" s="8">
        <f>I44+pivot_RET!$P$2</f>
        <v>1.6989803333333338E-2</v>
      </c>
    </row>
    <row r="45" spans="1:13" x14ac:dyDescent="0.25">
      <c r="A45">
        <v>0.3</v>
      </c>
      <c r="B45">
        <v>1</v>
      </c>
      <c r="C45">
        <f t="shared" si="0"/>
        <v>-0.30000000000000004</v>
      </c>
      <c r="D45" t="b">
        <f t="shared" si="1"/>
        <v>1</v>
      </c>
      <c r="E45" s="2">
        <v>0.4</v>
      </c>
      <c r="F45" s="2">
        <v>0.5</v>
      </c>
      <c r="G45" s="2">
        <v>9.9999999999999978E-2</v>
      </c>
      <c r="H45" t="b">
        <v>1</v>
      </c>
      <c r="I45" s="7">
        <f>SUMPRODUCT(E45:G45, pivot_RET!$M$7:$O$7)</f>
        <v>1.4249581372026013E-2</v>
      </c>
      <c r="J45" s="7" cm="1">
        <f t="array" ref="J45">MMULT(E45:G45,MMULT(pivot_RET!$M$16:$O$18,TRANSPOSE('portfolio_RET_30%'!E45:G45)))</f>
        <v>2.2425738290472222E-3</v>
      </c>
      <c r="K45" s="7">
        <f t="shared" si="2"/>
        <v>4.7355821490575184E-2</v>
      </c>
      <c r="L45" s="7">
        <f t="shared" si="3"/>
        <v>0.30090453345555379</v>
      </c>
      <c r="M45" s="8">
        <f>I45+pivot_RET!$P$2</f>
        <v>1.5776666666666668E-2</v>
      </c>
    </row>
    <row r="46" spans="1:13" x14ac:dyDescent="0.25">
      <c r="A46">
        <v>0.4</v>
      </c>
      <c r="B46">
        <v>0</v>
      </c>
      <c r="C46">
        <f t="shared" si="0"/>
        <v>0.6</v>
      </c>
      <c r="D46" t="b">
        <f t="shared" si="1"/>
        <v>1</v>
      </c>
      <c r="E46" s="2">
        <v>0.4</v>
      </c>
      <c r="F46" s="2">
        <v>0.6</v>
      </c>
      <c r="G46" s="2">
        <v>0</v>
      </c>
      <c r="H46" t="b">
        <v>1</v>
      </c>
      <c r="I46" s="7">
        <f>SUMPRODUCT(E46:G46, pivot_RET!$M$7:$O$7)</f>
        <v>1.3036444705359349E-2</v>
      </c>
      <c r="J46" s="7" cm="1">
        <f t="array" ref="J46">MMULT(E46:G46,MMULT(pivot_RET!$M$16:$O$18,TRANSPOSE('portfolio_RET_30%'!E46:G46)))</f>
        <v>2.178072704586434E-3</v>
      </c>
      <c r="K46" s="7">
        <f t="shared" si="2"/>
        <v>4.6669826489782816E-2</v>
      </c>
      <c r="L46" s="7">
        <f t="shared" si="3"/>
        <v>0.27933347273560893</v>
      </c>
      <c r="M46" s="8">
        <f>I46+pivot_RET!$P$2</f>
        <v>1.4563530000000005E-2</v>
      </c>
    </row>
    <row r="47" spans="1:13" x14ac:dyDescent="0.25">
      <c r="A47">
        <v>0.4</v>
      </c>
      <c r="B47">
        <v>0.1</v>
      </c>
      <c r="C47">
        <f t="shared" si="0"/>
        <v>0.5</v>
      </c>
      <c r="D47" t="b">
        <f t="shared" si="1"/>
        <v>1</v>
      </c>
      <c r="E47" s="2">
        <v>0.5</v>
      </c>
      <c r="F47" s="2">
        <v>0</v>
      </c>
      <c r="G47" s="2">
        <v>0.5</v>
      </c>
      <c r="H47" t="b">
        <v>1</v>
      </c>
      <c r="I47" s="7">
        <f>SUMPRODUCT(E47:G47, pivot_RET!$M$7:$O$7)</f>
        <v>2.0820589705359348E-2</v>
      </c>
      <c r="J47" s="7" cm="1">
        <f t="array" ref="J47">MMULT(E47:G47,MMULT(pivot_RET!$M$16:$O$18,TRANSPOSE('portfolio_RET_30%'!E47:G47)))</f>
        <v>4.1279307681902086E-3</v>
      </c>
      <c r="K47" s="7">
        <f t="shared" si="2"/>
        <v>6.4248974841550649E-2</v>
      </c>
      <c r="L47" s="7">
        <f t="shared" si="3"/>
        <v>0.32406104154512361</v>
      </c>
      <c r="M47" s="8">
        <f>I47+pivot_RET!$P$2</f>
        <v>2.2347675000000004E-2</v>
      </c>
    </row>
    <row r="48" spans="1:13" x14ac:dyDescent="0.25">
      <c r="A48">
        <v>0.4</v>
      </c>
      <c r="B48">
        <v>0.2</v>
      </c>
      <c r="C48">
        <f t="shared" si="0"/>
        <v>0.39999999999999997</v>
      </c>
      <c r="D48" t="b">
        <f t="shared" si="1"/>
        <v>1</v>
      </c>
      <c r="E48" s="2">
        <v>0.5</v>
      </c>
      <c r="F48" s="2">
        <v>0.1</v>
      </c>
      <c r="G48" s="2">
        <v>0.4</v>
      </c>
      <c r="H48" t="b">
        <v>1</v>
      </c>
      <c r="I48" s="7">
        <f>SUMPRODUCT(E48:G48, pivot_RET!$M$7:$O$7)</f>
        <v>1.9607453038692681E-2</v>
      </c>
      <c r="J48" s="7" cm="1">
        <f t="array" ref="J48">MMULT(E48:G48,MMULT(pivot_RET!$M$16:$O$18,TRANSPOSE('portfolio_RET_30%'!E48:G48)))</f>
        <v>3.5136636904203643E-3</v>
      </c>
      <c r="K48" s="7">
        <f t="shared" si="2"/>
        <v>5.9276164606191957E-2</v>
      </c>
      <c r="L48" s="7">
        <f t="shared" si="3"/>
        <v>0.33078140545963219</v>
      </c>
      <c r="M48" s="8">
        <f>I48+pivot_RET!$P$2</f>
        <v>2.1134538333333338E-2</v>
      </c>
    </row>
    <row r="49" spans="1:13" x14ac:dyDescent="0.25">
      <c r="A49">
        <v>0.4</v>
      </c>
      <c r="B49">
        <v>0.3</v>
      </c>
      <c r="C49">
        <f t="shared" si="0"/>
        <v>0.3</v>
      </c>
      <c r="D49" t="b">
        <f t="shared" si="1"/>
        <v>1</v>
      </c>
      <c r="E49" s="2">
        <v>0.5</v>
      </c>
      <c r="F49" s="2">
        <v>0.2</v>
      </c>
      <c r="G49" s="2">
        <v>0.3</v>
      </c>
      <c r="H49" t="b">
        <v>1</v>
      </c>
      <c r="I49" s="7">
        <f>SUMPRODUCT(E49:G49, pivot_RET!$M$7:$O$7)</f>
        <v>1.8394316372026015E-2</v>
      </c>
      <c r="J49" s="7" cm="1">
        <f t="array" ref="J49">MMULT(E49:G49,MMULT(pivot_RET!$M$16:$O$18,TRANSPOSE('portfolio_RET_30%'!E49:G49)))</f>
        <v>3.0192857709084977E-3</v>
      </c>
      <c r="K49" s="7">
        <f t="shared" si="2"/>
        <v>5.4948027907364409E-2</v>
      </c>
      <c r="L49" s="7">
        <f t="shared" si="3"/>
        <v>0.33475844488971579</v>
      </c>
      <c r="M49" s="8">
        <f>I49+pivot_RET!$P$2</f>
        <v>1.9921401666666672E-2</v>
      </c>
    </row>
    <row r="50" spans="1:13" x14ac:dyDescent="0.25">
      <c r="A50">
        <v>0.4</v>
      </c>
      <c r="B50">
        <v>0.4</v>
      </c>
      <c r="C50">
        <f t="shared" si="0"/>
        <v>0.19999999999999996</v>
      </c>
      <c r="D50" t="b">
        <f t="shared" si="1"/>
        <v>1</v>
      </c>
      <c r="E50" s="2">
        <v>0.5</v>
      </c>
      <c r="F50" s="2">
        <v>0.3</v>
      </c>
      <c r="G50" s="2">
        <v>0.2</v>
      </c>
      <c r="H50" t="b">
        <v>1</v>
      </c>
      <c r="I50" s="7">
        <f>SUMPRODUCT(E50:G50, pivot_RET!$M$7:$O$7)</f>
        <v>1.7181179705359349E-2</v>
      </c>
      <c r="J50" s="7" cm="1">
        <f t="array" ref="J50">MMULT(E50:G50,MMULT(pivot_RET!$M$16:$O$18,TRANSPOSE('portfolio_RET_30%'!E50:G50)))</f>
        <v>2.6447970096546087E-3</v>
      </c>
      <c r="K50" s="7">
        <f t="shared" si="2"/>
        <v>5.1427589965451506E-2</v>
      </c>
      <c r="L50" s="7">
        <f t="shared" si="3"/>
        <v>0.33408486994824138</v>
      </c>
      <c r="M50" s="8">
        <f>I50+pivot_RET!$P$2</f>
        <v>1.8708265000000005E-2</v>
      </c>
    </row>
    <row r="51" spans="1:13" x14ac:dyDescent="0.25">
      <c r="A51">
        <v>0.4</v>
      </c>
      <c r="B51">
        <v>0.5</v>
      </c>
      <c r="C51">
        <f t="shared" si="0"/>
        <v>9.9999999999999978E-2</v>
      </c>
      <c r="D51" t="b">
        <f t="shared" si="1"/>
        <v>1</v>
      </c>
      <c r="E51" s="2">
        <v>0.5</v>
      </c>
      <c r="F51" s="2">
        <v>0.4</v>
      </c>
      <c r="G51" s="2">
        <v>9.9999999999999978E-2</v>
      </c>
      <c r="H51" t="b">
        <v>1</v>
      </c>
      <c r="I51" s="7">
        <f>SUMPRODUCT(E51:G51, pivot_RET!$M$7:$O$7)</f>
        <v>1.5968043038692682E-2</v>
      </c>
      <c r="J51" s="7" cm="1">
        <f t="array" ref="J51">MMULT(E51:G51,MMULT(pivot_RET!$M$16:$O$18,TRANSPOSE('portfolio_RET_30%'!E51:G51)))</f>
        <v>2.3901974066586973E-3</v>
      </c>
      <c r="K51" s="7">
        <f t="shared" si="2"/>
        <v>4.8889645188513048E-2</v>
      </c>
      <c r="L51" s="7">
        <f t="shared" si="3"/>
        <v>0.32661400951309177</v>
      </c>
      <c r="M51" s="8">
        <f>I51+pivot_RET!$P$2</f>
        <v>1.7495128333333339E-2</v>
      </c>
    </row>
    <row r="52" spans="1:13" x14ac:dyDescent="0.25">
      <c r="A52">
        <v>0.4</v>
      </c>
      <c r="B52">
        <v>0.6</v>
      </c>
      <c r="C52">
        <f t="shared" si="0"/>
        <v>0</v>
      </c>
      <c r="D52" t="b">
        <f t="shared" si="1"/>
        <v>1</v>
      </c>
      <c r="E52" s="2">
        <v>0.5</v>
      </c>
      <c r="F52" s="2">
        <v>0.5</v>
      </c>
      <c r="G52" s="2">
        <v>0</v>
      </c>
      <c r="H52" t="b">
        <v>1</v>
      </c>
      <c r="I52" s="7">
        <f>SUMPRODUCT(E52:G52, pivot_RET!$M$7:$O$7)</f>
        <v>1.4754906372026014E-2</v>
      </c>
      <c r="J52" s="7" cm="1">
        <f t="array" ref="J52">MMULT(E52:G52,MMULT(pivot_RET!$M$16:$O$18,TRANSPOSE('portfolio_RET_30%'!E52:G52)))</f>
        <v>2.2554869619207641E-3</v>
      </c>
      <c r="K52" s="7">
        <f t="shared" si="2"/>
        <v>4.7491967341022671E-2</v>
      </c>
      <c r="L52" s="7">
        <f t="shared" si="3"/>
        <v>0.31068214685814882</v>
      </c>
      <c r="M52" s="8">
        <f>I52+pivot_RET!$P$2</f>
        <v>1.6281991666666669E-2</v>
      </c>
    </row>
    <row r="53" spans="1:13" x14ac:dyDescent="0.25">
      <c r="A53">
        <v>0.4</v>
      </c>
      <c r="B53">
        <v>0.7</v>
      </c>
      <c r="C53">
        <f t="shared" si="0"/>
        <v>-9.9999999999999978E-2</v>
      </c>
      <c r="D53" t="b">
        <f t="shared" si="1"/>
        <v>1</v>
      </c>
      <c r="E53" s="2">
        <v>0.6</v>
      </c>
      <c r="F53" s="2">
        <v>0</v>
      </c>
      <c r="G53" s="2">
        <v>0.4</v>
      </c>
      <c r="H53" t="b">
        <v>1</v>
      </c>
      <c r="I53" s="7">
        <f>SUMPRODUCT(E53:G53, pivot_RET!$M$7:$O$7)</f>
        <v>2.1325914705359349E-2</v>
      </c>
      <c r="J53" s="7" cm="1">
        <f t="array" ref="J53">MMULT(E53:G53,MMULT(pivot_RET!$M$16:$O$18,TRANSPOSE('portfolio_RET_30%'!E53:G53)))</f>
        <v>3.95976701736E-3</v>
      </c>
      <c r="K53" s="7">
        <f t="shared" si="2"/>
        <v>6.2926679694387186E-2</v>
      </c>
      <c r="L53" s="7">
        <f t="shared" si="3"/>
        <v>0.33890100048074739</v>
      </c>
      <c r="M53" s="8">
        <f>I53+pivot_RET!$P$2</f>
        <v>2.2853000000000005E-2</v>
      </c>
    </row>
    <row r="54" spans="1:13" x14ac:dyDescent="0.25">
      <c r="A54">
        <v>0.4</v>
      </c>
      <c r="B54">
        <v>0.8</v>
      </c>
      <c r="C54">
        <f t="shared" si="0"/>
        <v>-0.20000000000000007</v>
      </c>
      <c r="D54" t="b">
        <f t="shared" si="1"/>
        <v>1</v>
      </c>
      <c r="E54" s="2">
        <v>0.6</v>
      </c>
      <c r="F54" s="2">
        <v>0.1</v>
      </c>
      <c r="G54" s="2">
        <v>0.30000000000000004</v>
      </c>
      <c r="H54" t="b">
        <v>1</v>
      </c>
      <c r="I54" s="7">
        <f>SUMPRODUCT(E54:G54, pivot_RET!$M$7:$O$7)</f>
        <v>2.0112778038692682E-2</v>
      </c>
      <c r="J54" s="7" cm="1">
        <f t="array" ref="J54">MMULT(E54:G54,MMULT(pivot_RET!$M$16:$O$18,TRANSPOSE('portfolio_RET_30%'!E54:G54)))</f>
        <v>3.3951797775709897E-3</v>
      </c>
      <c r="K54" s="7">
        <f t="shared" si="2"/>
        <v>5.8268171222125978E-2</v>
      </c>
      <c r="L54" s="7">
        <f t="shared" si="3"/>
        <v>0.34517606468238227</v>
      </c>
      <c r="M54" s="8">
        <f>I54+pivot_RET!$P$2</f>
        <v>2.1639863333333339E-2</v>
      </c>
    </row>
    <row r="55" spans="1:13" x14ac:dyDescent="0.25">
      <c r="A55">
        <v>0.4</v>
      </c>
      <c r="B55">
        <v>0.9</v>
      </c>
      <c r="C55">
        <f t="shared" si="0"/>
        <v>-0.30000000000000004</v>
      </c>
      <c r="D55" t="b">
        <f t="shared" si="1"/>
        <v>1</v>
      </c>
      <c r="E55" s="2">
        <v>0.6</v>
      </c>
      <c r="F55" s="2">
        <v>0.2</v>
      </c>
      <c r="G55" s="2">
        <v>0.2</v>
      </c>
      <c r="H55" t="b">
        <v>1</v>
      </c>
      <c r="I55" s="7">
        <f>SUMPRODUCT(E55:G55, pivot_RET!$M$7:$O$7)</f>
        <v>1.8899641372026016E-2</v>
      </c>
      <c r="J55" s="7" cm="1">
        <f t="array" ref="J55">MMULT(E55:G55,MMULT(pivot_RET!$M$16:$O$18,TRANSPOSE('portfolio_RET_30%'!E55:G55)))</f>
        <v>2.9504816960399562E-3</v>
      </c>
      <c r="K55" s="7">
        <f t="shared" si="2"/>
        <v>5.4318336646476541E-2</v>
      </c>
      <c r="L55" s="7">
        <f t="shared" si="3"/>
        <v>0.3479421966661414</v>
      </c>
      <c r="M55" s="8">
        <f>I55+pivot_RET!$P$2</f>
        <v>2.0426726666666672E-2</v>
      </c>
    </row>
    <row r="56" spans="1:13" x14ac:dyDescent="0.25">
      <c r="A56">
        <v>0.4</v>
      </c>
      <c r="B56">
        <v>1</v>
      </c>
      <c r="C56">
        <f t="shared" si="0"/>
        <v>-0.4</v>
      </c>
      <c r="D56" t="b">
        <f t="shared" si="1"/>
        <v>1</v>
      </c>
      <c r="E56" s="2">
        <v>0.6</v>
      </c>
      <c r="F56" s="2">
        <v>0.3</v>
      </c>
      <c r="G56" s="2">
        <v>0.10000000000000003</v>
      </c>
      <c r="H56" t="b">
        <v>1</v>
      </c>
      <c r="I56" s="7">
        <f>SUMPRODUCT(E56:G56, pivot_RET!$M$7:$O$7)</f>
        <v>1.7686504705359346E-2</v>
      </c>
      <c r="J56" s="7" cm="1">
        <f t="array" ref="J56">MMULT(E56:G56,MMULT(pivot_RET!$M$16:$O$18,TRANSPOSE('portfolio_RET_30%'!E56:G56)))</f>
        <v>2.6256727727669003E-3</v>
      </c>
      <c r="K56" s="7">
        <f t="shared" si="2"/>
        <v>5.1241318999093885E-2</v>
      </c>
      <c r="L56" s="7">
        <f t="shared" si="3"/>
        <v>0.34516099606397915</v>
      </c>
      <c r="M56" s="8">
        <f>I56+pivot_RET!$P$2</f>
        <v>1.9213590000000003E-2</v>
      </c>
    </row>
    <row r="57" spans="1:13" x14ac:dyDescent="0.25">
      <c r="A57">
        <v>0.5</v>
      </c>
      <c r="B57">
        <v>0</v>
      </c>
      <c r="C57">
        <f t="shared" si="0"/>
        <v>0.5</v>
      </c>
      <c r="D57" t="b">
        <f t="shared" si="1"/>
        <v>1</v>
      </c>
      <c r="E57" s="2">
        <v>0.6</v>
      </c>
      <c r="F57" s="2">
        <v>0.4</v>
      </c>
      <c r="G57" s="2">
        <v>0</v>
      </c>
      <c r="H57" t="b">
        <v>1</v>
      </c>
      <c r="I57" s="7">
        <f>SUMPRODUCT(E57:G57, pivot_RET!$M$7:$O$7)</f>
        <v>1.6473368038692683E-2</v>
      </c>
      <c r="J57" s="7" cm="1">
        <f t="array" ref="J57">MMULT(E57:G57,MMULT(pivot_RET!$M$16:$O$18,TRANSPOSE('portfolio_RET_30%'!E57:G57)))</f>
        <v>2.4207530077518225E-3</v>
      </c>
      <c r="K57" s="7">
        <f t="shared" si="2"/>
        <v>4.9201148439358834E-2</v>
      </c>
      <c r="L57" s="7">
        <f t="shared" si="3"/>
        <v>0.33481673825147312</v>
      </c>
      <c r="M57" s="8">
        <f>I57+pivot_RET!$P$2</f>
        <v>1.800045333333334E-2</v>
      </c>
    </row>
    <row r="58" spans="1:13" x14ac:dyDescent="0.25">
      <c r="A58">
        <v>0.5</v>
      </c>
      <c r="B58">
        <v>0.1</v>
      </c>
      <c r="C58">
        <f t="shared" si="0"/>
        <v>0.4</v>
      </c>
      <c r="D58" t="b">
        <f t="shared" si="1"/>
        <v>1</v>
      </c>
      <c r="E58" s="2">
        <v>0.7</v>
      </c>
      <c r="F58" s="2">
        <v>0</v>
      </c>
      <c r="G58" s="2">
        <v>0.30000000000000004</v>
      </c>
      <c r="H58" t="b">
        <v>1</v>
      </c>
      <c r="I58" s="7">
        <f>SUMPRODUCT(E58:G58, pivot_RET!$M$7:$O$7)</f>
        <v>2.183123970535935E-2</v>
      </c>
      <c r="J58" s="7" cm="1">
        <f t="array" ref="J58">MMULT(E58:G58,MMULT(pivot_RET!$M$16:$O$18,TRANSPOSE('portfolio_RET_30%'!E58:G58)))</f>
        <v>3.8589255727302088E-3</v>
      </c>
      <c r="K58" s="7">
        <f t="shared" si="2"/>
        <v>6.2120250906851693E-2</v>
      </c>
      <c r="L58" s="7">
        <f t="shared" si="3"/>
        <v>0.35143515015892224</v>
      </c>
      <c r="M58" s="8">
        <f>I58+pivot_RET!$P$2</f>
        <v>2.3358325000000006E-2</v>
      </c>
    </row>
    <row r="59" spans="1:13" x14ac:dyDescent="0.25">
      <c r="A59">
        <v>0.5</v>
      </c>
      <c r="B59">
        <v>0.2</v>
      </c>
      <c r="C59">
        <f t="shared" si="0"/>
        <v>0.3</v>
      </c>
      <c r="D59" t="b">
        <f t="shared" si="1"/>
        <v>1</v>
      </c>
      <c r="E59" s="2">
        <v>0.7</v>
      </c>
      <c r="F59" s="2">
        <v>0.1</v>
      </c>
      <c r="G59" s="2">
        <v>0.20000000000000004</v>
      </c>
      <c r="H59" t="b">
        <v>1</v>
      </c>
      <c r="I59" s="7">
        <f>SUMPRODUCT(E59:G59, pivot_RET!$M$7:$O$7)</f>
        <v>2.0618103038692683E-2</v>
      </c>
      <c r="J59" s="7" cm="1">
        <f t="array" ref="J59">MMULT(E59:G59,MMULT(pivot_RET!$M$16:$O$18,TRANSPOSE('portfolio_RET_30%'!E59:G59)))</f>
        <v>3.3440181709220307E-3</v>
      </c>
      <c r="K59" s="7">
        <f t="shared" si="2"/>
        <v>5.7827486292610288E-2</v>
      </c>
      <c r="L59" s="7">
        <f t="shared" si="3"/>
        <v>0.3565450335220165</v>
      </c>
      <c r="M59" s="8">
        <f>I59+pivot_RET!$P$2</f>
        <v>2.214518833333334E-2</v>
      </c>
    </row>
    <row r="60" spans="1:13" x14ac:dyDescent="0.25">
      <c r="A60">
        <v>0.5</v>
      </c>
      <c r="B60">
        <v>0.3</v>
      </c>
      <c r="C60">
        <f t="shared" si="0"/>
        <v>0.2</v>
      </c>
      <c r="D60" t="b">
        <f t="shared" si="1"/>
        <v>1</v>
      </c>
      <c r="E60" s="2">
        <v>0.7</v>
      </c>
      <c r="F60" s="2">
        <v>0.2</v>
      </c>
      <c r="G60" s="2">
        <v>0.10000000000000003</v>
      </c>
      <c r="H60" t="b">
        <v>1</v>
      </c>
      <c r="I60" s="7">
        <f>SUMPRODUCT(E60:G60, pivot_RET!$M$7:$O$7)</f>
        <v>1.9404966372026017E-2</v>
      </c>
      <c r="J60" s="7" cm="1">
        <f t="array" ref="J60">MMULT(E60:G60,MMULT(pivot_RET!$M$16:$O$18,TRANSPOSE('portfolio_RET_30%'!E60:G60)))</f>
        <v>2.9489999273718307E-3</v>
      </c>
      <c r="K60" s="7">
        <f t="shared" si="2"/>
        <v>5.4304695260832009E-2</v>
      </c>
      <c r="L60" s="7">
        <f t="shared" si="3"/>
        <v>0.35733496484643951</v>
      </c>
      <c r="M60" s="8">
        <f>I60+pivot_RET!$P$2</f>
        <v>2.0932051666666673E-2</v>
      </c>
    </row>
    <row r="61" spans="1:13" x14ac:dyDescent="0.25">
      <c r="A61">
        <v>0.5</v>
      </c>
      <c r="B61">
        <v>0.4</v>
      </c>
      <c r="C61">
        <f t="shared" si="0"/>
        <v>9.9999999999999978E-2</v>
      </c>
      <c r="D61" t="b">
        <f t="shared" si="1"/>
        <v>1</v>
      </c>
      <c r="E61" s="2">
        <v>0.7</v>
      </c>
      <c r="F61" s="2">
        <v>0.3</v>
      </c>
      <c r="G61" s="2">
        <v>0</v>
      </c>
      <c r="H61" t="b">
        <v>1</v>
      </c>
      <c r="I61" s="7">
        <f>SUMPRODUCT(E61:G61, pivot_RET!$M$7:$O$7)</f>
        <v>1.8191829705359347E-2</v>
      </c>
      <c r="J61" s="7" cm="1">
        <f t="array" ref="J61">MMULT(E61:G61,MMULT(pivot_RET!$M$16:$O$18,TRANSPOSE('portfolio_RET_30%'!E61:G61)))</f>
        <v>2.6738708420796084E-3</v>
      </c>
      <c r="K61" s="7">
        <f t="shared" si="2"/>
        <v>5.1709485030114237E-2</v>
      </c>
      <c r="L61" s="7">
        <f t="shared" si="3"/>
        <v>0.35180837122560604</v>
      </c>
      <c r="M61" s="8">
        <f>I61+pivot_RET!$P$2</f>
        <v>1.9718915000000004E-2</v>
      </c>
    </row>
    <row r="62" spans="1:13" x14ac:dyDescent="0.25">
      <c r="A62">
        <v>0.5</v>
      </c>
      <c r="B62">
        <v>0.5</v>
      </c>
      <c r="C62">
        <f t="shared" si="0"/>
        <v>0</v>
      </c>
      <c r="D62" t="b">
        <f t="shared" si="1"/>
        <v>1</v>
      </c>
      <c r="E62" s="2">
        <v>0.8</v>
      </c>
      <c r="F62" s="2">
        <v>0</v>
      </c>
      <c r="G62" s="2">
        <v>0.19999999999999996</v>
      </c>
      <c r="H62" t="b">
        <v>1</v>
      </c>
      <c r="I62" s="7">
        <f>SUMPRODUCT(E62:G62, pivot_RET!$M$7:$O$7)</f>
        <v>2.2336564705359351E-2</v>
      </c>
      <c r="J62" s="7" cm="1">
        <f t="array" ref="J62">MMULT(E62:G62,MMULT(pivot_RET!$M$16:$O$18,TRANSPOSE('portfolio_RET_30%'!E62:G62)))</f>
        <v>3.825406434300834E-3</v>
      </c>
      <c r="K62" s="7">
        <f t="shared" si="2"/>
        <v>6.1849870123556722E-2</v>
      </c>
      <c r="L62" s="7">
        <f t="shared" si="3"/>
        <v>0.36114165900005724</v>
      </c>
      <c r="M62" s="8">
        <f>I62+pivot_RET!$P$2</f>
        <v>2.3863650000000007E-2</v>
      </c>
    </row>
    <row r="63" spans="1:13" x14ac:dyDescent="0.25">
      <c r="A63">
        <v>0.5</v>
      </c>
      <c r="B63">
        <v>0.6</v>
      </c>
      <c r="C63">
        <f t="shared" si="0"/>
        <v>-9.9999999999999978E-2</v>
      </c>
      <c r="D63" t="b">
        <f t="shared" si="1"/>
        <v>1</v>
      </c>
      <c r="E63" s="2">
        <v>0.8</v>
      </c>
      <c r="F63" s="2">
        <v>0.1</v>
      </c>
      <c r="G63" s="2">
        <v>9.999999999999995E-2</v>
      </c>
      <c r="H63" t="b">
        <v>1</v>
      </c>
      <c r="I63" s="7">
        <f>SUMPRODUCT(E63:G63, pivot_RET!$M$7:$O$7)</f>
        <v>2.1123428038692684E-2</v>
      </c>
      <c r="J63" s="7" cm="1">
        <f t="array" ref="J63">MMULT(E63:G63,MMULT(pivot_RET!$M$16:$O$18,TRANSPOSE('portfolio_RET_30%'!E63:G63)))</f>
        <v>3.3601788704734894E-3</v>
      </c>
      <c r="K63" s="7">
        <f t="shared" si="2"/>
        <v>5.7967049868640798E-2</v>
      </c>
      <c r="L63" s="7">
        <f t="shared" si="3"/>
        <v>0.36440405517549213</v>
      </c>
      <c r="M63" s="8">
        <f>I63+pivot_RET!$P$2</f>
        <v>2.2650513333333341E-2</v>
      </c>
    </row>
    <row r="64" spans="1:13" x14ac:dyDescent="0.25">
      <c r="A64">
        <v>0.5</v>
      </c>
      <c r="B64">
        <v>0.7</v>
      </c>
      <c r="C64">
        <f t="shared" si="0"/>
        <v>-0.19999999999999996</v>
      </c>
      <c r="D64" t="b">
        <f t="shared" si="1"/>
        <v>1</v>
      </c>
      <c r="E64" s="2">
        <v>0.8</v>
      </c>
      <c r="F64" s="2">
        <v>0.2</v>
      </c>
      <c r="G64" s="2">
        <v>0</v>
      </c>
      <c r="H64" t="b">
        <v>1</v>
      </c>
      <c r="I64" s="7">
        <f>SUMPRODUCT(E64:G64, pivot_RET!$M$7:$O$7)</f>
        <v>1.9910291372026018E-2</v>
      </c>
      <c r="J64" s="7" cm="1">
        <f t="array" ref="J64">MMULT(E64:G64,MMULT(pivot_RET!$M$16:$O$18,TRANSPOSE('portfolio_RET_30%'!E64:G64)))</f>
        <v>3.014840464904123E-3</v>
      </c>
      <c r="K64" s="7">
        <f t="shared" si="2"/>
        <v>5.4907562911716661E-2</v>
      </c>
      <c r="L64" s="7">
        <f t="shared" si="3"/>
        <v>0.362614734950791</v>
      </c>
      <c r="M64" s="8">
        <f>I64+pivot_RET!$P$2</f>
        <v>2.1437376666666674E-2</v>
      </c>
    </row>
    <row r="65" spans="1:13" x14ac:dyDescent="0.25">
      <c r="A65">
        <v>0.5</v>
      </c>
      <c r="B65">
        <v>0.8</v>
      </c>
      <c r="C65">
        <f t="shared" si="0"/>
        <v>-0.30000000000000004</v>
      </c>
      <c r="D65" t="b">
        <f t="shared" si="1"/>
        <v>1</v>
      </c>
      <c r="E65" s="2">
        <v>0.9</v>
      </c>
      <c r="F65" s="2">
        <v>0</v>
      </c>
      <c r="G65" s="2">
        <v>9.9999999999999978E-2</v>
      </c>
      <c r="H65" t="b">
        <v>1</v>
      </c>
      <c r="I65" s="7">
        <f>SUMPRODUCT(E65:G65, pivot_RET!$M$7:$O$7)</f>
        <v>2.2841889705359351E-2</v>
      </c>
      <c r="J65" s="7" cm="1">
        <f t="array" ref="J65">MMULT(E65:G65,MMULT(pivot_RET!$M$16:$O$18,TRANSPOSE('portfolio_RET_30%'!E65:G65)))</f>
        <v>3.8592096020718756E-3</v>
      </c>
      <c r="K65" s="7">
        <f t="shared" si="2"/>
        <v>6.2122536989983559E-2</v>
      </c>
      <c r="L65" s="7">
        <f t="shared" si="3"/>
        <v>0.3676908705296808</v>
      </c>
      <c r="M65" s="8">
        <f>I65+pivot_RET!$P$2</f>
        <v>2.4368975000000008E-2</v>
      </c>
    </row>
    <row r="66" spans="1:13" x14ac:dyDescent="0.25">
      <c r="A66">
        <v>0.5</v>
      </c>
      <c r="B66">
        <v>0.9</v>
      </c>
      <c r="C66">
        <f t="shared" si="0"/>
        <v>-0.4</v>
      </c>
      <c r="D66" t="b">
        <f t="shared" si="1"/>
        <v>1</v>
      </c>
      <c r="E66" s="2">
        <v>0.9</v>
      </c>
      <c r="F66" s="2">
        <v>0.1</v>
      </c>
      <c r="G66" s="2">
        <v>0</v>
      </c>
      <c r="H66" t="b">
        <v>1</v>
      </c>
      <c r="I66" s="7">
        <f>SUMPRODUCT(E66:G66, pivot_RET!$M$7:$O$7)</f>
        <v>2.1628753038692685E-2</v>
      </c>
      <c r="J66" s="7" cm="1">
        <f t="array" ref="J66">MMULT(E66:G66,MMULT(pivot_RET!$M$16:$O$18,TRANSPOSE('portfolio_RET_30%'!E66:G66)))</f>
        <v>3.4436618762253646E-3</v>
      </c>
      <c r="K66" s="7">
        <f t="shared" si="2"/>
        <v>5.8682722126920495E-2</v>
      </c>
      <c r="L66" s="7">
        <f t="shared" si="3"/>
        <v>0.36857105898927905</v>
      </c>
      <c r="M66" s="8">
        <f>I66+pivot_RET!$P$2</f>
        <v>2.3155838333333342E-2</v>
      </c>
    </row>
    <row r="67" spans="1:13" x14ac:dyDescent="0.25">
      <c r="A67">
        <v>0.5</v>
      </c>
      <c r="B67">
        <v>1</v>
      </c>
      <c r="C67">
        <f t="shared" ref="C67:C122" si="4">1-A67-B67</f>
        <v>-0.5</v>
      </c>
      <c r="D67" t="b">
        <f t="shared" ref="D67:D122" si="5" xml:space="preserve"> OR(A67&gt;=0.3, B67&gt;=0.3, C67&gt;=0.3)</f>
        <v>1</v>
      </c>
      <c r="E67" s="2">
        <v>1</v>
      </c>
      <c r="F67" s="2">
        <v>0</v>
      </c>
      <c r="G67" s="2">
        <v>0</v>
      </c>
      <c r="H67" t="b">
        <v>1</v>
      </c>
      <c r="I67" s="7">
        <f>SUMPRODUCT(E67:G67, pivot_RET!$M$7:$O$7)</f>
        <v>2.3347214705359352E-2</v>
      </c>
      <c r="J67" s="7" cm="1">
        <f t="array" ref="J67">MMULT(E67:G67,MMULT(pivot_RET!$M$16:$O$18,TRANSPOSE('portfolio_RET_30%'!E67:G67)))</f>
        <v>3.9603350760433337E-3</v>
      </c>
      <c r="K67" s="7">
        <f t="shared" ref="K67" si="6">SQRT(J67)</f>
        <v>6.2931193187824863E-2</v>
      </c>
      <c r="L67" s="7">
        <f t="shared" ref="L67" si="7">I67/K67</f>
        <v>0.3709959008035506</v>
      </c>
      <c r="M67" s="8">
        <f>I67+pivot_RET!$P$2</f>
        <v>2.4874300000000009E-2</v>
      </c>
    </row>
    <row r="68" spans="1:13" x14ac:dyDescent="0.25">
      <c r="A68">
        <v>0.6</v>
      </c>
      <c r="B68">
        <v>0</v>
      </c>
      <c r="C68">
        <f t="shared" si="4"/>
        <v>0.4</v>
      </c>
      <c r="D68" t="b">
        <f t="shared" si="5"/>
        <v>1</v>
      </c>
    </row>
    <row r="69" spans="1:13" x14ac:dyDescent="0.25">
      <c r="A69">
        <v>0.6</v>
      </c>
      <c r="B69">
        <v>0.1</v>
      </c>
      <c r="C69">
        <f t="shared" si="4"/>
        <v>0.30000000000000004</v>
      </c>
      <c r="D69" t="b">
        <f t="shared" si="5"/>
        <v>1</v>
      </c>
    </row>
    <row r="70" spans="1:13" x14ac:dyDescent="0.25">
      <c r="A70">
        <v>0.6</v>
      </c>
      <c r="B70">
        <v>0.2</v>
      </c>
      <c r="C70">
        <f t="shared" si="4"/>
        <v>0.2</v>
      </c>
      <c r="D70" t="b">
        <f t="shared" si="5"/>
        <v>1</v>
      </c>
    </row>
    <row r="71" spans="1:13" x14ac:dyDescent="0.25">
      <c r="A71">
        <v>0.6</v>
      </c>
      <c r="B71">
        <v>0.3</v>
      </c>
      <c r="C71">
        <f t="shared" si="4"/>
        <v>0.10000000000000003</v>
      </c>
      <c r="D71" t="b">
        <f t="shared" si="5"/>
        <v>1</v>
      </c>
    </row>
    <row r="72" spans="1:13" x14ac:dyDescent="0.25">
      <c r="A72">
        <v>0.6</v>
      </c>
      <c r="B72">
        <v>0.4</v>
      </c>
      <c r="C72">
        <f t="shared" si="4"/>
        <v>0</v>
      </c>
      <c r="D72" t="b">
        <f t="shared" si="5"/>
        <v>1</v>
      </c>
    </row>
    <row r="73" spans="1:13" x14ac:dyDescent="0.25">
      <c r="A73">
        <v>0.6</v>
      </c>
      <c r="B73">
        <v>0.5</v>
      </c>
      <c r="C73">
        <f t="shared" si="4"/>
        <v>-9.9999999999999978E-2</v>
      </c>
      <c r="D73" t="b">
        <f t="shared" si="5"/>
        <v>1</v>
      </c>
    </row>
    <row r="74" spans="1:13" x14ac:dyDescent="0.25">
      <c r="A74">
        <v>0.6</v>
      </c>
      <c r="B74">
        <v>0.6</v>
      </c>
      <c r="C74">
        <f t="shared" si="4"/>
        <v>-0.19999999999999996</v>
      </c>
      <c r="D74" t="b">
        <f t="shared" si="5"/>
        <v>1</v>
      </c>
    </row>
    <row r="75" spans="1:13" x14ac:dyDescent="0.25">
      <c r="A75">
        <v>0.6</v>
      </c>
      <c r="B75">
        <v>0.7</v>
      </c>
      <c r="C75">
        <f t="shared" si="4"/>
        <v>-0.29999999999999993</v>
      </c>
      <c r="D75" t="b">
        <f t="shared" si="5"/>
        <v>1</v>
      </c>
    </row>
    <row r="76" spans="1:13" x14ac:dyDescent="0.25">
      <c r="A76">
        <v>0.6</v>
      </c>
      <c r="B76">
        <v>0.8</v>
      </c>
      <c r="C76">
        <f t="shared" si="4"/>
        <v>-0.4</v>
      </c>
      <c r="D76" t="b">
        <f t="shared" si="5"/>
        <v>1</v>
      </c>
    </row>
    <row r="77" spans="1:13" x14ac:dyDescent="0.25">
      <c r="A77">
        <v>0.6</v>
      </c>
      <c r="B77">
        <v>0.9</v>
      </c>
      <c r="C77">
        <f t="shared" si="4"/>
        <v>-0.5</v>
      </c>
      <c r="D77" t="b">
        <f t="shared" si="5"/>
        <v>1</v>
      </c>
    </row>
    <row r="78" spans="1:13" x14ac:dyDescent="0.25">
      <c r="A78">
        <v>0.6</v>
      </c>
      <c r="B78">
        <v>1</v>
      </c>
      <c r="C78">
        <f t="shared" si="4"/>
        <v>-0.6</v>
      </c>
      <c r="D78" t="b">
        <f t="shared" si="5"/>
        <v>1</v>
      </c>
    </row>
    <row r="79" spans="1:13" x14ac:dyDescent="0.25">
      <c r="A79">
        <v>0.7</v>
      </c>
      <c r="B79">
        <v>0</v>
      </c>
      <c r="C79">
        <f t="shared" si="4"/>
        <v>0.30000000000000004</v>
      </c>
      <c r="D79" t="b">
        <f t="shared" si="5"/>
        <v>1</v>
      </c>
    </row>
    <row r="80" spans="1:13" x14ac:dyDescent="0.25">
      <c r="A80">
        <v>0.7</v>
      </c>
      <c r="B80">
        <v>0.1</v>
      </c>
      <c r="C80">
        <f t="shared" si="4"/>
        <v>0.20000000000000004</v>
      </c>
      <c r="D80" t="b">
        <f t="shared" si="5"/>
        <v>1</v>
      </c>
    </row>
    <row r="81" spans="1:4" x14ac:dyDescent="0.25">
      <c r="A81">
        <v>0.7</v>
      </c>
      <c r="B81">
        <v>0.2</v>
      </c>
      <c r="C81">
        <f t="shared" si="4"/>
        <v>0.10000000000000003</v>
      </c>
      <c r="D81" t="b">
        <f t="shared" si="5"/>
        <v>1</v>
      </c>
    </row>
    <row r="82" spans="1:4" x14ac:dyDescent="0.25">
      <c r="A82">
        <v>0.7</v>
      </c>
      <c r="B82">
        <v>0.3</v>
      </c>
      <c r="C82">
        <f t="shared" si="4"/>
        <v>0</v>
      </c>
      <c r="D82" t="b">
        <f t="shared" si="5"/>
        <v>1</v>
      </c>
    </row>
    <row r="83" spans="1:4" x14ac:dyDescent="0.25">
      <c r="A83">
        <v>0.7</v>
      </c>
      <c r="B83">
        <v>0.4</v>
      </c>
      <c r="C83">
        <f t="shared" si="4"/>
        <v>-9.9999999999999978E-2</v>
      </c>
      <c r="D83" t="b">
        <f t="shared" si="5"/>
        <v>1</v>
      </c>
    </row>
    <row r="84" spans="1:4" x14ac:dyDescent="0.25">
      <c r="A84">
        <v>0.7</v>
      </c>
      <c r="B84">
        <v>0.5</v>
      </c>
      <c r="C84">
        <f t="shared" si="4"/>
        <v>-0.19999999999999996</v>
      </c>
      <c r="D84" t="b">
        <f t="shared" si="5"/>
        <v>1</v>
      </c>
    </row>
    <row r="85" spans="1:4" x14ac:dyDescent="0.25">
      <c r="A85">
        <v>0.7</v>
      </c>
      <c r="B85">
        <v>0.6</v>
      </c>
      <c r="C85">
        <f t="shared" si="4"/>
        <v>-0.29999999999999993</v>
      </c>
      <c r="D85" t="b">
        <f t="shared" si="5"/>
        <v>1</v>
      </c>
    </row>
    <row r="86" spans="1:4" x14ac:dyDescent="0.25">
      <c r="A86">
        <v>0.7</v>
      </c>
      <c r="B86">
        <v>0.7</v>
      </c>
      <c r="C86">
        <f t="shared" si="4"/>
        <v>-0.39999999999999991</v>
      </c>
      <c r="D86" t="b">
        <f t="shared" si="5"/>
        <v>1</v>
      </c>
    </row>
    <row r="87" spans="1:4" x14ac:dyDescent="0.25">
      <c r="A87">
        <v>0.7</v>
      </c>
      <c r="B87">
        <v>0.8</v>
      </c>
      <c r="C87">
        <f t="shared" si="4"/>
        <v>-0.5</v>
      </c>
      <c r="D87" t="b">
        <f t="shared" si="5"/>
        <v>1</v>
      </c>
    </row>
    <row r="88" spans="1:4" x14ac:dyDescent="0.25">
      <c r="A88">
        <v>0.7</v>
      </c>
      <c r="B88">
        <v>0.9</v>
      </c>
      <c r="C88">
        <f t="shared" si="4"/>
        <v>-0.6</v>
      </c>
      <c r="D88" t="b">
        <f t="shared" si="5"/>
        <v>1</v>
      </c>
    </row>
    <row r="89" spans="1:4" x14ac:dyDescent="0.25">
      <c r="A89">
        <v>0.7</v>
      </c>
      <c r="B89">
        <v>1</v>
      </c>
      <c r="C89">
        <f t="shared" si="4"/>
        <v>-0.7</v>
      </c>
      <c r="D89" t="b">
        <f t="shared" si="5"/>
        <v>1</v>
      </c>
    </row>
    <row r="90" spans="1:4" x14ac:dyDescent="0.25">
      <c r="A90">
        <v>0.8</v>
      </c>
      <c r="B90">
        <v>0</v>
      </c>
      <c r="C90">
        <f t="shared" si="4"/>
        <v>0.19999999999999996</v>
      </c>
      <c r="D90" t="b">
        <f t="shared" si="5"/>
        <v>1</v>
      </c>
    </row>
    <row r="91" spans="1:4" x14ac:dyDescent="0.25">
      <c r="A91">
        <v>0.8</v>
      </c>
      <c r="B91">
        <v>0.1</v>
      </c>
      <c r="C91">
        <f t="shared" si="4"/>
        <v>9.999999999999995E-2</v>
      </c>
      <c r="D91" t="b">
        <f t="shared" si="5"/>
        <v>1</v>
      </c>
    </row>
    <row r="92" spans="1:4" x14ac:dyDescent="0.25">
      <c r="A92">
        <v>0.8</v>
      </c>
      <c r="B92">
        <v>0.2</v>
      </c>
      <c r="C92">
        <f t="shared" si="4"/>
        <v>0</v>
      </c>
      <c r="D92" t="b">
        <f t="shared" si="5"/>
        <v>1</v>
      </c>
    </row>
    <row r="93" spans="1:4" x14ac:dyDescent="0.25">
      <c r="A93">
        <v>0.8</v>
      </c>
      <c r="B93">
        <v>0.3</v>
      </c>
      <c r="C93">
        <f t="shared" si="4"/>
        <v>-0.10000000000000003</v>
      </c>
      <c r="D93" t="b">
        <f t="shared" si="5"/>
        <v>1</v>
      </c>
    </row>
    <row r="94" spans="1:4" x14ac:dyDescent="0.25">
      <c r="A94">
        <v>0.8</v>
      </c>
      <c r="B94">
        <v>0.4</v>
      </c>
      <c r="C94">
        <f t="shared" si="4"/>
        <v>-0.20000000000000007</v>
      </c>
      <c r="D94" t="b">
        <f t="shared" si="5"/>
        <v>1</v>
      </c>
    </row>
    <row r="95" spans="1:4" x14ac:dyDescent="0.25">
      <c r="A95">
        <v>0.8</v>
      </c>
      <c r="B95">
        <v>0.5</v>
      </c>
      <c r="C95">
        <f t="shared" si="4"/>
        <v>-0.30000000000000004</v>
      </c>
      <c r="D95" t="b">
        <f t="shared" si="5"/>
        <v>1</v>
      </c>
    </row>
    <row r="96" spans="1:4" x14ac:dyDescent="0.25">
      <c r="A96">
        <v>0.8</v>
      </c>
      <c r="B96">
        <v>0.6</v>
      </c>
      <c r="C96">
        <f t="shared" si="4"/>
        <v>-0.4</v>
      </c>
      <c r="D96" t="b">
        <f t="shared" si="5"/>
        <v>1</v>
      </c>
    </row>
    <row r="97" spans="1:4" x14ac:dyDescent="0.25">
      <c r="A97">
        <v>0.8</v>
      </c>
      <c r="B97">
        <v>0.7</v>
      </c>
      <c r="C97">
        <f t="shared" si="4"/>
        <v>-0.5</v>
      </c>
      <c r="D97" t="b">
        <f t="shared" si="5"/>
        <v>1</v>
      </c>
    </row>
    <row r="98" spans="1:4" x14ac:dyDescent="0.25">
      <c r="A98">
        <v>0.8</v>
      </c>
      <c r="B98">
        <v>0.8</v>
      </c>
      <c r="C98">
        <f t="shared" si="4"/>
        <v>-0.60000000000000009</v>
      </c>
      <c r="D98" t="b">
        <f t="shared" si="5"/>
        <v>1</v>
      </c>
    </row>
    <row r="99" spans="1:4" x14ac:dyDescent="0.25">
      <c r="A99">
        <v>0.8</v>
      </c>
      <c r="B99">
        <v>0.9</v>
      </c>
      <c r="C99">
        <f t="shared" si="4"/>
        <v>-0.70000000000000007</v>
      </c>
      <c r="D99" t="b">
        <f t="shared" si="5"/>
        <v>1</v>
      </c>
    </row>
    <row r="100" spans="1:4" x14ac:dyDescent="0.25">
      <c r="A100">
        <v>0.8</v>
      </c>
      <c r="B100">
        <v>1</v>
      </c>
      <c r="C100">
        <f t="shared" si="4"/>
        <v>-0.8</v>
      </c>
      <c r="D100" t="b">
        <f t="shared" si="5"/>
        <v>1</v>
      </c>
    </row>
    <row r="101" spans="1:4" x14ac:dyDescent="0.25">
      <c r="A101">
        <v>0.9</v>
      </c>
      <c r="B101">
        <v>0</v>
      </c>
      <c r="C101">
        <f t="shared" si="4"/>
        <v>9.9999999999999978E-2</v>
      </c>
      <c r="D101" t="b">
        <f t="shared" si="5"/>
        <v>1</v>
      </c>
    </row>
    <row r="102" spans="1:4" x14ac:dyDescent="0.25">
      <c r="A102">
        <v>0.9</v>
      </c>
      <c r="B102">
        <v>0.1</v>
      </c>
      <c r="C102">
        <f t="shared" si="4"/>
        <v>0</v>
      </c>
      <c r="D102" t="b">
        <f t="shared" si="5"/>
        <v>1</v>
      </c>
    </row>
    <row r="103" spans="1:4" x14ac:dyDescent="0.25">
      <c r="A103">
        <v>0.9</v>
      </c>
      <c r="B103">
        <v>0.2</v>
      </c>
      <c r="C103">
        <f t="shared" si="4"/>
        <v>-0.10000000000000003</v>
      </c>
      <c r="D103" t="b">
        <f t="shared" si="5"/>
        <v>1</v>
      </c>
    </row>
    <row r="104" spans="1:4" x14ac:dyDescent="0.25">
      <c r="A104">
        <v>0.9</v>
      </c>
      <c r="B104">
        <v>0.3</v>
      </c>
      <c r="C104">
        <f t="shared" si="4"/>
        <v>-0.2</v>
      </c>
      <c r="D104" t="b">
        <f t="shared" si="5"/>
        <v>1</v>
      </c>
    </row>
    <row r="105" spans="1:4" x14ac:dyDescent="0.25">
      <c r="A105">
        <v>0.9</v>
      </c>
      <c r="B105">
        <v>0.4</v>
      </c>
      <c r="C105">
        <f t="shared" si="4"/>
        <v>-0.30000000000000004</v>
      </c>
      <c r="D105" t="b">
        <f t="shared" si="5"/>
        <v>1</v>
      </c>
    </row>
    <row r="106" spans="1:4" x14ac:dyDescent="0.25">
      <c r="A106">
        <v>0.9</v>
      </c>
      <c r="B106">
        <v>0.5</v>
      </c>
      <c r="C106">
        <f t="shared" si="4"/>
        <v>-0.4</v>
      </c>
      <c r="D106" t="b">
        <f t="shared" si="5"/>
        <v>1</v>
      </c>
    </row>
    <row r="107" spans="1:4" x14ac:dyDescent="0.25">
      <c r="A107">
        <v>0.9</v>
      </c>
      <c r="B107">
        <v>0.6</v>
      </c>
      <c r="C107">
        <f t="shared" si="4"/>
        <v>-0.5</v>
      </c>
      <c r="D107" t="b">
        <f t="shared" si="5"/>
        <v>1</v>
      </c>
    </row>
    <row r="108" spans="1:4" x14ac:dyDescent="0.25">
      <c r="A108">
        <v>0.9</v>
      </c>
      <c r="B108">
        <v>0.7</v>
      </c>
      <c r="C108">
        <f t="shared" si="4"/>
        <v>-0.6</v>
      </c>
      <c r="D108" t="b">
        <f t="shared" si="5"/>
        <v>1</v>
      </c>
    </row>
    <row r="109" spans="1:4" x14ac:dyDescent="0.25">
      <c r="A109">
        <v>0.9</v>
      </c>
      <c r="B109">
        <v>0.8</v>
      </c>
      <c r="C109">
        <f t="shared" si="4"/>
        <v>-0.70000000000000007</v>
      </c>
      <c r="D109" t="b">
        <f t="shared" si="5"/>
        <v>1</v>
      </c>
    </row>
    <row r="110" spans="1:4" x14ac:dyDescent="0.25">
      <c r="A110">
        <v>0.9</v>
      </c>
      <c r="B110">
        <v>0.9</v>
      </c>
      <c r="C110">
        <f t="shared" si="4"/>
        <v>-0.8</v>
      </c>
      <c r="D110" t="b">
        <f t="shared" si="5"/>
        <v>1</v>
      </c>
    </row>
    <row r="111" spans="1:4" x14ac:dyDescent="0.25">
      <c r="A111">
        <v>0.9</v>
      </c>
      <c r="B111">
        <v>1</v>
      </c>
      <c r="C111">
        <f t="shared" si="4"/>
        <v>-0.9</v>
      </c>
      <c r="D111" t="b">
        <f t="shared" si="5"/>
        <v>1</v>
      </c>
    </row>
    <row r="112" spans="1:4" x14ac:dyDescent="0.25">
      <c r="A112">
        <v>1</v>
      </c>
      <c r="B112">
        <v>0</v>
      </c>
      <c r="C112">
        <f t="shared" si="4"/>
        <v>0</v>
      </c>
      <c r="D112" t="b">
        <f t="shared" si="5"/>
        <v>1</v>
      </c>
    </row>
    <row r="113" spans="1:4" x14ac:dyDescent="0.25">
      <c r="A113">
        <v>1</v>
      </c>
      <c r="B113">
        <v>0.1</v>
      </c>
      <c r="C113">
        <f t="shared" si="4"/>
        <v>-0.1</v>
      </c>
      <c r="D113" t="b">
        <f t="shared" si="5"/>
        <v>1</v>
      </c>
    </row>
    <row r="114" spans="1:4" x14ac:dyDescent="0.25">
      <c r="A114">
        <v>1</v>
      </c>
      <c r="B114">
        <v>0.2</v>
      </c>
      <c r="C114">
        <f t="shared" si="4"/>
        <v>-0.2</v>
      </c>
      <c r="D114" t="b">
        <f t="shared" si="5"/>
        <v>1</v>
      </c>
    </row>
    <row r="115" spans="1:4" x14ac:dyDescent="0.25">
      <c r="A115">
        <v>1</v>
      </c>
      <c r="B115">
        <v>0.3</v>
      </c>
      <c r="C115">
        <f t="shared" si="4"/>
        <v>-0.3</v>
      </c>
      <c r="D115" t="b">
        <f t="shared" si="5"/>
        <v>1</v>
      </c>
    </row>
    <row r="116" spans="1:4" x14ac:dyDescent="0.25">
      <c r="A116">
        <v>1</v>
      </c>
      <c r="B116">
        <v>0.4</v>
      </c>
      <c r="C116">
        <f t="shared" si="4"/>
        <v>-0.4</v>
      </c>
      <c r="D116" t="b">
        <f t="shared" si="5"/>
        <v>1</v>
      </c>
    </row>
    <row r="117" spans="1:4" x14ac:dyDescent="0.25">
      <c r="A117">
        <v>1</v>
      </c>
      <c r="B117">
        <v>0.5</v>
      </c>
      <c r="C117">
        <f t="shared" si="4"/>
        <v>-0.5</v>
      </c>
      <c r="D117" t="b">
        <f t="shared" si="5"/>
        <v>1</v>
      </c>
    </row>
    <row r="118" spans="1:4" x14ac:dyDescent="0.25">
      <c r="A118">
        <v>1</v>
      </c>
      <c r="B118">
        <v>0.6</v>
      </c>
      <c r="C118">
        <f t="shared" si="4"/>
        <v>-0.6</v>
      </c>
      <c r="D118" t="b">
        <f t="shared" si="5"/>
        <v>1</v>
      </c>
    </row>
    <row r="119" spans="1:4" x14ac:dyDescent="0.25">
      <c r="A119">
        <v>1</v>
      </c>
      <c r="B119">
        <v>0.7</v>
      </c>
      <c r="C119">
        <f t="shared" si="4"/>
        <v>-0.7</v>
      </c>
      <c r="D119" t="b">
        <f t="shared" si="5"/>
        <v>1</v>
      </c>
    </row>
    <row r="120" spans="1:4" x14ac:dyDescent="0.25">
      <c r="A120">
        <v>1</v>
      </c>
      <c r="B120">
        <v>0.8</v>
      </c>
      <c r="C120">
        <f t="shared" si="4"/>
        <v>-0.8</v>
      </c>
      <c r="D120" t="b">
        <f t="shared" si="5"/>
        <v>1</v>
      </c>
    </row>
    <row r="121" spans="1:4" x14ac:dyDescent="0.25">
      <c r="A121">
        <v>1</v>
      </c>
      <c r="B121">
        <v>0.9</v>
      </c>
      <c r="C121">
        <f t="shared" si="4"/>
        <v>-0.9</v>
      </c>
      <c r="D121" t="b">
        <f t="shared" si="5"/>
        <v>1</v>
      </c>
    </row>
    <row r="122" spans="1:4" x14ac:dyDescent="0.25">
      <c r="A122">
        <v>1</v>
      </c>
      <c r="B122">
        <v>1</v>
      </c>
      <c r="C122">
        <f t="shared" si="4"/>
        <v>-1</v>
      </c>
      <c r="D122" t="b">
        <f t="shared" si="5"/>
        <v>1</v>
      </c>
    </row>
  </sheetData>
  <conditionalFormatting sqref="L2:L67">
    <cfRule type="top10" dxfId="2" priority="1" rank="1"/>
  </conditionalFormatting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F95D-A2CF-4702-9371-F6AE754D28C7}">
  <dimension ref="A1:AC122"/>
  <sheetViews>
    <sheetView tabSelected="1" zoomScaleNormal="100" workbookViewId="0">
      <pane ySplit="1" topLeftCell="A17" activePane="bottomLeft" state="frozen"/>
      <selection pane="bottomLeft" activeCell="Q45" sqref="Q45"/>
    </sheetView>
  </sheetViews>
  <sheetFormatPr defaultRowHeight="15" x14ac:dyDescent="0.25"/>
  <cols>
    <col min="1" max="1" width="9.28515625" bestFit="1" customWidth="1"/>
    <col min="2" max="2" width="7.140625" bestFit="1" customWidth="1"/>
    <col min="3" max="3" width="10" bestFit="1" customWidth="1"/>
    <col min="4" max="4" width="9.5703125" bestFit="1" customWidth="1"/>
    <col min="5" max="5" width="8.28515625" bestFit="1" customWidth="1"/>
    <col min="6" max="6" width="6.140625" bestFit="1" customWidth="1"/>
    <col min="7" max="7" width="9" bestFit="1" customWidth="1"/>
    <col min="8" max="8" width="7" bestFit="1" customWidth="1"/>
    <col min="9" max="9" width="13.5703125" bestFit="1" customWidth="1"/>
    <col min="10" max="12" width="8.42578125" bestFit="1" customWidth="1"/>
    <col min="13" max="13" width="6.140625" bestFit="1" customWidth="1"/>
    <col min="14" max="14" width="11.85546875" bestFit="1" customWidth="1"/>
    <col min="15" max="17" width="11.85546875" customWidth="1"/>
    <col min="18" max="18" width="12.7109375" bestFit="1" customWidth="1"/>
    <col min="19" max="19" width="14.7109375" bestFit="1" customWidth="1"/>
    <col min="20" max="20" width="12.42578125" customWidth="1"/>
    <col min="21" max="21" width="10.85546875" customWidth="1"/>
  </cols>
  <sheetData>
    <row r="1" spans="1:22" x14ac:dyDescent="0.25">
      <c r="A1" t="s">
        <v>20</v>
      </c>
      <c r="B1" t="s">
        <v>21</v>
      </c>
      <c r="C1" t="s">
        <v>22</v>
      </c>
      <c r="D1" t="s">
        <v>35</v>
      </c>
      <c r="E1" s="3" t="s">
        <v>17</v>
      </c>
      <c r="F1" s="3" t="s">
        <v>18</v>
      </c>
      <c r="G1" s="3" t="s">
        <v>19</v>
      </c>
      <c r="H1" t="s">
        <v>35</v>
      </c>
      <c r="I1" s="3" t="s">
        <v>26</v>
      </c>
      <c r="J1" s="3" t="s">
        <v>27</v>
      </c>
      <c r="K1" s="3" t="s">
        <v>28</v>
      </c>
      <c r="L1" s="3" t="s">
        <v>29</v>
      </c>
      <c r="M1" s="10" t="s">
        <v>30</v>
      </c>
      <c r="S1" s="14"/>
      <c r="T1" s="14"/>
      <c r="U1" s="14"/>
      <c r="V1" s="16"/>
    </row>
    <row r="2" spans="1:22" x14ac:dyDescent="0.25">
      <c r="A2">
        <v>0</v>
      </c>
      <c r="B2">
        <v>0</v>
      </c>
      <c r="C2">
        <f>1-A2-B2</f>
        <v>1</v>
      </c>
      <c r="D2" t="b">
        <f>B2&gt;=0.3</f>
        <v>0</v>
      </c>
      <c r="E2" s="2" cm="1">
        <f t="array" ref="E2:H37">_xlfn._xlws.FILTER(A2:D122, ( C2:C122&gt;=0 ) * D2:D122)</f>
        <v>0</v>
      </c>
      <c r="F2" s="2">
        <v>0.3</v>
      </c>
      <c r="G2" s="2">
        <v>0.7</v>
      </c>
      <c r="H2" t="b">
        <v>1</v>
      </c>
      <c r="I2" s="7">
        <f>SUMPRODUCT(E2:G2, pivot_RET!$M$7:$O$7)</f>
        <v>1.4654554705359346E-2</v>
      </c>
      <c r="J2" s="7" cm="1">
        <f t="array" ref="J2">MMULT(E2:G2,MMULT(pivot_RET!$M$16:$O$18,TRANSPOSE('portfolio_RET_30%(2)'!E2:G2)))</f>
        <v>3.7502527870994003E-3</v>
      </c>
      <c r="K2" s="7">
        <f>SQRT(J2)</f>
        <v>6.123930753282078E-2</v>
      </c>
      <c r="L2" s="7">
        <f>I2/K2</f>
        <v>0.23929981078746423</v>
      </c>
      <c r="M2" s="8">
        <f>I2+pivot_RET!$P$2</f>
        <v>1.6181640000000001E-2</v>
      </c>
      <c r="S2" s="15"/>
      <c r="T2" s="12"/>
      <c r="U2" s="12"/>
    </row>
    <row r="3" spans="1:22" x14ac:dyDescent="0.25">
      <c r="A3">
        <v>0</v>
      </c>
      <c r="B3">
        <v>0.1</v>
      </c>
      <c r="C3">
        <f t="shared" ref="C3:C66" si="0">1-A3-B3</f>
        <v>0.9</v>
      </c>
      <c r="D3" t="b">
        <f t="shared" ref="D3:D66" si="1">B3&gt;=0.3</f>
        <v>0</v>
      </c>
      <c r="E3" s="2">
        <v>0</v>
      </c>
      <c r="F3" s="2">
        <v>0.4</v>
      </c>
      <c r="G3" s="2">
        <v>0.6</v>
      </c>
      <c r="H3" t="b">
        <v>1</v>
      </c>
      <c r="I3" s="7">
        <f>SUMPRODUCT(E3:G3, pivot_RET!$M$7:$O$7)</f>
        <v>1.3441418038692678E-2</v>
      </c>
      <c r="J3" s="7" cm="1">
        <f t="array" ref="J3">MMULT(E3:G3,MMULT(pivot_RET!$M$16:$O$18,TRANSPOSE('portfolio_RET_30%(2)'!E3:G3)))</f>
        <v>3.2472539941993226E-3</v>
      </c>
      <c r="K3" s="7">
        <f t="shared" ref="K3:K37" si="2">SQRT(J3)</f>
        <v>5.6984682101414962E-2</v>
      </c>
      <c r="L3" s="7">
        <f t="shared" ref="L3:L37" si="3">I3/K3</f>
        <v>0.23587774017535354</v>
      </c>
      <c r="M3" s="8">
        <f>I3+pivot_RET!$P$2</f>
        <v>1.4968503333333334E-2</v>
      </c>
      <c r="S3" s="15"/>
      <c r="T3" s="12"/>
      <c r="U3" s="12"/>
    </row>
    <row r="4" spans="1:22" x14ac:dyDescent="0.25">
      <c r="A4">
        <v>0</v>
      </c>
      <c r="B4">
        <v>0.2</v>
      </c>
      <c r="C4">
        <f t="shared" si="0"/>
        <v>0.8</v>
      </c>
      <c r="D4" t="b">
        <f t="shared" si="1"/>
        <v>0</v>
      </c>
      <c r="E4" s="2">
        <v>0</v>
      </c>
      <c r="F4" s="2">
        <v>0.5</v>
      </c>
      <c r="G4" s="2">
        <v>0.5</v>
      </c>
      <c r="H4" t="b">
        <v>1</v>
      </c>
      <c r="I4" s="7">
        <f>SUMPRODUCT(E4:G4, pivot_RET!$M$7:$O$7)</f>
        <v>1.2228281372026011E-2</v>
      </c>
      <c r="J4" s="7" cm="1">
        <f t="array" ref="J4">MMULT(E4:G4,MMULT(pivot_RET!$M$16:$O$18,TRANSPOSE('portfolio_RET_30%(2)'!E4:G4)))</f>
        <v>2.8641443595572224E-3</v>
      </c>
      <c r="K4" s="7">
        <f t="shared" si="2"/>
        <v>5.3517701366531265E-2</v>
      </c>
      <c r="L4" s="7">
        <f t="shared" si="3"/>
        <v>0.22849040709497467</v>
      </c>
      <c r="M4" s="8">
        <f>I4+pivot_RET!$P$2</f>
        <v>1.3755366666666668E-2</v>
      </c>
      <c r="S4" s="15"/>
      <c r="T4" s="12"/>
      <c r="U4" s="12"/>
    </row>
    <row r="5" spans="1:22" x14ac:dyDescent="0.25">
      <c r="A5">
        <v>0</v>
      </c>
      <c r="B5">
        <v>0.3</v>
      </c>
      <c r="C5">
        <f t="shared" si="0"/>
        <v>0.7</v>
      </c>
      <c r="D5" t="b">
        <f t="shared" si="1"/>
        <v>1</v>
      </c>
      <c r="E5" s="2">
        <v>0</v>
      </c>
      <c r="F5" s="2">
        <v>0.6</v>
      </c>
      <c r="G5" s="2">
        <v>0.4</v>
      </c>
      <c r="H5" t="b">
        <v>1</v>
      </c>
      <c r="I5" s="7">
        <f>SUMPRODUCT(E5:G5, pivot_RET!$M$7:$O$7)</f>
        <v>1.1015144705359345E-2</v>
      </c>
      <c r="J5" s="7" cm="1">
        <f t="array" ref="J5">MMULT(E5:G5,MMULT(pivot_RET!$M$16:$O$18,TRANSPOSE('portfolio_RET_30%(2)'!E5:G5)))</f>
        <v>2.6009238831731004E-3</v>
      </c>
      <c r="K5" s="7">
        <f t="shared" si="2"/>
        <v>5.0999253751139347E-2</v>
      </c>
      <c r="L5" s="7">
        <f t="shared" si="3"/>
        <v>0.21598638990111227</v>
      </c>
      <c r="M5" s="8">
        <f>I5+pivot_RET!$P$2</f>
        <v>1.2542230000000001E-2</v>
      </c>
      <c r="S5" s="15"/>
      <c r="T5" s="12"/>
      <c r="U5" s="12"/>
    </row>
    <row r="6" spans="1:22" x14ac:dyDescent="0.25">
      <c r="A6">
        <v>0</v>
      </c>
      <c r="B6">
        <v>0.4</v>
      </c>
      <c r="C6">
        <f t="shared" si="0"/>
        <v>0.6</v>
      </c>
      <c r="D6" t="b">
        <f t="shared" si="1"/>
        <v>1</v>
      </c>
      <c r="E6" s="2">
        <v>0</v>
      </c>
      <c r="F6" s="2">
        <v>0.7</v>
      </c>
      <c r="G6" s="2">
        <v>0.30000000000000004</v>
      </c>
      <c r="H6" t="b">
        <v>1</v>
      </c>
      <c r="I6" s="7">
        <f>SUMPRODUCT(E6:G6, pivot_RET!$M$7:$O$7)</f>
        <v>9.8020080386926785E-3</v>
      </c>
      <c r="J6" s="7" cm="1">
        <f t="array" ref="J6">MMULT(E6:G6,MMULT(pivot_RET!$M$16:$O$18,TRANSPOSE('portfolio_RET_30%(2)'!E6:G6)))</f>
        <v>2.457592565046956E-3</v>
      </c>
      <c r="K6" s="7">
        <f t="shared" si="2"/>
        <v>4.9574111843248954E-2</v>
      </c>
      <c r="L6" s="7">
        <f t="shared" si="3"/>
        <v>0.19772432978095852</v>
      </c>
      <c r="M6" s="8">
        <f>I6+pivot_RET!$P$2</f>
        <v>1.1329093333333335E-2</v>
      </c>
      <c r="S6" s="15"/>
      <c r="T6" s="12"/>
      <c r="U6" s="12"/>
    </row>
    <row r="7" spans="1:22" x14ac:dyDescent="0.25">
      <c r="A7">
        <v>0</v>
      </c>
      <c r="B7">
        <v>0.5</v>
      </c>
      <c r="C7">
        <f t="shared" si="0"/>
        <v>0.5</v>
      </c>
      <c r="D7" t="b">
        <f t="shared" si="1"/>
        <v>1</v>
      </c>
      <c r="E7" s="2">
        <v>0</v>
      </c>
      <c r="F7" s="2">
        <v>0.8</v>
      </c>
      <c r="G7" s="2">
        <v>0.19999999999999996</v>
      </c>
      <c r="H7" t="b">
        <v>1</v>
      </c>
      <c r="I7" s="7">
        <f>SUMPRODUCT(E7:G7, pivot_RET!$M$7:$O$7)</f>
        <v>8.5888713720260104E-3</v>
      </c>
      <c r="J7" s="7" cm="1">
        <f t="array" ref="J7">MMULT(E7:G7,MMULT(pivot_RET!$M$16:$O$18,TRANSPOSE('portfolio_RET_30%(2)'!E7:G7)))</f>
        <v>2.4341504051787889E-3</v>
      </c>
      <c r="K7" s="7">
        <f t="shared" si="2"/>
        <v>4.9337109817852005E-2</v>
      </c>
      <c r="L7" s="7">
        <f t="shared" si="3"/>
        <v>0.17408541772583194</v>
      </c>
      <c r="M7" s="8">
        <f>I7+pivot_RET!$P$2</f>
        <v>1.0115956666666667E-2</v>
      </c>
      <c r="S7" s="15"/>
      <c r="T7" s="12"/>
      <c r="U7" s="12"/>
    </row>
    <row r="8" spans="1:22" x14ac:dyDescent="0.25">
      <c r="A8">
        <v>0</v>
      </c>
      <c r="B8">
        <v>0.6</v>
      </c>
      <c r="C8">
        <f t="shared" si="0"/>
        <v>0.4</v>
      </c>
      <c r="D8" t="b">
        <f t="shared" si="1"/>
        <v>1</v>
      </c>
      <c r="E8" s="2">
        <v>0</v>
      </c>
      <c r="F8" s="2">
        <v>0.9</v>
      </c>
      <c r="G8" s="2">
        <v>9.9999999999999978E-2</v>
      </c>
      <c r="H8" t="b">
        <v>1</v>
      </c>
      <c r="I8" s="7">
        <f>SUMPRODUCT(E8:G8, pivot_RET!$M$7:$O$7)</f>
        <v>7.375734705359344E-3</v>
      </c>
      <c r="J8" s="7" cm="1">
        <f t="array" ref="J8">MMULT(E8:G8,MMULT(pivot_RET!$M$16:$O$18,TRANSPOSE('portfolio_RET_30%(2)'!E8:G8)))</f>
        <v>2.5305974035686003E-3</v>
      </c>
      <c r="K8" s="7">
        <f t="shared" si="2"/>
        <v>5.0305043520193882E-2</v>
      </c>
      <c r="L8" s="7">
        <f t="shared" si="3"/>
        <v>0.14662018336985463</v>
      </c>
      <c r="M8" s="8">
        <f>I8+pivot_RET!$P$2</f>
        <v>8.9028200000000005E-3</v>
      </c>
      <c r="S8" s="15"/>
      <c r="T8" s="12"/>
      <c r="U8" s="12"/>
    </row>
    <row r="9" spans="1:22" x14ac:dyDescent="0.25">
      <c r="A9">
        <v>0</v>
      </c>
      <c r="B9">
        <v>0.7</v>
      </c>
      <c r="C9">
        <f t="shared" si="0"/>
        <v>0.30000000000000004</v>
      </c>
      <c r="D9" t="b">
        <f t="shared" si="1"/>
        <v>1</v>
      </c>
      <c r="E9" s="2">
        <v>0</v>
      </c>
      <c r="F9" s="2">
        <v>1</v>
      </c>
      <c r="G9" s="2">
        <v>0</v>
      </c>
      <c r="H9" t="b">
        <v>1</v>
      </c>
      <c r="I9" s="7">
        <f>SUMPRODUCT(E9:G9, pivot_RET!$M$7:$O$7)</f>
        <v>6.1625980386926767E-3</v>
      </c>
      <c r="J9" s="7" cm="1">
        <f t="array" ref="J9">MMULT(E9:G9,MMULT(pivot_RET!$M$16:$O$18,TRANSPOSE('portfolio_RET_30%(2)'!E9:G9)))</f>
        <v>2.7469335602163889E-3</v>
      </c>
      <c r="K9" s="7">
        <f t="shared" si="2"/>
        <v>5.2411196897384334E-2</v>
      </c>
      <c r="L9" s="7">
        <f t="shared" si="3"/>
        <v>0.11758170779343967</v>
      </c>
      <c r="M9" s="8">
        <f>I9+pivot_RET!$P$2</f>
        <v>7.6896833333333333E-3</v>
      </c>
      <c r="S9" s="15"/>
      <c r="T9" s="12"/>
      <c r="U9" s="12"/>
    </row>
    <row r="10" spans="1:22" x14ac:dyDescent="0.25">
      <c r="A10">
        <v>0</v>
      </c>
      <c r="B10">
        <v>0.8</v>
      </c>
      <c r="C10">
        <f t="shared" si="0"/>
        <v>0.19999999999999996</v>
      </c>
      <c r="D10" t="b">
        <f t="shared" si="1"/>
        <v>1</v>
      </c>
      <c r="E10" s="2">
        <v>0.1</v>
      </c>
      <c r="F10" s="2">
        <v>0.3</v>
      </c>
      <c r="G10" s="2">
        <v>0.60000000000000009</v>
      </c>
      <c r="H10" t="b">
        <v>1</v>
      </c>
      <c r="I10" s="7">
        <f>SUMPRODUCT(E10:G10, pivot_RET!$M$7:$O$7)</f>
        <v>1.5159879705359348E-2</v>
      </c>
      <c r="J10" s="7" cm="1">
        <f t="array" ref="J10">MMULT(E10:G10,MMULT(pivot_RET!$M$16:$O$18,TRANSPOSE('portfolio_RET_30%(2)'!E10:G10)))</f>
        <v>3.3945170192096093E-3</v>
      </c>
      <c r="K10" s="7">
        <f t="shared" si="2"/>
        <v>5.8262483805701329E-2</v>
      </c>
      <c r="L10" s="7">
        <f t="shared" si="3"/>
        <v>0.26019968108321301</v>
      </c>
      <c r="M10" s="8">
        <f>I10+pivot_RET!$P$2</f>
        <v>1.6686965000000005E-2</v>
      </c>
      <c r="S10" s="15"/>
      <c r="T10" s="12"/>
      <c r="U10" s="12"/>
    </row>
    <row r="11" spans="1:22" x14ac:dyDescent="0.25">
      <c r="A11">
        <v>0</v>
      </c>
      <c r="B11">
        <v>0.9</v>
      </c>
      <c r="C11">
        <f t="shared" si="0"/>
        <v>9.9999999999999978E-2</v>
      </c>
      <c r="D11" t="b">
        <f t="shared" si="1"/>
        <v>1</v>
      </c>
      <c r="E11" s="2">
        <v>0.1</v>
      </c>
      <c r="F11" s="2">
        <v>0.4</v>
      </c>
      <c r="G11" s="2">
        <v>0.5</v>
      </c>
      <c r="H11" t="b">
        <v>1</v>
      </c>
      <c r="I11" s="7">
        <f>SUMPRODUCT(E11:G11, pivot_RET!$M$7:$O$7)</f>
        <v>1.3946743038692679E-2</v>
      </c>
      <c r="J11" s="7" cm="1">
        <f t="array" ref="J11">MMULT(E11:G11,MMULT(pivot_RET!$M$16:$O$18,TRANSPOSE('portfolio_RET_30%(2)'!E11:G11)))</f>
        <v>2.9411980642903646E-3</v>
      </c>
      <c r="K11" s="7">
        <f t="shared" si="2"/>
        <v>5.4232813538395409E-2</v>
      </c>
      <c r="L11" s="7">
        <f t="shared" si="3"/>
        <v>0.2571642909291208</v>
      </c>
      <c r="M11" s="8">
        <f>I11+pivot_RET!$P$2</f>
        <v>1.5473828333333335E-2</v>
      </c>
      <c r="S11" s="15"/>
      <c r="T11" s="12"/>
      <c r="U11" s="12"/>
    </row>
    <row r="12" spans="1:22" x14ac:dyDescent="0.25">
      <c r="A12">
        <v>0</v>
      </c>
      <c r="B12">
        <v>1</v>
      </c>
      <c r="C12">
        <f t="shared" si="0"/>
        <v>0</v>
      </c>
      <c r="D12" t="b">
        <f t="shared" si="1"/>
        <v>1</v>
      </c>
      <c r="E12" s="2">
        <v>0.1</v>
      </c>
      <c r="F12" s="2">
        <v>0.5</v>
      </c>
      <c r="G12" s="2">
        <v>0.4</v>
      </c>
      <c r="H12" t="b">
        <v>1</v>
      </c>
      <c r="I12" s="7">
        <f>SUMPRODUCT(E12:G12, pivot_RET!$M$7:$O$7)</f>
        <v>1.2733606372026012E-2</v>
      </c>
      <c r="J12" s="7" cm="1">
        <f t="array" ref="J12">MMULT(E12:G12,MMULT(pivot_RET!$M$16:$O$18,TRANSPOSE('portfolio_RET_30%(2)'!E12:G12)))</f>
        <v>2.6077682676290976E-3</v>
      </c>
      <c r="K12" s="7">
        <f t="shared" si="2"/>
        <v>5.1066312453799695E-2</v>
      </c>
      <c r="L12" s="7">
        <f t="shared" si="3"/>
        <v>0.24935433478863897</v>
      </c>
      <c r="M12" s="8">
        <f>I12+pivot_RET!$P$2</f>
        <v>1.4260691666666669E-2</v>
      </c>
      <c r="S12" s="15"/>
      <c r="T12" s="12"/>
      <c r="U12" s="12"/>
    </row>
    <row r="13" spans="1:22" x14ac:dyDescent="0.25">
      <c r="A13">
        <v>0.1</v>
      </c>
      <c r="B13">
        <v>0</v>
      </c>
      <c r="C13">
        <f t="shared" si="0"/>
        <v>0.9</v>
      </c>
      <c r="D13" t="b">
        <f t="shared" si="1"/>
        <v>0</v>
      </c>
      <c r="E13" s="2">
        <v>0.1</v>
      </c>
      <c r="F13" s="2">
        <v>0.6</v>
      </c>
      <c r="G13" s="2">
        <v>0.30000000000000004</v>
      </c>
      <c r="H13" t="b">
        <v>1</v>
      </c>
      <c r="I13" s="7">
        <f>SUMPRODUCT(E13:G13, pivot_RET!$M$7:$O$7)</f>
        <v>1.1520469705359346E-2</v>
      </c>
      <c r="J13" s="7" cm="1">
        <f t="array" ref="J13">MMULT(E13:G13,MMULT(pivot_RET!$M$16:$O$18,TRANSPOSE('portfolio_RET_30%(2)'!E13:G13)))</f>
        <v>2.3942276292258091E-3</v>
      </c>
      <c r="K13" s="7">
        <f t="shared" si="2"/>
        <v>4.8930845376161332E-2</v>
      </c>
      <c r="L13" s="7">
        <f t="shared" si="3"/>
        <v>0.23544391307353163</v>
      </c>
      <c r="M13" s="8">
        <f>I13+pivot_RET!$P$2</f>
        <v>1.3047555000000002E-2</v>
      </c>
      <c r="S13" s="15"/>
      <c r="T13" s="12"/>
      <c r="U13" s="12"/>
    </row>
    <row r="14" spans="1:22" x14ac:dyDescent="0.25">
      <c r="A14">
        <v>0.1</v>
      </c>
      <c r="B14">
        <v>0.1</v>
      </c>
      <c r="C14">
        <f t="shared" si="0"/>
        <v>0.8</v>
      </c>
      <c r="D14" t="b">
        <f t="shared" si="1"/>
        <v>0</v>
      </c>
      <c r="E14" s="2">
        <v>0.1</v>
      </c>
      <c r="F14" s="2">
        <v>0.7</v>
      </c>
      <c r="G14" s="2">
        <v>0.20000000000000007</v>
      </c>
      <c r="H14" t="b">
        <v>1</v>
      </c>
      <c r="I14" s="7">
        <f>SUMPRODUCT(E14:G14, pivot_RET!$M$7:$O$7)</f>
        <v>1.0307333038692679E-2</v>
      </c>
      <c r="J14" s="7" cm="1">
        <f t="array" ref="J14">MMULT(E14:G14,MMULT(pivot_RET!$M$16:$O$18,TRANSPOSE('portfolio_RET_30%(2)'!E14:G14)))</f>
        <v>2.3005761490804974E-3</v>
      </c>
      <c r="K14" s="7">
        <f t="shared" si="2"/>
        <v>4.7964321626397445E-2</v>
      </c>
      <c r="L14" s="7">
        <f t="shared" si="3"/>
        <v>0.21489583693017308</v>
      </c>
      <c r="M14" s="8">
        <f>I14+pivot_RET!$P$2</f>
        <v>1.1834418333333336E-2</v>
      </c>
      <c r="S14" s="15"/>
      <c r="T14" s="12"/>
      <c r="U14" s="12"/>
    </row>
    <row r="15" spans="1:22" x14ac:dyDescent="0.25">
      <c r="A15">
        <v>0.1</v>
      </c>
      <c r="B15">
        <v>0.2</v>
      </c>
      <c r="C15">
        <f t="shared" si="0"/>
        <v>0.7</v>
      </c>
      <c r="D15" t="b">
        <f t="shared" si="1"/>
        <v>0</v>
      </c>
      <c r="E15" s="2">
        <v>0.1</v>
      </c>
      <c r="F15" s="2">
        <v>0.8</v>
      </c>
      <c r="G15" s="2">
        <v>9.9999999999999978E-2</v>
      </c>
      <c r="H15" t="b">
        <v>1</v>
      </c>
      <c r="I15" s="7">
        <f>SUMPRODUCT(E15:G15, pivot_RET!$M$7:$O$7)</f>
        <v>9.0941963720260113E-3</v>
      </c>
      <c r="J15" s="7" cm="1">
        <f t="array" ref="J15">MMULT(E15:G15,MMULT(pivot_RET!$M$16:$O$18,TRANSPOSE('portfolio_RET_30%(2)'!E15:G15)))</f>
        <v>2.3268138271931643E-3</v>
      </c>
      <c r="K15" s="7">
        <f t="shared" si="2"/>
        <v>4.8237058649892452E-2</v>
      </c>
      <c r="L15" s="7">
        <f t="shared" si="3"/>
        <v>0.18853132066016401</v>
      </c>
      <c r="M15" s="8">
        <f>I15+pivot_RET!$P$2</f>
        <v>1.0621281666666668E-2</v>
      </c>
      <c r="S15" s="15"/>
      <c r="T15" s="12"/>
      <c r="U15" s="12"/>
    </row>
    <row r="16" spans="1:22" x14ac:dyDescent="0.25">
      <c r="A16">
        <v>0.1</v>
      </c>
      <c r="B16">
        <v>0.3</v>
      </c>
      <c r="C16">
        <f t="shared" si="0"/>
        <v>0.60000000000000009</v>
      </c>
      <c r="D16" t="b">
        <f t="shared" si="1"/>
        <v>1</v>
      </c>
      <c r="E16" s="2">
        <v>0.1</v>
      </c>
      <c r="F16" s="2">
        <v>0.9</v>
      </c>
      <c r="G16" s="2">
        <v>0</v>
      </c>
      <c r="H16" t="b">
        <v>1</v>
      </c>
      <c r="I16" s="7">
        <f>SUMPRODUCT(E16:G16, pivot_RET!$M$7:$O$7)</f>
        <v>7.8810597053593449E-3</v>
      </c>
      <c r="J16" s="7" cm="1">
        <f t="array" ref="J16">MMULT(E16:G16,MMULT(pivot_RET!$M$16:$O$18,TRANSPOSE('portfolio_RET_30%(2)'!E16:G16)))</f>
        <v>2.4729406635638084E-3</v>
      </c>
      <c r="K16" s="7">
        <f t="shared" si="2"/>
        <v>4.972867043832771E-2</v>
      </c>
      <c r="L16" s="7">
        <f t="shared" si="3"/>
        <v>0.15848120683486289</v>
      </c>
      <c r="M16" s="8">
        <f>I16+pivot_RET!$P$2</f>
        <v>9.4081450000000014E-3</v>
      </c>
      <c r="S16" s="15"/>
      <c r="T16" s="12"/>
      <c r="U16" s="12"/>
    </row>
    <row r="17" spans="1:29" x14ac:dyDescent="0.25">
      <c r="A17">
        <v>0.1</v>
      </c>
      <c r="B17">
        <v>0.4</v>
      </c>
      <c r="C17">
        <f t="shared" si="0"/>
        <v>0.5</v>
      </c>
      <c r="D17" t="b">
        <f t="shared" si="1"/>
        <v>1</v>
      </c>
      <c r="E17" s="2">
        <v>0.2</v>
      </c>
      <c r="F17" s="2">
        <v>0.3</v>
      </c>
      <c r="G17" s="2">
        <v>0.5</v>
      </c>
      <c r="H17" t="b">
        <v>1</v>
      </c>
      <c r="I17" s="7">
        <f>SUMPRODUCT(E17:G17, pivot_RET!$M$7:$O$7)</f>
        <v>1.5665204705359349E-2</v>
      </c>
      <c r="J17" s="7" cm="1">
        <f t="array" ref="J17">MMULT(E17:G17,MMULT(pivot_RET!$M$16:$O$18,TRANSPOSE('portfolio_RET_30%(2)'!E17:G17)))</f>
        <v>3.1061035575202338E-3</v>
      </c>
      <c r="K17" s="7">
        <f t="shared" si="2"/>
        <v>5.5732428239941546E-2</v>
      </c>
      <c r="L17" s="7">
        <f t="shared" si="3"/>
        <v>0.28107881174523502</v>
      </c>
      <c r="M17" s="8">
        <f>I17+pivot_RET!$P$2</f>
        <v>1.7192290000000006E-2</v>
      </c>
      <c r="S17" s="15"/>
      <c r="T17" s="12"/>
      <c r="U17" s="12"/>
    </row>
    <row r="18" spans="1:29" x14ac:dyDescent="0.25">
      <c r="A18">
        <v>0.1</v>
      </c>
      <c r="B18">
        <v>0.5</v>
      </c>
      <c r="C18">
        <f t="shared" si="0"/>
        <v>0.4</v>
      </c>
      <c r="D18" t="b">
        <f t="shared" si="1"/>
        <v>1</v>
      </c>
      <c r="E18" s="2">
        <v>0.2</v>
      </c>
      <c r="F18" s="2">
        <v>0.4</v>
      </c>
      <c r="G18" s="2">
        <v>0.4</v>
      </c>
      <c r="H18" t="b">
        <v>1</v>
      </c>
      <c r="I18" s="7">
        <f>SUMPRODUCT(E18:G18, pivot_RET!$M$7:$O$7)</f>
        <v>1.4452068038692679E-2</v>
      </c>
      <c r="J18" s="7" cm="1">
        <f t="array" ref="J18">MMULT(E18:G18,MMULT(pivot_RET!$M$16:$O$18,TRANSPOSE('portfolio_RET_30%(2)'!E18:G18)))</f>
        <v>2.7024644405818227E-3</v>
      </c>
      <c r="K18" s="7">
        <f t="shared" si="2"/>
        <v>5.1985232908796537E-2</v>
      </c>
      <c r="L18" s="7">
        <f t="shared" si="3"/>
        <v>0.27800333344754935</v>
      </c>
      <c r="M18" s="8">
        <f>I18+pivot_RET!$P$2</f>
        <v>1.5979153333333336E-2</v>
      </c>
      <c r="S18" s="15"/>
      <c r="T18" s="12"/>
      <c r="U18" s="12"/>
    </row>
    <row r="19" spans="1:29" x14ac:dyDescent="0.25">
      <c r="A19">
        <v>0.1</v>
      </c>
      <c r="B19">
        <v>0.6</v>
      </c>
      <c r="C19">
        <f t="shared" si="0"/>
        <v>0.30000000000000004</v>
      </c>
      <c r="D19" t="b">
        <f t="shared" si="1"/>
        <v>1</v>
      </c>
      <c r="E19" s="2">
        <v>0.2</v>
      </c>
      <c r="F19" s="2">
        <v>0.5</v>
      </c>
      <c r="G19" s="2">
        <v>0.30000000000000004</v>
      </c>
      <c r="H19" t="b">
        <v>1</v>
      </c>
      <c r="I19" s="7">
        <f>SUMPRODUCT(E19:G19, pivot_RET!$M$7:$O$7)</f>
        <v>1.3238931372026013E-2</v>
      </c>
      <c r="J19" s="7" cm="1">
        <f t="array" ref="J19">MMULT(E19:G19,MMULT(pivot_RET!$M$16:$O$18,TRANSPOSE('portfolio_RET_30%(2)'!E19:G19)))</f>
        <v>2.4187144819013892E-3</v>
      </c>
      <c r="K19" s="7">
        <f t="shared" si="2"/>
        <v>4.9180427833655421E-2</v>
      </c>
      <c r="L19" s="7">
        <f t="shared" si="3"/>
        <v>0.2691910574020317</v>
      </c>
      <c r="M19" s="8">
        <f>I19+pivot_RET!$P$2</f>
        <v>1.476601666666667E-2</v>
      </c>
      <c r="S19" s="15"/>
      <c r="T19" s="12"/>
      <c r="U19" s="12"/>
    </row>
    <row r="20" spans="1:29" x14ac:dyDescent="0.25">
      <c r="A20">
        <v>0.1</v>
      </c>
      <c r="B20">
        <v>0.7</v>
      </c>
      <c r="C20">
        <f t="shared" si="0"/>
        <v>0.20000000000000007</v>
      </c>
      <c r="D20" t="b">
        <f t="shared" si="1"/>
        <v>1</v>
      </c>
      <c r="E20" s="2">
        <v>0.2</v>
      </c>
      <c r="F20" s="2">
        <v>0.6</v>
      </c>
      <c r="G20" s="2">
        <v>0.20000000000000007</v>
      </c>
      <c r="H20" t="b">
        <v>1</v>
      </c>
      <c r="I20" s="7">
        <f>SUMPRODUCT(E20:G20, pivot_RET!$M$7:$O$7)</f>
        <v>1.2025794705359347E-2</v>
      </c>
      <c r="J20" s="7" cm="1">
        <f t="array" ref="J20">MMULT(E20:G20,MMULT(pivot_RET!$M$16:$O$18,TRANSPOSE('portfolio_RET_30%(2)'!E20:G20)))</f>
        <v>2.2548536814789339E-3</v>
      </c>
      <c r="K20" s="7">
        <f t="shared" si="2"/>
        <v>4.7485299635560203E-2</v>
      </c>
      <c r="L20" s="7">
        <f t="shared" si="3"/>
        <v>0.25325300245875709</v>
      </c>
      <c r="M20" s="8">
        <f>I20+pivot_RET!$P$2</f>
        <v>1.3552880000000003E-2</v>
      </c>
      <c r="S20" s="15"/>
      <c r="T20" s="12"/>
      <c r="U20" s="12"/>
    </row>
    <row r="21" spans="1:29" x14ac:dyDescent="0.25">
      <c r="A21">
        <v>0.1</v>
      </c>
      <c r="B21">
        <v>0.8</v>
      </c>
      <c r="C21">
        <f t="shared" si="0"/>
        <v>9.9999999999999978E-2</v>
      </c>
      <c r="D21" t="b">
        <f t="shared" si="1"/>
        <v>1</v>
      </c>
      <c r="E21" s="2">
        <v>0.2</v>
      </c>
      <c r="F21" s="2">
        <v>0.7</v>
      </c>
      <c r="G21" s="2">
        <v>0.10000000000000009</v>
      </c>
      <c r="H21" t="b">
        <v>1</v>
      </c>
      <c r="I21" s="7">
        <f>SUMPRODUCT(E21:G21, pivot_RET!$M$7:$O$7)</f>
        <v>1.081265803869268E-2</v>
      </c>
      <c r="J21" s="7" cm="1">
        <f t="array" ref="J21">MMULT(E21:G21,MMULT(pivot_RET!$M$16:$O$18,TRANSPOSE('portfolio_RET_30%(2)'!E21:G21)))</f>
        <v>2.2108820393144557E-3</v>
      </c>
      <c r="K21" s="7">
        <f t="shared" si="2"/>
        <v>4.7020017432094344E-2</v>
      </c>
      <c r="L21" s="7">
        <f t="shared" si="3"/>
        <v>0.22995861399473472</v>
      </c>
      <c r="M21" s="8">
        <f>I21+pivot_RET!$P$2</f>
        <v>1.2339743333333337E-2</v>
      </c>
      <c r="S21" s="15"/>
      <c r="T21" s="12"/>
      <c r="U21" s="12"/>
    </row>
    <row r="22" spans="1:29" x14ac:dyDescent="0.25">
      <c r="A22">
        <v>0.1</v>
      </c>
      <c r="B22">
        <v>0.9</v>
      </c>
      <c r="C22">
        <f t="shared" si="0"/>
        <v>0</v>
      </c>
      <c r="D22" t="b">
        <f t="shared" si="1"/>
        <v>1</v>
      </c>
      <c r="E22" s="2">
        <v>0.2</v>
      </c>
      <c r="F22" s="2">
        <v>0.8</v>
      </c>
      <c r="G22" s="2">
        <v>0</v>
      </c>
      <c r="H22" t="b">
        <v>1</v>
      </c>
      <c r="I22" s="7">
        <f>SUMPRODUCT(E22:G22, pivot_RET!$M$7:$O$7)</f>
        <v>9.5995213720260122E-3</v>
      </c>
      <c r="J22" s="7" cm="1">
        <f t="array" ref="J22">MMULT(E22:G22,MMULT(pivot_RET!$M$16:$O$18,TRANSPOSE('portfolio_RET_30%(2)'!E22:G22)))</f>
        <v>2.2867995554079557E-3</v>
      </c>
      <c r="K22" s="7">
        <f t="shared" si="2"/>
        <v>4.7820493048566066E-2</v>
      </c>
      <c r="L22" s="7">
        <f t="shared" si="3"/>
        <v>0.20074074439752898</v>
      </c>
      <c r="M22" s="8">
        <f>I22+pivot_RET!$P$2</f>
        <v>1.1126606666666669E-2</v>
      </c>
      <c r="O22" s="3" t="s">
        <v>36</v>
      </c>
      <c r="P22" s="7">
        <f>$M$41</f>
        <v>1.9718915000000007E-2</v>
      </c>
      <c r="S22" s="15"/>
      <c r="T22" s="12"/>
      <c r="U22" s="12"/>
      <c r="AC22" s="13"/>
    </row>
    <row r="23" spans="1:29" x14ac:dyDescent="0.25">
      <c r="A23">
        <v>0.1</v>
      </c>
      <c r="B23">
        <v>1</v>
      </c>
      <c r="C23">
        <f t="shared" si="0"/>
        <v>-9.9999999999999978E-2</v>
      </c>
      <c r="D23" t="b">
        <f t="shared" si="1"/>
        <v>1</v>
      </c>
      <c r="E23" s="2">
        <v>0.3</v>
      </c>
      <c r="F23" s="2">
        <v>0.3</v>
      </c>
      <c r="G23" s="2">
        <v>0.39999999999999997</v>
      </c>
      <c r="H23" t="b">
        <v>1</v>
      </c>
      <c r="I23" s="7">
        <f>SUMPRODUCT(E23:G23, pivot_RET!$M$7:$O$7)</f>
        <v>1.6170529705359347E-2</v>
      </c>
      <c r="J23" s="7" cm="1">
        <f t="array" ref="J23">MMULT(E23:G23,MMULT(pivot_RET!$M$16:$O$18,TRANSPOSE('portfolio_RET_30%(2)'!E23:G23)))</f>
        <v>2.8850124020312748E-3</v>
      </c>
      <c r="K23" s="7">
        <f t="shared" si="2"/>
        <v>5.3712311456790562E-2</v>
      </c>
      <c r="L23" s="7">
        <f t="shared" si="3"/>
        <v>0.3010581609091223</v>
      </c>
      <c r="M23" s="8">
        <f>I23+pivot_RET!$P$2</f>
        <v>1.7697615000000003E-2</v>
      </c>
      <c r="O23" s="3" t="s">
        <v>37</v>
      </c>
      <c r="P23" s="7">
        <f>$K$41</f>
        <v>5.1709485030114244E-2</v>
      </c>
      <c r="S23" s="15"/>
      <c r="T23" s="12"/>
      <c r="U23" s="12"/>
      <c r="AB23" s="13"/>
      <c r="AC23" s="14"/>
    </row>
    <row r="24" spans="1:29" x14ac:dyDescent="0.25">
      <c r="A24">
        <v>0.2</v>
      </c>
      <c r="B24">
        <v>0</v>
      </c>
      <c r="C24">
        <f t="shared" si="0"/>
        <v>0.8</v>
      </c>
      <c r="D24" t="b">
        <f t="shared" si="1"/>
        <v>0</v>
      </c>
      <c r="E24" s="2">
        <v>0.3</v>
      </c>
      <c r="F24" s="2">
        <v>0.4</v>
      </c>
      <c r="G24" s="2">
        <v>0.29999999999999993</v>
      </c>
      <c r="H24" t="b">
        <v>1</v>
      </c>
      <c r="I24" s="7">
        <f>SUMPRODUCT(E24:G24, pivot_RET!$M$7:$O$7)</f>
        <v>1.4957393038692679E-2</v>
      </c>
      <c r="J24" s="7" cm="1">
        <f t="array" ref="J24">MMULT(E24:G24,MMULT(pivot_RET!$M$16:$O$18,TRANSPOSE('portfolio_RET_30%(2)'!E24:G24)))</f>
        <v>2.5310531230736972E-3</v>
      </c>
      <c r="K24" s="7">
        <f t="shared" si="2"/>
        <v>5.0309572877074771E-2</v>
      </c>
      <c r="L24" s="7">
        <f t="shared" si="3"/>
        <v>0.29730709650903264</v>
      </c>
      <c r="M24" s="8">
        <f>I24+pivot_RET!$P$2</f>
        <v>1.6484478333333333E-2</v>
      </c>
      <c r="O24" s="3" t="s">
        <v>41</v>
      </c>
      <c r="P24" s="2">
        <v>0.95</v>
      </c>
      <c r="S24" s="15"/>
      <c r="T24" s="12"/>
      <c r="U24" s="12"/>
    </row>
    <row r="25" spans="1:29" x14ac:dyDescent="0.25">
      <c r="A25">
        <v>0.2</v>
      </c>
      <c r="B25">
        <v>0.1</v>
      </c>
      <c r="C25">
        <f t="shared" si="0"/>
        <v>0.70000000000000007</v>
      </c>
      <c r="D25" t="b">
        <f t="shared" si="1"/>
        <v>0</v>
      </c>
      <c r="E25" s="2">
        <v>0.3</v>
      </c>
      <c r="F25" s="2">
        <v>0.5</v>
      </c>
      <c r="G25" s="2">
        <v>0.19999999999999996</v>
      </c>
      <c r="H25" t="b">
        <v>1</v>
      </c>
      <c r="I25" s="7">
        <f>SUMPRODUCT(E25:G25, pivot_RET!$M$7:$O$7)</f>
        <v>1.3744256372026012E-2</v>
      </c>
      <c r="J25" s="7" cm="1">
        <f t="array" ref="J25">MMULT(E25:G25,MMULT(pivot_RET!$M$16:$O$18,TRANSPOSE('portfolio_RET_30%(2)'!E25:G25)))</f>
        <v>2.2969830023740973E-3</v>
      </c>
      <c r="K25" s="7">
        <f t="shared" si="2"/>
        <v>4.7926850536772155E-2</v>
      </c>
      <c r="L25" s="7">
        <f t="shared" si="3"/>
        <v>0.28677570543636394</v>
      </c>
      <c r="M25" s="8">
        <f>I25+pivot_RET!$P$2</f>
        <v>1.5271341666666669E-2</v>
      </c>
      <c r="O25" s="3" t="s">
        <v>44</v>
      </c>
      <c r="P25" s="2">
        <f>1-P24</f>
        <v>5.0000000000000044E-2</v>
      </c>
      <c r="S25" s="15"/>
      <c r="T25" s="12"/>
      <c r="U25" s="12"/>
    </row>
    <row r="26" spans="1:29" x14ac:dyDescent="0.25">
      <c r="A26">
        <v>0.2</v>
      </c>
      <c r="B26">
        <v>0.2</v>
      </c>
      <c r="C26">
        <f t="shared" si="0"/>
        <v>0.60000000000000009</v>
      </c>
      <c r="D26" t="b">
        <f t="shared" si="1"/>
        <v>0</v>
      </c>
      <c r="E26" s="2">
        <v>0.3</v>
      </c>
      <c r="F26" s="2">
        <v>0.6</v>
      </c>
      <c r="G26" s="2">
        <v>9.9999999999999978E-2</v>
      </c>
      <c r="H26" t="b">
        <v>1</v>
      </c>
      <c r="I26" s="7">
        <f>SUMPRODUCT(E26:G26, pivot_RET!$M$7:$O$7)</f>
        <v>1.2531119705359344E-2</v>
      </c>
      <c r="J26" s="7" cm="1">
        <f t="array" ref="J26">MMULT(E26:G26,MMULT(pivot_RET!$M$16:$O$18,TRANSPOSE('portfolio_RET_30%(2)'!E26:G26)))</f>
        <v>2.182802039932475E-3</v>
      </c>
      <c r="K26" s="7">
        <f t="shared" si="2"/>
        <v>4.672046703461423E-2</v>
      </c>
      <c r="L26" s="7">
        <f t="shared" si="3"/>
        <v>0.2682147782485842</v>
      </c>
      <c r="M26" s="8">
        <f>I26+pivot_RET!$P$2</f>
        <v>1.4058205000000001E-2</v>
      </c>
      <c r="O26" s="3" t="s">
        <v>43</v>
      </c>
      <c r="P26" s="2">
        <f>_xlfn.NORM.S.INV(P25)</f>
        <v>-1.6448536269514715</v>
      </c>
      <c r="S26" s="15"/>
      <c r="T26" s="12"/>
      <c r="U26" s="12"/>
    </row>
    <row r="27" spans="1:29" x14ac:dyDescent="0.25">
      <c r="A27">
        <v>0.2</v>
      </c>
      <c r="B27">
        <v>0.3</v>
      </c>
      <c r="C27">
        <f t="shared" si="0"/>
        <v>0.5</v>
      </c>
      <c r="D27" t="b">
        <f t="shared" si="1"/>
        <v>1</v>
      </c>
      <c r="E27" s="2">
        <v>0.3</v>
      </c>
      <c r="F27" s="2">
        <v>0.7</v>
      </c>
      <c r="G27" s="2">
        <v>0</v>
      </c>
      <c r="H27" t="b">
        <v>1</v>
      </c>
      <c r="I27" s="7">
        <f>SUMPRODUCT(E27:G27, pivot_RET!$M$7:$O$7)</f>
        <v>1.1317983038692678E-2</v>
      </c>
      <c r="J27" s="7" cm="1">
        <f t="array" ref="J27">MMULT(E27:G27,MMULT(pivot_RET!$M$16:$O$18,TRANSPOSE('portfolio_RET_30%(2)'!E27:G27)))</f>
        <v>2.1885102357488305E-3</v>
      </c>
      <c r="K27" s="7">
        <f t="shared" si="2"/>
        <v>4.6781515962491325E-2</v>
      </c>
      <c r="L27" s="7">
        <f t="shared" si="3"/>
        <v>0.24193279772650497</v>
      </c>
      <c r="M27" s="8">
        <f>I27+pivot_RET!$P$2</f>
        <v>1.2845068333333334E-2</v>
      </c>
      <c r="O27" s="2"/>
      <c r="P27" s="2"/>
      <c r="S27" s="15"/>
      <c r="T27" s="12"/>
      <c r="U27" s="12"/>
    </row>
    <row r="28" spans="1:29" x14ac:dyDescent="0.25">
      <c r="A28">
        <v>0.2</v>
      </c>
      <c r="B28">
        <v>0.4</v>
      </c>
      <c r="C28">
        <f t="shared" si="0"/>
        <v>0.4</v>
      </c>
      <c r="D28" t="b">
        <f t="shared" si="1"/>
        <v>1</v>
      </c>
      <c r="E28" s="2">
        <v>0.4</v>
      </c>
      <c r="F28" s="2">
        <v>0.3</v>
      </c>
      <c r="G28" s="2">
        <v>0.3</v>
      </c>
      <c r="H28" t="b">
        <v>1</v>
      </c>
      <c r="I28" s="7">
        <f>SUMPRODUCT(E28:G28, pivot_RET!$M$7:$O$7)</f>
        <v>1.6675854705359348E-2</v>
      </c>
      <c r="J28" s="7" cm="1">
        <f t="array" ref="J28">MMULT(E28:G28,MMULT(pivot_RET!$M$16:$O$18,TRANSPOSE('portfolio_RET_30%(2)'!E28:G28)))</f>
        <v>2.7312435527427335E-3</v>
      </c>
      <c r="K28" s="7">
        <f t="shared" si="2"/>
        <v>5.2261300718052676E-2</v>
      </c>
      <c r="L28" s="7">
        <f t="shared" si="3"/>
        <v>0.31908610149840738</v>
      </c>
      <c r="M28" s="8">
        <f>I28+pivot_RET!$P$2</f>
        <v>1.8202940000000004E-2</v>
      </c>
      <c r="O28" s="3" t="s">
        <v>38</v>
      </c>
      <c r="P28" s="2">
        <f>P22+P26*P23</f>
        <v>-6.5335618999576239E-2</v>
      </c>
      <c r="S28" s="15"/>
      <c r="T28" s="12"/>
      <c r="U28" s="12"/>
    </row>
    <row r="29" spans="1:29" x14ac:dyDescent="0.25">
      <c r="A29">
        <v>0.2</v>
      </c>
      <c r="B29">
        <v>0.5</v>
      </c>
      <c r="C29">
        <f t="shared" si="0"/>
        <v>0.30000000000000004</v>
      </c>
      <c r="D29" t="b">
        <f t="shared" si="1"/>
        <v>1</v>
      </c>
      <c r="E29" s="2">
        <v>0.4</v>
      </c>
      <c r="F29" s="2">
        <v>0.4</v>
      </c>
      <c r="G29" s="2">
        <v>0.19999999999999996</v>
      </c>
      <c r="H29" t="b">
        <v>1</v>
      </c>
      <c r="I29" s="7">
        <f>SUMPRODUCT(E29:G29, pivot_RET!$M$7:$O$7)</f>
        <v>1.5462718038692681E-2</v>
      </c>
      <c r="J29" s="7" cm="1">
        <f t="array" ref="J29">MMULT(E29:G29,MMULT(pivot_RET!$M$16:$O$18,TRANSPOSE('portfolio_RET_30%(2)'!E29:G29)))</f>
        <v>2.426964111765989E-3</v>
      </c>
      <c r="K29" s="7">
        <f t="shared" si="2"/>
        <v>4.9264227506031079E-2</v>
      </c>
      <c r="L29" s="7">
        <f t="shared" si="3"/>
        <v>0.31387314531217786</v>
      </c>
      <c r="M29" s="8">
        <f>I29+pivot_RET!$P$2</f>
        <v>1.6989803333333338E-2</v>
      </c>
      <c r="O29" s="3" t="s">
        <v>42</v>
      </c>
      <c r="P29" s="7">
        <f>P22 - P23 * ( _xlfn.NORM.S.DIST(P26, FALSE) / P25)</f>
        <v>-8.6942902041230286E-2</v>
      </c>
      <c r="S29" s="15"/>
      <c r="T29" s="12"/>
      <c r="U29" s="12"/>
    </row>
    <row r="30" spans="1:29" x14ac:dyDescent="0.25">
      <c r="A30">
        <v>0.2</v>
      </c>
      <c r="B30">
        <v>0.6</v>
      </c>
      <c r="C30">
        <f t="shared" si="0"/>
        <v>0.20000000000000007</v>
      </c>
      <c r="D30" t="b">
        <f t="shared" si="1"/>
        <v>1</v>
      </c>
      <c r="E30" s="2">
        <v>0.4</v>
      </c>
      <c r="F30" s="2">
        <v>0.5</v>
      </c>
      <c r="G30" s="2">
        <v>9.9999999999999978E-2</v>
      </c>
      <c r="H30" t="b">
        <v>1</v>
      </c>
      <c r="I30" s="7">
        <f>SUMPRODUCT(E30:G30, pivot_RET!$M$7:$O$7)</f>
        <v>1.4249581372026013E-2</v>
      </c>
      <c r="J30" s="7" cm="1">
        <f t="array" ref="J30">MMULT(E30:G30,MMULT(pivot_RET!$M$16:$O$18,TRANSPOSE('portfolio_RET_30%(2)'!E30:G30)))</f>
        <v>2.2425738290472222E-3</v>
      </c>
      <c r="K30" s="7">
        <f t="shared" si="2"/>
        <v>4.7355821490575184E-2</v>
      </c>
      <c r="L30" s="7">
        <f t="shared" si="3"/>
        <v>0.30090453345555379</v>
      </c>
      <c r="M30" s="8">
        <f>I30+pivot_RET!$P$2</f>
        <v>1.5776666666666668E-2</v>
      </c>
      <c r="S30" s="15"/>
      <c r="T30" s="12"/>
      <c r="U30" s="12"/>
    </row>
    <row r="31" spans="1:29" x14ac:dyDescent="0.25">
      <c r="A31">
        <v>0.2</v>
      </c>
      <c r="B31">
        <v>0.7</v>
      </c>
      <c r="C31">
        <f t="shared" si="0"/>
        <v>0.10000000000000009</v>
      </c>
      <c r="D31" t="b">
        <f t="shared" si="1"/>
        <v>1</v>
      </c>
      <c r="E31" s="2">
        <v>0.4</v>
      </c>
      <c r="F31" s="2">
        <v>0.6</v>
      </c>
      <c r="G31" s="2">
        <v>0</v>
      </c>
      <c r="H31" t="b">
        <v>1</v>
      </c>
      <c r="I31" s="7">
        <f>SUMPRODUCT(E31:G31, pivot_RET!$M$7:$O$7)</f>
        <v>1.3036444705359349E-2</v>
      </c>
      <c r="J31" s="7" cm="1">
        <f t="array" ref="J31">MMULT(E31:G31,MMULT(pivot_RET!$M$16:$O$18,TRANSPOSE('portfolio_RET_30%(2)'!E31:G31)))</f>
        <v>2.178072704586434E-3</v>
      </c>
      <c r="K31" s="7">
        <f t="shared" si="2"/>
        <v>4.6669826489782816E-2</v>
      </c>
      <c r="L31" s="7">
        <f t="shared" si="3"/>
        <v>0.27933347273560893</v>
      </c>
      <c r="M31" s="8">
        <f>I31+pivot_RET!$P$2</f>
        <v>1.4563530000000005E-2</v>
      </c>
      <c r="S31" s="15"/>
      <c r="T31" s="12"/>
      <c r="U31" s="12"/>
    </row>
    <row r="32" spans="1:29" x14ac:dyDescent="0.25">
      <c r="A32">
        <v>0.2</v>
      </c>
      <c r="B32">
        <v>0.8</v>
      </c>
      <c r="C32">
        <f t="shared" si="0"/>
        <v>0</v>
      </c>
      <c r="D32" t="b">
        <f t="shared" si="1"/>
        <v>1</v>
      </c>
      <c r="E32" s="2">
        <v>0.5</v>
      </c>
      <c r="F32" s="2">
        <v>0.3</v>
      </c>
      <c r="G32" s="2">
        <v>0.2</v>
      </c>
      <c r="H32" t="b">
        <v>1</v>
      </c>
      <c r="I32" s="7">
        <f>SUMPRODUCT(E32:G32, pivot_RET!$M$7:$O$7)</f>
        <v>1.7181179705359349E-2</v>
      </c>
      <c r="J32" s="7" cm="1">
        <f t="array" ref="J32">MMULT(E32:G32,MMULT(pivot_RET!$M$16:$O$18,TRANSPOSE('portfolio_RET_30%(2)'!E32:G32)))</f>
        <v>2.6447970096546087E-3</v>
      </c>
      <c r="K32" s="7">
        <f t="shared" si="2"/>
        <v>5.1427589965451506E-2</v>
      </c>
      <c r="L32" s="7">
        <f t="shared" si="3"/>
        <v>0.33408486994824138</v>
      </c>
      <c r="M32" s="8">
        <f>I32+pivot_RET!$P$2</f>
        <v>1.8708265000000005E-2</v>
      </c>
      <c r="S32" s="15"/>
      <c r="T32" s="12"/>
      <c r="U32" s="12"/>
    </row>
    <row r="33" spans="1:21" x14ac:dyDescent="0.25">
      <c r="A33">
        <v>0.2</v>
      </c>
      <c r="B33">
        <v>0.9</v>
      </c>
      <c r="C33">
        <f t="shared" si="0"/>
        <v>-9.9999999999999978E-2</v>
      </c>
      <c r="D33" t="b">
        <f t="shared" si="1"/>
        <v>1</v>
      </c>
      <c r="E33" s="2">
        <v>0.5</v>
      </c>
      <c r="F33" s="2">
        <v>0.4</v>
      </c>
      <c r="G33" s="2">
        <v>9.9999999999999978E-2</v>
      </c>
      <c r="H33" t="b">
        <v>1</v>
      </c>
      <c r="I33" s="7">
        <f>SUMPRODUCT(E33:G33, pivot_RET!$M$7:$O$7)</f>
        <v>1.5968043038692682E-2</v>
      </c>
      <c r="J33" s="7" cm="1">
        <f t="array" ref="J33">MMULT(E33:G33,MMULT(pivot_RET!$M$16:$O$18,TRANSPOSE('portfolio_RET_30%(2)'!E33:G33)))</f>
        <v>2.3901974066586973E-3</v>
      </c>
      <c r="K33" s="7">
        <f t="shared" si="2"/>
        <v>4.8889645188513048E-2</v>
      </c>
      <c r="L33" s="7">
        <f t="shared" si="3"/>
        <v>0.32661400951309177</v>
      </c>
      <c r="M33" s="8">
        <f>I33+pivot_RET!$P$2</f>
        <v>1.7495128333333339E-2</v>
      </c>
      <c r="S33" s="15"/>
      <c r="T33" s="12"/>
      <c r="U33" s="12"/>
    </row>
    <row r="34" spans="1:21" x14ac:dyDescent="0.25">
      <c r="A34">
        <v>0.2</v>
      </c>
      <c r="B34">
        <v>1</v>
      </c>
      <c r="C34">
        <f t="shared" si="0"/>
        <v>-0.19999999999999996</v>
      </c>
      <c r="D34" t="b">
        <f t="shared" si="1"/>
        <v>1</v>
      </c>
      <c r="E34" s="2">
        <v>0.5</v>
      </c>
      <c r="F34" s="2">
        <v>0.5</v>
      </c>
      <c r="G34" s="2">
        <v>0</v>
      </c>
      <c r="H34" t="b">
        <v>1</v>
      </c>
      <c r="I34" s="7">
        <f>SUMPRODUCT(E34:G34, pivot_RET!$M$7:$O$7)</f>
        <v>1.4754906372026014E-2</v>
      </c>
      <c r="J34" s="7" cm="1">
        <f t="array" ref="J34">MMULT(E34:G34,MMULT(pivot_RET!$M$16:$O$18,TRANSPOSE('portfolio_RET_30%(2)'!E34:G34)))</f>
        <v>2.2554869619207641E-3</v>
      </c>
      <c r="K34" s="7">
        <f t="shared" si="2"/>
        <v>4.7491967341022671E-2</v>
      </c>
      <c r="L34" s="7">
        <f t="shared" si="3"/>
        <v>0.31068214685814882</v>
      </c>
      <c r="M34" s="8">
        <f>I34+pivot_RET!$P$2</f>
        <v>1.6281991666666669E-2</v>
      </c>
      <c r="S34" s="15"/>
      <c r="T34" s="12"/>
      <c r="U34" s="12"/>
    </row>
    <row r="35" spans="1:21" x14ac:dyDescent="0.25">
      <c r="A35">
        <v>0.3</v>
      </c>
      <c r="B35">
        <v>0</v>
      </c>
      <c r="C35">
        <f t="shared" si="0"/>
        <v>0.7</v>
      </c>
      <c r="D35" t="b">
        <f t="shared" si="1"/>
        <v>0</v>
      </c>
      <c r="E35" s="2">
        <v>0.6</v>
      </c>
      <c r="F35" s="2">
        <v>0.3</v>
      </c>
      <c r="G35" s="2">
        <v>0.10000000000000003</v>
      </c>
      <c r="H35" t="b">
        <v>1</v>
      </c>
      <c r="I35" s="7">
        <f>SUMPRODUCT(E35:G35, pivot_RET!$M$7:$O$7)</f>
        <v>1.7686504705359346E-2</v>
      </c>
      <c r="J35" s="7" cm="1">
        <f t="array" ref="J35">MMULT(E35:G35,MMULT(pivot_RET!$M$16:$O$18,TRANSPOSE('portfolio_RET_30%(2)'!E35:G35)))</f>
        <v>2.6256727727669003E-3</v>
      </c>
      <c r="K35" s="7">
        <f t="shared" si="2"/>
        <v>5.1241318999093885E-2</v>
      </c>
      <c r="L35" s="7">
        <f t="shared" si="3"/>
        <v>0.34516099606397915</v>
      </c>
      <c r="M35" s="8">
        <f>I35+pivot_RET!$P$2</f>
        <v>1.9213590000000003E-2</v>
      </c>
      <c r="S35" s="15"/>
      <c r="T35" s="12"/>
      <c r="U35" s="12"/>
    </row>
    <row r="36" spans="1:21" x14ac:dyDescent="0.25">
      <c r="A36">
        <v>0.3</v>
      </c>
      <c r="B36">
        <v>0.1</v>
      </c>
      <c r="C36">
        <f t="shared" si="0"/>
        <v>0.6</v>
      </c>
      <c r="D36" t="b">
        <f t="shared" si="1"/>
        <v>0</v>
      </c>
      <c r="E36" s="2">
        <v>0.6</v>
      </c>
      <c r="F36" s="2">
        <v>0.4</v>
      </c>
      <c r="G36" s="2">
        <v>0</v>
      </c>
      <c r="H36" t="b">
        <v>1</v>
      </c>
      <c r="I36" s="7">
        <f>SUMPRODUCT(E36:G36, pivot_RET!$M$7:$O$7)</f>
        <v>1.6473368038692683E-2</v>
      </c>
      <c r="J36" s="7" cm="1">
        <f t="array" ref="J36">MMULT(E36:G36,MMULT(pivot_RET!$M$16:$O$18,TRANSPOSE('portfolio_RET_30%(2)'!E36:G36)))</f>
        <v>2.4207530077518225E-3</v>
      </c>
      <c r="K36" s="7">
        <f t="shared" si="2"/>
        <v>4.9201148439358834E-2</v>
      </c>
      <c r="L36" s="7">
        <f t="shared" si="3"/>
        <v>0.33481673825147312</v>
      </c>
      <c r="M36" s="8">
        <f>I36+pivot_RET!$P$2</f>
        <v>1.800045333333334E-2</v>
      </c>
      <c r="S36" s="15"/>
      <c r="T36" s="12"/>
      <c r="U36" s="12"/>
    </row>
    <row r="37" spans="1:21" x14ac:dyDescent="0.25">
      <c r="A37">
        <v>0.3</v>
      </c>
      <c r="B37">
        <v>0.2</v>
      </c>
      <c r="C37">
        <f t="shared" si="0"/>
        <v>0.49999999999999994</v>
      </c>
      <c r="D37" t="b">
        <f t="shared" si="1"/>
        <v>0</v>
      </c>
      <c r="E37" s="2">
        <v>0.7</v>
      </c>
      <c r="F37" s="2">
        <v>0.3</v>
      </c>
      <c r="G37" s="2">
        <v>0</v>
      </c>
      <c r="H37" t="b">
        <v>1</v>
      </c>
      <c r="I37" s="7">
        <f>SUMPRODUCT(E37:G37, pivot_RET!$M$7:$O$7)</f>
        <v>1.8191829705359347E-2</v>
      </c>
      <c r="J37" s="7" cm="1">
        <f t="array" ref="J37">MMULT(E37:G37,MMULT(pivot_RET!$M$16:$O$18,TRANSPOSE('portfolio_RET_30%(2)'!E37:G37)))</f>
        <v>2.6738708420796084E-3</v>
      </c>
      <c r="K37" s="7">
        <f t="shared" si="2"/>
        <v>5.1709485030114237E-2</v>
      </c>
      <c r="L37" s="7">
        <f t="shared" si="3"/>
        <v>0.35180837122560604</v>
      </c>
      <c r="M37" s="8">
        <f>I37+pivot_RET!$P$2</f>
        <v>1.9718915000000004E-2</v>
      </c>
      <c r="S37" s="15"/>
      <c r="T37" s="12"/>
      <c r="U37" s="12"/>
    </row>
    <row r="38" spans="1:21" x14ac:dyDescent="0.25">
      <c r="A38">
        <v>0.3</v>
      </c>
      <c r="B38">
        <v>0.3</v>
      </c>
      <c r="C38">
        <f t="shared" si="0"/>
        <v>0.39999999999999997</v>
      </c>
      <c r="D38" t="b">
        <f t="shared" si="1"/>
        <v>1</v>
      </c>
      <c r="E38" s="2"/>
      <c r="F38" s="2"/>
      <c r="G38" s="2"/>
      <c r="I38" s="7"/>
      <c r="J38" s="7"/>
      <c r="K38" s="7"/>
      <c r="L38" s="7"/>
      <c r="M38" s="8"/>
    </row>
    <row r="39" spans="1:21" x14ac:dyDescent="0.25">
      <c r="A39">
        <v>0.3</v>
      </c>
      <c r="B39">
        <v>0.4</v>
      </c>
      <c r="C39">
        <f t="shared" si="0"/>
        <v>0.29999999999999993</v>
      </c>
      <c r="D39" t="b">
        <f t="shared" si="1"/>
        <v>1</v>
      </c>
      <c r="E39" t="s">
        <v>39</v>
      </c>
      <c r="I39" s="7"/>
      <c r="J39" s="7"/>
      <c r="K39" s="7"/>
      <c r="L39" s="7"/>
      <c r="M39" s="8"/>
    </row>
    <row r="40" spans="1:21" x14ac:dyDescent="0.25">
      <c r="A40">
        <v>0.3</v>
      </c>
      <c r="B40">
        <v>0.5</v>
      </c>
      <c r="C40">
        <f t="shared" si="0"/>
        <v>0.19999999999999996</v>
      </c>
      <c r="D40" t="b">
        <f t="shared" si="1"/>
        <v>1</v>
      </c>
      <c r="E40" t="s">
        <v>17</v>
      </c>
      <c r="F40" t="s">
        <v>18</v>
      </c>
      <c r="G40" t="s">
        <v>19</v>
      </c>
      <c r="H40" t="s">
        <v>40</v>
      </c>
      <c r="I40" s="7"/>
      <c r="J40" s="7"/>
      <c r="K40" s="7"/>
      <c r="L40" s="7"/>
      <c r="M40" s="8"/>
      <c r="O40" s="3" t="s">
        <v>51</v>
      </c>
      <c r="P40" s="3" t="s">
        <v>52</v>
      </c>
      <c r="Q40" s="3" t="s">
        <v>40</v>
      </c>
      <c r="R40" s="3" t="s">
        <v>53</v>
      </c>
      <c r="S40" s="3" t="s">
        <v>56</v>
      </c>
      <c r="T40" s="3" t="s">
        <v>55</v>
      </c>
      <c r="U40" s="3" t="s">
        <v>54</v>
      </c>
    </row>
    <row r="41" spans="1:21" x14ac:dyDescent="0.25">
      <c r="A41">
        <v>0.3</v>
      </c>
      <c r="B41">
        <v>0.6</v>
      </c>
      <c r="C41">
        <f t="shared" si="0"/>
        <v>9.9999999999999978E-2</v>
      </c>
      <c r="D41" t="b">
        <f t="shared" si="1"/>
        <v>1</v>
      </c>
      <c r="E41" s="17">
        <v>0.70000000000000007</v>
      </c>
      <c r="F41" s="17">
        <v>0.3</v>
      </c>
      <c r="G41" s="17">
        <v>0</v>
      </c>
      <c r="H41">
        <f>SUM(E41:G41)</f>
        <v>1</v>
      </c>
      <c r="I41" s="7">
        <f>SUMPRODUCT(E41:G41, pivot_RET!$M$7:$O$7)</f>
        <v>1.819182970535935E-2</v>
      </c>
      <c r="J41" s="7" cm="1">
        <f t="array" ref="J41">MMULT(E41:G41,MMULT(pivot_RET!$M$16:$O$18,TRANSPOSE('portfolio_RET_30%(2)'!E41:G41)))</f>
        <v>2.6738708420796088E-3</v>
      </c>
      <c r="K41" s="7">
        <f t="shared" ref="K38:K41" si="4">SQRT(J41)</f>
        <v>5.1709485030114244E-2</v>
      </c>
      <c r="L41" s="7">
        <f t="shared" ref="L38:L41" si="5">I41/K41</f>
        <v>0.35180837122560604</v>
      </c>
      <c r="M41" s="8">
        <f>I41+pivot_RET!$P$2</f>
        <v>1.9718915000000007E-2</v>
      </c>
      <c r="O41" s="18">
        <v>1</v>
      </c>
      <c r="P41" s="18">
        <v>0</v>
      </c>
      <c r="Q41" s="2">
        <f>O41+P41</f>
        <v>1</v>
      </c>
      <c r="R41" s="2">
        <f>$O$41*$M$41+$P$41*pivot_RET!$P$2</f>
        <v>1.9718915000000007E-2</v>
      </c>
      <c r="S41" s="2">
        <f>O41^2 * $J$41 + P41^2 * 0</f>
        <v>2.6738708420796088E-3</v>
      </c>
      <c r="T41" s="2">
        <v>2</v>
      </c>
      <c r="U41" s="2">
        <f>$R41 - 0.5*T41*S41</f>
        <v>1.7045044157920398E-2</v>
      </c>
    </row>
    <row r="42" spans="1:21" x14ac:dyDescent="0.25">
      <c r="A42">
        <v>0.3</v>
      </c>
      <c r="B42">
        <v>0.7</v>
      </c>
      <c r="C42">
        <f t="shared" si="0"/>
        <v>0</v>
      </c>
      <c r="D42" t="b">
        <f t="shared" si="1"/>
        <v>1</v>
      </c>
      <c r="E42" s="2"/>
      <c r="F42" s="2"/>
      <c r="G42" s="2"/>
      <c r="I42" s="7"/>
      <c r="J42" s="7"/>
      <c r="K42" s="7"/>
      <c r="L42" s="7"/>
      <c r="M42" s="8"/>
      <c r="O42" s="18">
        <v>0</v>
      </c>
      <c r="P42" s="18">
        <v>1</v>
      </c>
      <c r="Q42" s="2">
        <f t="shared" ref="Q42:Q43" si="6">O42+P42</f>
        <v>1</v>
      </c>
      <c r="R42" s="2">
        <f>$O$41*$M$41+$P$41*pivot_RET!$P$2</f>
        <v>1.9718915000000007E-2</v>
      </c>
      <c r="S42" s="2">
        <f t="shared" ref="S42:S43" si="7">O42^2 * $J$41 + P42^2 * 0</f>
        <v>0</v>
      </c>
      <c r="T42" s="2">
        <v>3.5</v>
      </c>
      <c r="U42" s="2">
        <f t="shared" ref="U42:U43" si="8">$R42 - 0.5*T42*S42</f>
        <v>1.9718915000000007E-2</v>
      </c>
    </row>
    <row r="43" spans="1:21" x14ac:dyDescent="0.25">
      <c r="A43">
        <v>0.3</v>
      </c>
      <c r="B43">
        <v>0.8</v>
      </c>
      <c r="C43">
        <f t="shared" si="0"/>
        <v>-0.10000000000000009</v>
      </c>
      <c r="D43" t="b">
        <f t="shared" si="1"/>
        <v>1</v>
      </c>
      <c r="E43" s="2"/>
      <c r="F43" s="2"/>
      <c r="G43" s="2"/>
      <c r="I43" s="7"/>
      <c r="J43" s="7"/>
      <c r="K43" s="7"/>
      <c r="L43" s="7"/>
      <c r="M43" s="8"/>
      <c r="O43" s="18">
        <v>0</v>
      </c>
      <c r="P43" s="18">
        <v>1</v>
      </c>
      <c r="Q43" s="2">
        <f t="shared" si="6"/>
        <v>1</v>
      </c>
      <c r="R43" s="2">
        <f>$O$41*$M$41+$P$41*pivot_RET!$P$2</f>
        <v>1.9718915000000007E-2</v>
      </c>
      <c r="S43" s="2">
        <f t="shared" si="7"/>
        <v>0</v>
      </c>
      <c r="T43" s="2">
        <v>5</v>
      </c>
      <c r="U43" s="2">
        <f t="shared" si="8"/>
        <v>1.9718915000000007E-2</v>
      </c>
    </row>
    <row r="44" spans="1:21" x14ac:dyDescent="0.25">
      <c r="A44">
        <v>0.3</v>
      </c>
      <c r="B44">
        <v>0.9</v>
      </c>
      <c r="C44">
        <f t="shared" si="0"/>
        <v>-0.20000000000000007</v>
      </c>
      <c r="D44" t="b">
        <f t="shared" si="1"/>
        <v>1</v>
      </c>
      <c r="E44" s="2"/>
      <c r="F44" s="2"/>
      <c r="G44" s="2"/>
      <c r="I44" s="7"/>
      <c r="J44" s="7"/>
      <c r="K44" s="7"/>
      <c r="L44" s="7"/>
      <c r="M44" s="8"/>
    </row>
    <row r="45" spans="1:21" x14ac:dyDescent="0.25">
      <c r="A45">
        <v>0.3</v>
      </c>
      <c r="B45">
        <v>1</v>
      </c>
      <c r="C45">
        <f t="shared" si="0"/>
        <v>-0.30000000000000004</v>
      </c>
      <c r="D45" t="b">
        <f t="shared" si="1"/>
        <v>1</v>
      </c>
      <c r="E45" s="2"/>
      <c r="F45" s="2"/>
      <c r="G45" s="2"/>
      <c r="I45" s="7"/>
      <c r="J45" s="7"/>
      <c r="K45" s="7"/>
      <c r="L45" s="7"/>
      <c r="M45" s="8"/>
    </row>
    <row r="46" spans="1:21" x14ac:dyDescent="0.25">
      <c r="A46">
        <v>0.4</v>
      </c>
      <c r="B46">
        <v>0</v>
      </c>
      <c r="C46">
        <f t="shared" si="0"/>
        <v>0.6</v>
      </c>
      <c r="D46" t="b">
        <f t="shared" si="1"/>
        <v>0</v>
      </c>
      <c r="E46" s="2"/>
      <c r="F46" s="2"/>
      <c r="G46" s="2"/>
      <c r="I46" s="7"/>
      <c r="J46" s="7"/>
      <c r="K46" s="7"/>
      <c r="L46" s="7"/>
      <c r="M46" s="8"/>
    </row>
    <row r="47" spans="1:21" x14ac:dyDescent="0.25">
      <c r="A47">
        <v>0.4</v>
      </c>
      <c r="B47">
        <v>0.1</v>
      </c>
      <c r="C47">
        <f t="shared" si="0"/>
        <v>0.5</v>
      </c>
      <c r="D47" t="b">
        <f t="shared" si="1"/>
        <v>0</v>
      </c>
      <c r="E47" s="2"/>
      <c r="F47" s="2"/>
      <c r="G47" s="2"/>
      <c r="I47" s="7"/>
      <c r="J47" s="7"/>
      <c r="K47" s="7"/>
      <c r="L47" s="7"/>
      <c r="M47" s="8"/>
    </row>
    <row r="48" spans="1:21" x14ac:dyDescent="0.25">
      <c r="A48">
        <v>0.4</v>
      </c>
      <c r="B48">
        <v>0.2</v>
      </c>
      <c r="C48">
        <f t="shared" si="0"/>
        <v>0.39999999999999997</v>
      </c>
      <c r="D48" t="b">
        <f t="shared" si="1"/>
        <v>0</v>
      </c>
      <c r="E48" s="2"/>
      <c r="F48" s="2"/>
      <c r="G48" s="2"/>
      <c r="I48" s="7"/>
      <c r="J48" s="7"/>
      <c r="K48" s="7"/>
      <c r="L48" s="7"/>
      <c r="M48" s="8"/>
    </row>
    <row r="49" spans="1:13" x14ac:dyDescent="0.25">
      <c r="A49">
        <v>0.4</v>
      </c>
      <c r="B49">
        <v>0.3</v>
      </c>
      <c r="C49">
        <f t="shared" si="0"/>
        <v>0.3</v>
      </c>
      <c r="D49" t="b">
        <f t="shared" si="1"/>
        <v>1</v>
      </c>
      <c r="E49" s="2"/>
      <c r="F49" s="2"/>
      <c r="G49" s="2"/>
      <c r="I49" s="7"/>
      <c r="J49" s="7"/>
      <c r="K49" s="7"/>
      <c r="L49" s="7"/>
      <c r="M49" s="8"/>
    </row>
    <row r="50" spans="1:13" x14ac:dyDescent="0.25">
      <c r="A50">
        <v>0.4</v>
      </c>
      <c r="B50">
        <v>0.4</v>
      </c>
      <c r="C50">
        <f t="shared" si="0"/>
        <v>0.19999999999999996</v>
      </c>
      <c r="D50" t="b">
        <f t="shared" si="1"/>
        <v>1</v>
      </c>
      <c r="E50" s="2"/>
      <c r="F50" s="2"/>
      <c r="G50" s="2"/>
      <c r="I50" s="7"/>
      <c r="J50" s="7"/>
      <c r="K50" s="7"/>
      <c r="L50" s="7"/>
      <c r="M50" s="8"/>
    </row>
    <row r="51" spans="1:13" x14ac:dyDescent="0.25">
      <c r="A51">
        <v>0.4</v>
      </c>
      <c r="B51">
        <v>0.5</v>
      </c>
      <c r="C51">
        <f t="shared" si="0"/>
        <v>9.9999999999999978E-2</v>
      </c>
      <c r="D51" t="b">
        <f t="shared" si="1"/>
        <v>1</v>
      </c>
      <c r="E51" s="2"/>
      <c r="F51" s="2"/>
      <c r="G51" s="2"/>
      <c r="I51" s="7"/>
      <c r="J51" s="7"/>
      <c r="K51" s="7"/>
      <c r="L51" s="7"/>
      <c r="M51" s="8"/>
    </row>
    <row r="52" spans="1:13" x14ac:dyDescent="0.25">
      <c r="A52">
        <v>0.4</v>
      </c>
      <c r="B52">
        <v>0.6</v>
      </c>
      <c r="C52">
        <f t="shared" si="0"/>
        <v>0</v>
      </c>
      <c r="D52" t="b">
        <f t="shared" si="1"/>
        <v>1</v>
      </c>
      <c r="E52" s="2"/>
      <c r="F52" s="2"/>
      <c r="G52" s="2"/>
      <c r="I52" s="7"/>
      <c r="J52" s="7"/>
      <c r="K52" s="7"/>
      <c r="L52" s="7"/>
      <c r="M52" s="8"/>
    </row>
    <row r="53" spans="1:13" x14ac:dyDescent="0.25">
      <c r="A53">
        <v>0.4</v>
      </c>
      <c r="B53">
        <v>0.7</v>
      </c>
      <c r="C53">
        <f t="shared" si="0"/>
        <v>-9.9999999999999978E-2</v>
      </c>
      <c r="D53" t="b">
        <f t="shared" si="1"/>
        <v>1</v>
      </c>
      <c r="E53" s="2"/>
      <c r="F53" s="2"/>
      <c r="G53" s="2"/>
      <c r="I53" s="7"/>
      <c r="J53" s="7"/>
      <c r="K53" s="7"/>
      <c r="L53" s="7"/>
      <c r="M53" s="8"/>
    </row>
    <row r="54" spans="1:13" x14ac:dyDescent="0.25">
      <c r="A54">
        <v>0.4</v>
      </c>
      <c r="B54">
        <v>0.8</v>
      </c>
      <c r="C54">
        <f t="shared" si="0"/>
        <v>-0.20000000000000007</v>
      </c>
      <c r="D54" t="b">
        <f t="shared" si="1"/>
        <v>1</v>
      </c>
      <c r="E54" s="2"/>
      <c r="F54" s="2"/>
      <c r="G54" s="2"/>
      <c r="I54" s="7"/>
      <c r="J54" s="7"/>
      <c r="K54" s="7"/>
      <c r="L54" s="7"/>
      <c r="M54" s="8"/>
    </row>
    <row r="55" spans="1:13" x14ac:dyDescent="0.25">
      <c r="A55">
        <v>0.4</v>
      </c>
      <c r="B55">
        <v>0.9</v>
      </c>
      <c r="C55">
        <f t="shared" si="0"/>
        <v>-0.30000000000000004</v>
      </c>
      <c r="D55" t="b">
        <f t="shared" si="1"/>
        <v>1</v>
      </c>
      <c r="E55" s="2"/>
      <c r="F55" s="2"/>
      <c r="G55" s="2"/>
      <c r="I55" s="7"/>
      <c r="J55" s="7"/>
      <c r="K55" s="7"/>
      <c r="L55" s="7"/>
      <c r="M55" s="8"/>
    </row>
    <row r="56" spans="1:13" x14ac:dyDescent="0.25">
      <c r="A56">
        <v>0.4</v>
      </c>
      <c r="B56">
        <v>1</v>
      </c>
      <c r="C56">
        <f t="shared" si="0"/>
        <v>-0.4</v>
      </c>
      <c r="D56" t="b">
        <f t="shared" si="1"/>
        <v>1</v>
      </c>
      <c r="E56" s="2"/>
      <c r="F56" s="2"/>
      <c r="G56" s="2"/>
      <c r="I56" s="7"/>
      <c r="J56" s="7"/>
      <c r="K56" s="7"/>
      <c r="L56" s="7"/>
      <c r="M56" s="8"/>
    </row>
    <row r="57" spans="1:13" x14ac:dyDescent="0.25">
      <c r="A57">
        <v>0.5</v>
      </c>
      <c r="B57">
        <v>0</v>
      </c>
      <c r="C57">
        <f t="shared" si="0"/>
        <v>0.5</v>
      </c>
      <c r="D57" t="b">
        <f t="shared" si="1"/>
        <v>0</v>
      </c>
      <c r="E57" s="2"/>
      <c r="F57" s="2"/>
      <c r="G57" s="2"/>
      <c r="I57" s="7"/>
      <c r="J57" s="7"/>
      <c r="K57" s="7"/>
      <c r="L57" s="7"/>
      <c r="M57" s="8"/>
    </row>
    <row r="58" spans="1:13" x14ac:dyDescent="0.25">
      <c r="A58">
        <v>0.5</v>
      </c>
      <c r="B58">
        <v>0.1</v>
      </c>
      <c r="C58">
        <f t="shared" si="0"/>
        <v>0.4</v>
      </c>
      <c r="D58" t="b">
        <f t="shared" si="1"/>
        <v>0</v>
      </c>
      <c r="E58" s="2"/>
      <c r="F58" s="2"/>
      <c r="G58" s="2"/>
      <c r="I58" s="7"/>
      <c r="J58" s="7"/>
      <c r="K58" s="7"/>
      <c r="L58" s="7"/>
      <c r="M58" s="8"/>
    </row>
    <row r="59" spans="1:13" x14ac:dyDescent="0.25">
      <c r="A59">
        <v>0.5</v>
      </c>
      <c r="B59">
        <v>0.2</v>
      </c>
      <c r="C59">
        <f t="shared" si="0"/>
        <v>0.3</v>
      </c>
      <c r="D59" t="b">
        <f t="shared" si="1"/>
        <v>0</v>
      </c>
      <c r="E59" s="2"/>
      <c r="F59" s="2"/>
      <c r="G59" s="2"/>
      <c r="I59" s="7"/>
      <c r="J59" s="7"/>
      <c r="K59" s="7"/>
      <c r="L59" s="7"/>
      <c r="M59" s="8"/>
    </row>
    <row r="60" spans="1:13" x14ac:dyDescent="0.25">
      <c r="A60">
        <v>0.5</v>
      </c>
      <c r="B60">
        <v>0.3</v>
      </c>
      <c r="C60">
        <f t="shared" si="0"/>
        <v>0.2</v>
      </c>
      <c r="D60" t="b">
        <f t="shared" si="1"/>
        <v>1</v>
      </c>
      <c r="E60" s="2"/>
      <c r="F60" s="2"/>
      <c r="G60" s="2"/>
      <c r="I60" s="7"/>
      <c r="J60" s="7"/>
      <c r="K60" s="7"/>
      <c r="L60" s="7"/>
      <c r="M60" s="8"/>
    </row>
    <row r="61" spans="1:13" x14ac:dyDescent="0.25">
      <c r="A61">
        <v>0.5</v>
      </c>
      <c r="B61">
        <v>0.4</v>
      </c>
      <c r="C61">
        <f t="shared" si="0"/>
        <v>9.9999999999999978E-2</v>
      </c>
      <c r="D61" t="b">
        <f t="shared" si="1"/>
        <v>1</v>
      </c>
      <c r="E61" s="2"/>
      <c r="F61" s="2"/>
      <c r="G61" s="2"/>
      <c r="I61" s="7"/>
      <c r="J61" s="7"/>
      <c r="K61" s="7"/>
      <c r="L61" s="7"/>
      <c r="M61" s="8"/>
    </row>
    <row r="62" spans="1:13" x14ac:dyDescent="0.25">
      <c r="A62">
        <v>0.5</v>
      </c>
      <c r="B62">
        <v>0.5</v>
      </c>
      <c r="C62">
        <f t="shared" si="0"/>
        <v>0</v>
      </c>
      <c r="D62" t="b">
        <f t="shared" si="1"/>
        <v>1</v>
      </c>
      <c r="E62" s="2"/>
      <c r="F62" s="2"/>
      <c r="G62" s="2"/>
      <c r="I62" s="7"/>
      <c r="J62" s="7"/>
      <c r="K62" s="7"/>
      <c r="L62" s="7"/>
      <c r="M62" s="8"/>
    </row>
    <row r="63" spans="1:13" x14ac:dyDescent="0.25">
      <c r="A63">
        <v>0.5</v>
      </c>
      <c r="B63">
        <v>0.6</v>
      </c>
      <c r="C63">
        <f t="shared" si="0"/>
        <v>-9.9999999999999978E-2</v>
      </c>
      <c r="D63" t="b">
        <f t="shared" si="1"/>
        <v>1</v>
      </c>
      <c r="E63" s="2"/>
      <c r="F63" s="2"/>
      <c r="G63" s="2"/>
      <c r="I63" s="7"/>
      <c r="J63" s="7"/>
      <c r="K63" s="7"/>
      <c r="L63" s="7"/>
      <c r="M63" s="8"/>
    </row>
    <row r="64" spans="1:13" x14ac:dyDescent="0.25">
      <c r="A64">
        <v>0.5</v>
      </c>
      <c r="B64">
        <v>0.7</v>
      </c>
      <c r="C64">
        <f t="shared" si="0"/>
        <v>-0.19999999999999996</v>
      </c>
      <c r="D64" t="b">
        <f t="shared" si="1"/>
        <v>1</v>
      </c>
      <c r="E64" s="2"/>
      <c r="F64" s="2"/>
      <c r="G64" s="2"/>
      <c r="I64" s="7"/>
      <c r="J64" s="7"/>
      <c r="K64" s="7"/>
      <c r="L64" s="7"/>
      <c r="M64" s="8"/>
    </row>
    <row r="65" spans="1:13" x14ac:dyDescent="0.25">
      <c r="A65">
        <v>0.5</v>
      </c>
      <c r="B65">
        <v>0.8</v>
      </c>
      <c r="C65">
        <f t="shared" si="0"/>
        <v>-0.30000000000000004</v>
      </c>
      <c r="D65" t="b">
        <f t="shared" si="1"/>
        <v>1</v>
      </c>
      <c r="E65" s="2"/>
      <c r="F65" s="2"/>
      <c r="G65" s="2"/>
      <c r="I65" s="7"/>
      <c r="J65" s="7"/>
      <c r="K65" s="7"/>
      <c r="L65" s="7"/>
      <c r="M65" s="8"/>
    </row>
    <row r="66" spans="1:13" x14ac:dyDescent="0.25">
      <c r="A66">
        <v>0.5</v>
      </c>
      <c r="B66">
        <v>0.9</v>
      </c>
      <c r="C66">
        <f t="shared" si="0"/>
        <v>-0.4</v>
      </c>
      <c r="D66" t="b">
        <f t="shared" si="1"/>
        <v>1</v>
      </c>
      <c r="E66" s="2"/>
      <c r="F66" s="2"/>
      <c r="G66" s="2"/>
      <c r="I66" s="7"/>
      <c r="J66" s="7"/>
      <c r="K66" s="7"/>
      <c r="L66" s="7"/>
      <c r="M66" s="8"/>
    </row>
    <row r="67" spans="1:13" x14ac:dyDescent="0.25">
      <c r="A67">
        <v>0.5</v>
      </c>
      <c r="B67">
        <v>1</v>
      </c>
      <c r="C67">
        <f t="shared" ref="C67:C122" si="9">1-A67-B67</f>
        <v>-0.5</v>
      </c>
      <c r="D67" t="b">
        <f t="shared" ref="D67:D122" si="10">B67&gt;=0.3</f>
        <v>1</v>
      </c>
      <c r="E67" s="2"/>
      <c r="F67" s="2"/>
      <c r="G67" s="2"/>
      <c r="I67" s="7"/>
      <c r="J67" s="7"/>
      <c r="K67" s="7"/>
      <c r="L67" s="7"/>
      <c r="M67" s="8"/>
    </row>
    <row r="68" spans="1:13" x14ac:dyDescent="0.25">
      <c r="A68">
        <v>0.6</v>
      </c>
      <c r="B68">
        <v>0</v>
      </c>
      <c r="C68">
        <f t="shared" si="9"/>
        <v>0.4</v>
      </c>
      <c r="D68" t="b">
        <f t="shared" si="10"/>
        <v>0</v>
      </c>
    </row>
    <row r="69" spans="1:13" x14ac:dyDescent="0.25">
      <c r="A69">
        <v>0.6</v>
      </c>
      <c r="B69">
        <v>0.1</v>
      </c>
      <c r="C69">
        <f t="shared" si="9"/>
        <v>0.30000000000000004</v>
      </c>
      <c r="D69" t="b">
        <f t="shared" si="10"/>
        <v>0</v>
      </c>
    </row>
    <row r="70" spans="1:13" x14ac:dyDescent="0.25">
      <c r="A70">
        <v>0.6</v>
      </c>
      <c r="B70">
        <v>0.2</v>
      </c>
      <c r="C70">
        <f t="shared" si="9"/>
        <v>0.2</v>
      </c>
      <c r="D70" t="b">
        <f t="shared" si="10"/>
        <v>0</v>
      </c>
    </row>
    <row r="71" spans="1:13" x14ac:dyDescent="0.25">
      <c r="A71">
        <v>0.6</v>
      </c>
      <c r="B71">
        <v>0.3</v>
      </c>
      <c r="C71">
        <f t="shared" si="9"/>
        <v>0.10000000000000003</v>
      </c>
      <c r="D71" t="b">
        <f t="shared" si="10"/>
        <v>1</v>
      </c>
    </row>
    <row r="72" spans="1:13" x14ac:dyDescent="0.25">
      <c r="A72">
        <v>0.6</v>
      </c>
      <c r="B72">
        <v>0.4</v>
      </c>
      <c r="C72">
        <f t="shared" si="9"/>
        <v>0</v>
      </c>
      <c r="D72" t="b">
        <f t="shared" si="10"/>
        <v>1</v>
      </c>
    </row>
    <row r="73" spans="1:13" x14ac:dyDescent="0.25">
      <c r="A73">
        <v>0.6</v>
      </c>
      <c r="B73">
        <v>0.5</v>
      </c>
      <c r="C73">
        <f t="shared" si="9"/>
        <v>-9.9999999999999978E-2</v>
      </c>
      <c r="D73" t="b">
        <f t="shared" si="10"/>
        <v>1</v>
      </c>
    </row>
    <row r="74" spans="1:13" x14ac:dyDescent="0.25">
      <c r="A74">
        <v>0.6</v>
      </c>
      <c r="B74">
        <v>0.6</v>
      </c>
      <c r="C74">
        <f t="shared" si="9"/>
        <v>-0.19999999999999996</v>
      </c>
      <c r="D74" t="b">
        <f t="shared" si="10"/>
        <v>1</v>
      </c>
    </row>
    <row r="75" spans="1:13" x14ac:dyDescent="0.25">
      <c r="A75">
        <v>0.6</v>
      </c>
      <c r="B75">
        <v>0.7</v>
      </c>
      <c r="C75">
        <f t="shared" si="9"/>
        <v>-0.29999999999999993</v>
      </c>
      <c r="D75" t="b">
        <f t="shared" si="10"/>
        <v>1</v>
      </c>
    </row>
    <row r="76" spans="1:13" x14ac:dyDescent="0.25">
      <c r="A76">
        <v>0.6</v>
      </c>
      <c r="B76">
        <v>0.8</v>
      </c>
      <c r="C76">
        <f t="shared" si="9"/>
        <v>-0.4</v>
      </c>
      <c r="D76" t="b">
        <f t="shared" si="10"/>
        <v>1</v>
      </c>
    </row>
    <row r="77" spans="1:13" x14ac:dyDescent="0.25">
      <c r="A77">
        <v>0.6</v>
      </c>
      <c r="B77">
        <v>0.9</v>
      </c>
      <c r="C77">
        <f t="shared" si="9"/>
        <v>-0.5</v>
      </c>
      <c r="D77" t="b">
        <f t="shared" si="10"/>
        <v>1</v>
      </c>
    </row>
    <row r="78" spans="1:13" x14ac:dyDescent="0.25">
      <c r="A78">
        <v>0.6</v>
      </c>
      <c r="B78">
        <v>1</v>
      </c>
      <c r="C78">
        <f t="shared" si="9"/>
        <v>-0.6</v>
      </c>
      <c r="D78" t="b">
        <f t="shared" si="10"/>
        <v>1</v>
      </c>
    </row>
    <row r="79" spans="1:13" x14ac:dyDescent="0.25">
      <c r="A79">
        <v>0.7</v>
      </c>
      <c r="B79">
        <v>0</v>
      </c>
      <c r="C79">
        <f t="shared" si="9"/>
        <v>0.30000000000000004</v>
      </c>
      <c r="D79" t="b">
        <f t="shared" si="10"/>
        <v>0</v>
      </c>
    </row>
    <row r="80" spans="1:13" x14ac:dyDescent="0.25">
      <c r="A80">
        <v>0.7</v>
      </c>
      <c r="B80">
        <v>0.1</v>
      </c>
      <c r="C80">
        <f t="shared" si="9"/>
        <v>0.20000000000000004</v>
      </c>
      <c r="D80" t="b">
        <f t="shared" si="10"/>
        <v>0</v>
      </c>
    </row>
    <row r="81" spans="1:4" x14ac:dyDescent="0.25">
      <c r="A81">
        <v>0.7</v>
      </c>
      <c r="B81">
        <v>0.2</v>
      </c>
      <c r="C81">
        <f t="shared" si="9"/>
        <v>0.10000000000000003</v>
      </c>
      <c r="D81" t="b">
        <f t="shared" si="10"/>
        <v>0</v>
      </c>
    </row>
    <row r="82" spans="1:4" x14ac:dyDescent="0.25">
      <c r="A82">
        <v>0.7</v>
      </c>
      <c r="B82">
        <v>0.3</v>
      </c>
      <c r="C82">
        <f t="shared" si="9"/>
        <v>0</v>
      </c>
      <c r="D82" t="b">
        <f t="shared" si="10"/>
        <v>1</v>
      </c>
    </row>
    <row r="83" spans="1:4" x14ac:dyDescent="0.25">
      <c r="A83">
        <v>0.7</v>
      </c>
      <c r="B83">
        <v>0.4</v>
      </c>
      <c r="C83">
        <f t="shared" si="9"/>
        <v>-9.9999999999999978E-2</v>
      </c>
      <c r="D83" t="b">
        <f t="shared" si="10"/>
        <v>1</v>
      </c>
    </row>
    <row r="84" spans="1:4" x14ac:dyDescent="0.25">
      <c r="A84">
        <v>0.7</v>
      </c>
      <c r="B84">
        <v>0.5</v>
      </c>
      <c r="C84">
        <f t="shared" si="9"/>
        <v>-0.19999999999999996</v>
      </c>
      <c r="D84" t="b">
        <f t="shared" si="10"/>
        <v>1</v>
      </c>
    </row>
    <row r="85" spans="1:4" x14ac:dyDescent="0.25">
      <c r="A85">
        <v>0.7</v>
      </c>
      <c r="B85">
        <v>0.6</v>
      </c>
      <c r="C85">
        <f t="shared" si="9"/>
        <v>-0.29999999999999993</v>
      </c>
      <c r="D85" t="b">
        <f t="shared" si="10"/>
        <v>1</v>
      </c>
    </row>
    <row r="86" spans="1:4" x14ac:dyDescent="0.25">
      <c r="A86">
        <v>0.7</v>
      </c>
      <c r="B86">
        <v>0.7</v>
      </c>
      <c r="C86">
        <f t="shared" si="9"/>
        <v>-0.39999999999999991</v>
      </c>
      <c r="D86" t="b">
        <f t="shared" si="10"/>
        <v>1</v>
      </c>
    </row>
    <row r="87" spans="1:4" x14ac:dyDescent="0.25">
      <c r="A87">
        <v>0.7</v>
      </c>
      <c r="B87">
        <v>0.8</v>
      </c>
      <c r="C87">
        <f t="shared" si="9"/>
        <v>-0.5</v>
      </c>
      <c r="D87" t="b">
        <f t="shared" si="10"/>
        <v>1</v>
      </c>
    </row>
    <row r="88" spans="1:4" x14ac:dyDescent="0.25">
      <c r="A88">
        <v>0.7</v>
      </c>
      <c r="B88">
        <v>0.9</v>
      </c>
      <c r="C88">
        <f t="shared" si="9"/>
        <v>-0.6</v>
      </c>
      <c r="D88" t="b">
        <f t="shared" si="10"/>
        <v>1</v>
      </c>
    </row>
    <row r="89" spans="1:4" x14ac:dyDescent="0.25">
      <c r="A89">
        <v>0.7</v>
      </c>
      <c r="B89">
        <v>1</v>
      </c>
      <c r="C89">
        <f t="shared" si="9"/>
        <v>-0.7</v>
      </c>
      <c r="D89" t="b">
        <f t="shared" si="10"/>
        <v>1</v>
      </c>
    </row>
    <row r="90" spans="1:4" x14ac:dyDescent="0.25">
      <c r="A90">
        <v>0.8</v>
      </c>
      <c r="B90">
        <v>0</v>
      </c>
      <c r="C90">
        <f t="shared" si="9"/>
        <v>0.19999999999999996</v>
      </c>
      <c r="D90" t="b">
        <f t="shared" si="10"/>
        <v>0</v>
      </c>
    </row>
    <row r="91" spans="1:4" x14ac:dyDescent="0.25">
      <c r="A91">
        <v>0.8</v>
      </c>
      <c r="B91">
        <v>0.1</v>
      </c>
      <c r="C91">
        <f t="shared" si="9"/>
        <v>9.999999999999995E-2</v>
      </c>
      <c r="D91" t="b">
        <f t="shared" si="10"/>
        <v>0</v>
      </c>
    </row>
    <row r="92" spans="1:4" x14ac:dyDescent="0.25">
      <c r="A92">
        <v>0.8</v>
      </c>
      <c r="B92">
        <v>0.2</v>
      </c>
      <c r="C92">
        <f t="shared" si="9"/>
        <v>0</v>
      </c>
      <c r="D92" t="b">
        <f t="shared" si="10"/>
        <v>0</v>
      </c>
    </row>
    <row r="93" spans="1:4" x14ac:dyDescent="0.25">
      <c r="A93">
        <v>0.8</v>
      </c>
      <c r="B93">
        <v>0.3</v>
      </c>
      <c r="C93">
        <f t="shared" si="9"/>
        <v>-0.10000000000000003</v>
      </c>
      <c r="D93" t="b">
        <f t="shared" si="10"/>
        <v>1</v>
      </c>
    </row>
    <row r="94" spans="1:4" x14ac:dyDescent="0.25">
      <c r="A94">
        <v>0.8</v>
      </c>
      <c r="B94">
        <v>0.4</v>
      </c>
      <c r="C94">
        <f t="shared" si="9"/>
        <v>-0.20000000000000007</v>
      </c>
      <c r="D94" t="b">
        <f t="shared" si="10"/>
        <v>1</v>
      </c>
    </row>
    <row r="95" spans="1:4" x14ac:dyDescent="0.25">
      <c r="A95">
        <v>0.8</v>
      </c>
      <c r="B95">
        <v>0.5</v>
      </c>
      <c r="C95">
        <f t="shared" si="9"/>
        <v>-0.30000000000000004</v>
      </c>
      <c r="D95" t="b">
        <f t="shared" si="10"/>
        <v>1</v>
      </c>
    </row>
    <row r="96" spans="1:4" x14ac:dyDescent="0.25">
      <c r="A96">
        <v>0.8</v>
      </c>
      <c r="B96">
        <v>0.6</v>
      </c>
      <c r="C96">
        <f t="shared" si="9"/>
        <v>-0.4</v>
      </c>
      <c r="D96" t="b">
        <f t="shared" si="10"/>
        <v>1</v>
      </c>
    </row>
    <row r="97" spans="1:4" x14ac:dyDescent="0.25">
      <c r="A97">
        <v>0.8</v>
      </c>
      <c r="B97">
        <v>0.7</v>
      </c>
      <c r="C97">
        <f t="shared" si="9"/>
        <v>-0.5</v>
      </c>
      <c r="D97" t="b">
        <f t="shared" si="10"/>
        <v>1</v>
      </c>
    </row>
    <row r="98" spans="1:4" x14ac:dyDescent="0.25">
      <c r="A98">
        <v>0.8</v>
      </c>
      <c r="B98">
        <v>0.8</v>
      </c>
      <c r="C98">
        <f t="shared" si="9"/>
        <v>-0.60000000000000009</v>
      </c>
      <c r="D98" t="b">
        <f t="shared" si="10"/>
        <v>1</v>
      </c>
    </row>
    <row r="99" spans="1:4" x14ac:dyDescent="0.25">
      <c r="A99">
        <v>0.8</v>
      </c>
      <c r="B99">
        <v>0.9</v>
      </c>
      <c r="C99">
        <f t="shared" si="9"/>
        <v>-0.70000000000000007</v>
      </c>
      <c r="D99" t="b">
        <f t="shared" si="10"/>
        <v>1</v>
      </c>
    </row>
    <row r="100" spans="1:4" x14ac:dyDescent="0.25">
      <c r="A100">
        <v>0.8</v>
      </c>
      <c r="B100">
        <v>1</v>
      </c>
      <c r="C100">
        <f t="shared" si="9"/>
        <v>-0.8</v>
      </c>
      <c r="D100" t="b">
        <f t="shared" si="10"/>
        <v>1</v>
      </c>
    </row>
    <row r="101" spans="1:4" x14ac:dyDescent="0.25">
      <c r="A101">
        <v>0.9</v>
      </c>
      <c r="B101">
        <v>0</v>
      </c>
      <c r="C101">
        <f t="shared" si="9"/>
        <v>9.9999999999999978E-2</v>
      </c>
      <c r="D101" t="b">
        <f t="shared" si="10"/>
        <v>0</v>
      </c>
    </row>
    <row r="102" spans="1:4" x14ac:dyDescent="0.25">
      <c r="A102">
        <v>0.9</v>
      </c>
      <c r="B102">
        <v>0.1</v>
      </c>
      <c r="C102">
        <f t="shared" si="9"/>
        <v>0</v>
      </c>
      <c r="D102" t="b">
        <f t="shared" si="10"/>
        <v>0</v>
      </c>
    </row>
    <row r="103" spans="1:4" x14ac:dyDescent="0.25">
      <c r="A103">
        <v>0.9</v>
      </c>
      <c r="B103">
        <v>0.2</v>
      </c>
      <c r="C103">
        <f t="shared" si="9"/>
        <v>-0.10000000000000003</v>
      </c>
      <c r="D103" t="b">
        <f t="shared" si="10"/>
        <v>0</v>
      </c>
    </row>
    <row r="104" spans="1:4" x14ac:dyDescent="0.25">
      <c r="A104">
        <v>0.9</v>
      </c>
      <c r="B104">
        <v>0.3</v>
      </c>
      <c r="C104">
        <f t="shared" si="9"/>
        <v>-0.2</v>
      </c>
      <c r="D104" t="b">
        <f t="shared" si="10"/>
        <v>1</v>
      </c>
    </row>
    <row r="105" spans="1:4" x14ac:dyDescent="0.25">
      <c r="A105">
        <v>0.9</v>
      </c>
      <c r="B105">
        <v>0.4</v>
      </c>
      <c r="C105">
        <f t="shared" si="9"/>
        <v>-0.30000000000000004</v>
      </c>
      <c r="D105" t="b">
        <f t="shared" si="10"/>
        <v>1</v>
      </c>
    </row>
    <row r="106" spans="1:4" x14ac:dyDescent="0.25">
      <c r="A106">
        <v>0.9</v>
      </c>
      <c r="B106">
        <v>0.5</v>
      </c>
      <c r="C106">
        <f t="shared" si="9"/>
        <v>-0.4</v>
      </c>
      <c r="D106" t="b">
        <f t="shared" si="10"/>
        <v>1</v>
      </c>
    </row>
    <row r="107" spans="1:4" x14ac:dyDescent="0.25">
      <c r="A107">
        <v>0.9</v>
      </c>
      <c r="B107">
        <v>0.6</v>
      </c>
      <c r="C107">
        <f t="shared" si="9"/>
        <v>-0.5</v>
      </c>
      <c r="D107" t="b">
        <f t="shared" si="10"/>
        <v>1</v>
      </c>
    </row>
    <row r="108" spans="1:4" x14ac:dyDescent="0.25">
      <c r="A108">
        <v>0.9</v>
      </c>
      <c r="B108">
        <v>0.7</v>
      </c>
      <c r="C108">
        <f t="shared" si="9"/>
        <v>-0.6</v>
      </c>
      <c r="D108" t="b">
        <f t="shared" si="10"/>
        <v>1</v>
      </c>
    </row>
    <row r="109" spans="1:4" x14ac:dyDescent="0.25">
      <c r="A109">
        <v>0.9</v>
      </c>
      <c r="B109">
        <v>0.8</v>
      </c>
      <c r="C109">
        <f t="shared" si="9"/>
        <v>-0.70000000000000007</v>
      </c>
      <c r="D109" t="b">
        <f t="shared" si="10"/>
        <v>1</v>
      </c>
    </row>
    <row r="110" spans="1:4" x14ac:dyDescent="0.25">
      <c r="A110">
        <v>0.9</v>
      </c>
      <c r="B110">
        <v>0.9</v>
      </c>
      <c r="C110">
        <f t="shared" si="9"/>
        <v>-0.8</v>
      </c>
      <c r="D110" t="b">
        <f t="shared" si="10"/>
        <v>1</v>
      </c>
    </row>
    <row r="111" spans="1:4" x14ac:dyDescent="0.25">
      <c r="A111">
        <v>0.9</v>
      </c>
      <c r="B111">
        <v>1</v>
      </c>
      <c r="C111">
        <f t="shared" si="9"/>
        <v>-0.9</v>
      </c>
      <c r="D111" t="b">
        <f t="shared" si="10"/>
        <v>1</v>
      </c>
    </row>
    <row r="112" spans="1:4" x14ac:dyDescent="0.25">
      <c r="A112">
        <v>1</v>
      </c>
      <c r="B112">
        <v>0</v>
      </c>
      <c r="C112">
        <f t="shared" si="9"/>
        <v>0</v>
      </c>
      <c r="D112" t="b">
        <f t="shared" si="10"/>
        <v>0</v>
      </c>
    </row>
    <row r="113" spans="1:4" x14ac:dyDescent="0.25">
      <c r="A113">
        <v>1</v>
      </c>
      <c r="B113">
        <v>0.1</v>
      </c>
      <c r="C113">
        <f t="shared" si="9"/>
        <v>-0.1</v>
      </c>
      <c r="D113" t="b">
        <f t="shared" si="10"/>
        <v>0</v>
      </c>
    </row>
    <row r="114" spans="1:4" x14ac:dyDescent="0.25">
      <c r="A114">
        <v>1</v>
      </c>
      <c r="B114">
        <v>0.2</v>
      </c>
      <c r="C114">
        <f t="shared" si="9"/>
        <v>-0.2</v>
      </c>
      <c r="D114" t="b">
        <f t="shared" si="10"/>
        <v>0</v>
      </c>
    </row>
    <row r="115" spans="1:4" x14ac:dyDescent="0.25">
      <c r="A115">
        <v>1</v>
      </c>
      <c r="B115">
        <v>0.3</v>
      </c>
      <c r="C115">
        <f t="shared" si="9"/>
        <v>-0.3</v>
      </c>
      <c r="D115" t="b">
        <f t="shared" si="10"/>
        <v>1</v>
      </c>
    </row>
    <row r="116" spans="1:4" x14ac:dyDescent="0.25">
      <c r="A116">
        <v>1</v>
      </c>
      <c r="B116">
        <v>0.4</v>
      </c>
      <c r="C116">
        <f t="shared" si="9"/>
        <v>-0.4</v>
      </c>
      <c r="D116" t="b">
        <f t="shared" si="10"/>
        <v>1</v>
      </c>
    </row>
    <row r="117" spans="1:4" x14ac:dyDescent="0.25">
      <c r="A117">
        <v>1</v>
      </c>
      <c r="B117">
        <v>0.5</v>
      </c>
      <c r="C117">
        <f t="shared" si="9"/>
        <v>-0.5</v>
      </c>
      <c r="D117" t="b">
        <f t="shared" si="10"/>
        <v>1</v>
      </c>
    </row>
    <row r="118" spans="1:4" x14ac:dyDescent="0.25">
      <c r="A118">
        <v>1</v>
      </c>
      <c r="B118">
        <v>0.6</v>
      </c>
      <c r="C118">
        <f t="shared" si="9"/>
        <v>-0.6</v>
      </c>
      <c r="D118" t="b">
        <f t="shared" si="10"/>
        <v>1</v>
      </c>
    </row>
    <row r="119" spans="1:4" x14ac:dyDescent="0.25">
      <c r="A119">
        <v>1</v>
      </c>
      <c r="B119">
        <v>0.7</v>
      </c>
      <c r="C119">
        <f t="shared" si="9"/>
        <v>-0.7</v>
      </c>
      <c r="D119" t="b">
        <f t="shared" si="10"/>
        <v>1</v>
      </c>
    </row>
    <row r="120" spans="1:4" x14ac:dyDescent="0.25">
      <c r="A120">
        <v>1</v>
      </c>
      <c r="B120">
        <v>0.8</v>
      </c>
      <c r="C120">
        <f t="shared" si="9"/>
        <v>-0.8</v>
      </c>
      <c r="D120" t="b">
        <f t="shared" si="10"/>
        <v>1</v>
      </c>
    </row>
    <row r="121" spans="1:4" x14ac:dyDescent="0.25">
      <c r="A121">
        <v>1</v>
      </c>
      <c r="B121">
        <v>0.9</v>
      </c>
      <c r="C121">
        <f t="shared" si="9"/>
        <v>-0.9</v>
      </c>
      <c r="D121" t="b">
        <f t="shared" si="10"/>
        <v>1</v>
      </c>
    </row>
    <row r="122" spans="1:4" x14ac:dyDescent="0.25">
      <c r="A122">
        <v>1</v>
      </c>
      <c r="B122">
        <v>1</v>
      </c>
      <c r="C122">
        <f t="shared" si="9"/>
        <v>-1</v>
      </c>
      <c r="D122" t="b">
        <f t="shared" si="10"/>
        <v>1</v>
      </c>
    </row>
  </sheetData>
  <conditionalFormatting sqref="L2:L67">
    <cfRule type="top10" dxfId="1" priority="2" rank="1"/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3C14-3F35-4B04-BD3D-9ED6D7CB4F3B}">
  <dimension ref="A1:L61"/>
  <sheetViews>
    <sheetView workbookViewId="0">
      <selection activeCell="I22" sqref="I22"/>
    </sheetView>
  </sheetViews>
  <sheetFormatPr defaultRowHeight="15" x14ac:dyDescent="0.25"/>
  <cols>
    <col min="1" max="1" width="11.140625" customWidth="1"/>
    <col min="2" max="4" width="9.7109375" bestFit="1" customWidth="1"/>
    <col min="5" max="5" width="12" bestFit="1" customWidth="1"/>
    <col min="7" max="7" width="11.28515625" bestFit="1" customWidth="1"/>
    <col min="9" max="9" width="24.5703125" bestFit="1" customWidth="1"/>
    <col min="10" max="10" width="10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G1" s="3" t="s">
        <v>46</v>
      </c>
      <c r="I1" s="3" t="s">
        <v>45</v>
      </c>
      <c r="J1" s="2" t="s">
        <v>17</v>
      </c>
      <c r="K1" s="2" t="s">
        <v>18</v>
      </c>
      <c r="L1" s="2" t="s">
        <v>19</v>
      </c>
    </row>
    <row r="2" spans="1:12" x14ac:dyDescent="0.25">
      <c r="A2" s="1">
        <v>43496</v>
      </c>
      <c r="B2">
        <v>2.8157999999999999E-2</v>
      </c>
      <c r="C2">
        <v>1.6473000000000002E-2</v>
      </c>
      <c r="D2">
        <v>7.7982999999999997E-2</v>
      </c>
      <c r="E2">
        <f>wrds_riskfree[[#This Row],[TMYTM]]/100 / 12</f>
        <v>1.96227247527075E-3</v>
      </c>
      <c r="G2" s="2">
        <f>SUMPRODUCT(pivot_RET5[[#This Row],[MSFT]:[GOOG]], $J$2:$L$2)</f>
        <v>2.4652500000000001E-2</v>
      </c>
      <c r="I2" s="2"/>
      <c r="J2" s="2">
        <v>0.70000000000000007</v>
      </c>
      <c r="K2" s="2">
        <v>0.3</v>
      </c>
      <c r="L2" s="2">
        <v>0</v>
      </c>
    </row>
    <row r="3" spans="1:12" x14ac:dyDescent="0.25">
      <c r="A3" s="1">
        <v>43524</v>
      </c>
      <c r="B3">
        <v>7.7181E-2</v>
      </c>
      <c r="C3">
        <v>-5.7967999999999999E-2</v>
      </c>
      <c r="D3">
        <v>3.1800000000000001E-3</v>
      </c>
      <c r="E3">
        <f>wrds_riskfree[[#This Row],[TMYTM]]/100 / 12</f>
        <v>2.0215439460972498E-3</v>
      </c>
      <c r="G3" s="2">
        <f>SUMPRODUCT(pivot_RET5[[#This Row],[MSFT]:[GOOG]], $J$2:$L$2)</f>
        <v>3.6636300000000004E-2</v>
      </c>
    </row>
    <row r="4" spans="1:12" x14ac:dyDescent="0.25">
      <c r="A4" s="1">
        <v>43553</v>
      </c>
      <c r="B4">
        <v>5.2754000000000002E-2</v>
      </c>
      <c r="C4">
        <v>4.2347000000000003E-2</v>
      </c>
      <c r="D4">
        <v>4.7673E-2</v>
      </c>
      <c r="E4">
        <f>wrds_riskfree[[#This Row],[TMYTM]]/100 / 12</f>
        <v>2.0172432007860832E-3</v>
      </c>
      <c r="G4" s="2">
        <f>SUMPRODUCT(pivot_RET5[[#This Row],[MSFT]:[GOOG]], $J$2:$L$2)</f>
        <v>4.9631900000000007E-2</v>
      </c>
      <c r="I4" s="3" t="s">
        <v>47</v>
      </c>
      <c r="J4" s="2">
        <v>-0.05</v>
      </c>
    </row>
    <row r="5" spans="1:12" x14ac:dyDescent="0.25">
      <c r="A5" s="1">
        <v>43585</v>
      </c>
      <c r="B5">
        <v>0.10734299999999999</v>
      </c>
      <c r="C5">
        <v>4.6947999999999997E-2</v>
      </c>
      <c r="D5">
        <v>1.2929E-2</v>
      </c>
      <c r="E5">
        <f>wrds_riskfree[[#This Row],[TMYTM]]/100 / 12</f>
        <v>2.0086434690135E-3</v>
      </c>
      <c r="G5" s="2">
        <f>SUMPRODUCT(pivot_RET5[[#This Row],[MSFT]:[GOOG]], $J$2:$L$2)</f>
        <v>8.9224499999999998E-2</v>
      </c>
      <c r="I5" s="3" t="s">
        <v>48</v>
      </c>
      <c r="J5" s="2">
        <f>_xlfn.PERCENTILE.INC($G$2:$G$61, 0.05)</f>
        <v>-5.8328230000000002E-2</v>
      </c>
    </row>
    <row r="6" spans="1:12" x14ac:dyDescent="0.25">
      <c r="A6" s="1">
        <v>43616</v>
      </c>
      <c r="B6">
        <v>-4.9464000000000001E-2</v>
      </c>
      <c r="C6">
        <v>1.4270000000000001E-3</v>
      </c>
      <c r="D6">
        <v>-7.1393999999999999E-2</v>
      </c>
      <c r="E6">
        <f>wrds_riskfree[[#This Row],[TMYTM]]/100 / 12</f>
        <v>1.9579758793994997E-3</v>
      </c>
      <c r="G6" s="2">
        <f>SUMPRODUCT(pivot_RET5[[#This Row],[MSFT]:[GOOG]], $J$2:$L$2)</f>
        <v>-3.4196700000000003E-2</v>
      </c>
      <c r="I6" s="3" t="s">
        <v>49</v>
      </c>
      <c r="J6" s="2">
        <f>AVERAGEIF($G$2:$G$61,"&lt;=" &amp; J4)</f>
        <v>-6.7803866666666671E-2</v>
      </c>
    </row>
    <row r="7" spans="1:12" x14ac:dyDescent="0.25">
      <c r="A7" s="1">
        <v>43644</v>
      </c>
      <c r="B7">
        <v>8.3117999999999997E-2</v>
      </c>
      <c r="C7">
        <v>4.4575999999999998E-2</v>
      </c>
      <c r="D7">
        <v>-2.0587000000000001E-2</v>
      </c>
      <c r="E7">
        <f>wrds_riskfree[[#This Row],[TMYTM]]/100 / 12</f>
        <v>1.6934346877270001E-3</v>
      </c>
      <c r="G7" s="2">
        <f>SUMPRODUCT(pivot_RET5[[#This Row],[MSFT]:[GOOG]], $J$2:$L$2)</f>
        <v>7.1555400000000005E-2</v>
      </c>
    </row>
    <row r="8" spans="1:12" x14ac:dyDescent="0.25">
      <c r="A8" s="1">
        <v>43677</v>
      </c>
      <c r="B8">
        <v>1.7243999999999999E-2</v>
      </c>
      <c r="C8">
        <v>3.3582000000000001E-2</v>
      </c>
      <c r="D8">
        <v>0.125607</v>
      </c>
      <c r="E8">
        <f>wrds_riskfree[[#This Row],[TMYTM]]/100 / 12</f>
        <v>1.8776635503075833E-3</v>
      </c>
      <c r="G8" s="2">
        <f>SUMPRODUCT(pivot_RET5[[#This Row],[MSFT]:[GOOG]], $J$2:$L$2)</f>
        <v>2.2145399999999999E-2</v>
      </c>
      <c r="I8" s="3" t="s">
        <v>50</v>
      </c>
      <c r="J8" s="11">
        <f>COUNT(G2:G61) * 0.05</f>
        <v>3</v>
      </c>
    </row>
    <row r="9" spans="1:12" x14ac:dyDescent="0.25">
      <c r="A9" s="1">
        <v>43707</v>
      </c>
      <c r="B9">
        <v>1.5044E-2</v>
      </c>
      <c r="C9">
        <v>4.5790999999999998E-2</v>
      </c>
      <c r="D9">
        <v>-2.349E-2</v>
      </c>
      <c r="E9">
        <f>wrds_riskfree[[#This Row],[TMYTM]]/100 / 12</f>
        <v>1.7378724627450833E-3</v>
      </c>
      <c r="G9" s="2">
        <f>SUMPRODUCT(pivot_RET5[[#This Row],[MSFT]:[GOOG]], $J$2:$L$2)</f>
        <v>2.4268100000000001E-2</v>
      </c>
    </row>
    <row r="10" spans="1:12" x14ac:dyDescent="0.25">
      <c r="A10" s="1">
        <v>43738</v>
      </c>
      <c r="B10">
        <v>8.4869999999999998E-3</v>
      </c>
      <c r="C10">
        <v>-3.6340000000000001E-3</v>
      </c>
      <c r="D10">
        <v>2.6008E-2</v>
      </c>
      <c r="E10">
        <f>wrds_riskfree[[#This Row],[TMYTM]]/100 / 12</f>
        <v>1.5008579504105001E-3</v>
      </c>
      <c r="G10" s="2">
        <f>SUMPRODUCT(pivot_RET5[[#This Row],[MSFT]:[GOOG]], $J$2:$L$2)</f>
        <v>4.8507000000000012E-3</v>
      </c>
    </row>
    <row r="11" spans="1:12" x14ac:dyDescent="0.25">
      <c r="A11" s="1">
        <v>43769</v>
      </c>
      <c r="B11">
        <v>3.1216000000000001E-2</v>
      </c>
      <c r="C11">
        <v>-1.84E-4</v>
      </c>
      <c r="D11">
        <v>3.3723999999999997E-2</v>
      </c>
      <c r="E11">
        <f>wrds_riskfree[[#This Row],[TMYTM]]/100 / 12</f>
        <v>1.2640028773355E-3</v>
      </c>
      <c r="G11" s="2">
        <f>SUMPRODUCT(pivot_RET5[[#This Row],[MSFT]:[GOOG]], $J$2:$L$2)</f>
        <v>2.1796000000000003E-2</v>
      </c>
    </row>
    <row r="12" spans="1:12" x14ac:dyDescent="0.25">
      <c r="A12" s="1">
        <v>43798</v>
      </c>
      <c r="B12">
        <v>5.9427000000000001E-2</v>
      </c>
      <c r="C12">
        <v>-1.1573999999999999E-2</v>
      </c>
      <c r="D12">
        <v>3.5591999999999999E-2</v>
      </c>
      <c r="E12">
        <f>wrds_riskfree[[#This Row],[TMYTM]]/100 / 12</f>
        <v>1.3591599330884166E-3</v>
      </c>
      <c r="G12" s="2">
        <f>SUMPRODUCT(pivot_RET5[[#This Row],[MSFT]:[GOOG]], $J$2:$L$2)</f>
        <v>3.8126699999999999E-2</v>
      </c>
    </row>
    <row r="13" spans="1:12" x14ac:dyDescent="0.25">
      <c r="A13" s="1">
        <v>43830</v>
      </c>
      <c r="B13">
        <v>4.1749000000000001E-2</v>
      </c>
      <c r="C13">
        <v>3.6517000000000001E-2</v>
      </c>
      <c r="D13">
        <v>2.4568E-2</v>
      </c>
      <c r="E13">
        <f>wrds_riskfree[[#This Row],[TMYTM]]/100 / 12</f>
        <v>1.1793314526302499E-3</v>
      </c>
      <c r="G13" s="2">
        <f>SUMPRODUCT(pivot_RET5[[#This Row],[MSFT]:[GOOG]], $J$2:$L$2)</f>
        <v>4.0179400000000004E-2</v>
      </c>
    </row>
    <row r="14" spans="1:12" x14ac:dyDescent="0.25">
      <c r="A14" s="1">
        <v>43861</v>
      </c>
      <c r="B14">
        <v>7.9454999999999998E-2</v>
      </c>
      <c r="C14">
        <v>5.5104E-2</v>
      </c>
      <c r="D14">
        <v>7.2706000000000007E-2</v>
      </c>
      <c r="E14">
        <f>wrds_riskfree[[#This Row],[TMYTM]]/100 / 12</f>
        <v>1.2999336293397499E-3</v>
      </c>
      <c r="G14" s="2">
        <f>SUMPRODUCT(pivot_RET5[[#This Row],[MSFT]:[GOOG]], $J$2:$L$2)</f>
        <v>7.2149699999999997E-2</v>
      </c>
    </row>
    <row r="15" spans="1:12" x14ac:dyDescent="0.25">
      <c r="A15" s="1">
        <v>43889</v>
      </c>
      <c r="B15">
        <v>-4.5291999999999999E-2</v>
      </c>
      <c r="C15">
        <v>-8.4074999999999997E-2</v>
      </c>
      <c r="D15">
        <v>-6.6168000000000005E-2</v>
      </c>
      <c r="E15">
        <f>wrds_riskfree[[#This Row],[TMYTM]]/100 / 12</f>
        <v>1.2047562290165E-3</v>
      </c>
      <c r="G15" s="2">
        <f>SUMPRODUCT(pivot_RET5[[#This Row],[MSFT]:[GOOG]], $J$2:$L$2)</f>
        <v>-5.6926900000000002E-2</v>
      </c>
    </row>
    <row r="16" spans="1:12" x14ac:dyDescent="0.25">
      <c r="A16" s="1">
        <v>43921</v>
      </c>
      <c r="B16">
        <v>-2.6540999999999999E-2</v>
      </c>
      <c r="C16">
        <v>-0.165078</v>
      </c>
      <c r="D16">
        <v>-0.131797</v>
      </c>
      <c r="E16">
        <f>wrds_riskfree[[#This Row],[TMYTM]]/100 / 12</f>
        <v>3.3796352623437501E-6</v>
      </c>
      <c r="G16" s="2">
        <f>SUMPRODUCT(pivot_RET5[[#This Row],[MSFT]:[GOOG]], $J$2:$L$2)</f>
        <v>-6.8102099999999999E-2</v>
      </c>
    </row>
    <row r="17" spans="1:7" x14ac:dyDescent="0.25">
      <c r="A17" s="1">
        <v>43951</v>
      </c>
      <c r="B17">
        <v>0.136326</v>
      </c>
      <c r="C17">
        <v>3.7061999999999998E-2</v>
      </c>
      <c r="D17">
        <v>0.159828</v>
      </c>
      <c r="E17">
        <f>wrds_riskfree[[#This Row],[TMYTM]]/100 / 12</f>
        <v>6.1257822606083334E-5</v>
      </c>
      <c r="G17" s="2">
        <f>SUMPRODUCT(pivot_RET5[[#This Row],[MSFT]:[GOOG]], $J$2:$L$2)</f>
        <v>0.1065468</v>
      </c>
    </row>
    <row r="18" spans="1:7" x14ac:dyDescent="0.25">
      <c r="A18" s="1">
        <v>43980</v>
      </c>
      <c r="B18">
        <v>2.5388999999999998E-2</v>
      </c>
      <c r="C18">
        <v>1.7215000000000001E-2</v>
      </c>
      <c r="D18">
        <v>5.9511000000000001E-2</v>
      </c>
      <c r="E18">
        <f>wrds_riskfree[[#This Row],[TMYTM]]/100 / 12</f>
        <v>1.0561929377322499E-4</v>
      </c>
      <c r="G18" s="2">
        <f>SUMPRODUCT(pivot_RET5[[#This Row],[MSFT]:[GOOG]], $J$2:$L$2)</f>
        <v>2.29368E-2</v>
      </c>
    </row>
    <row r="19" spans="1:7" x14ac:dyDescent="0.25">
      <c r="A19" s="1">
        <v>44012</v>
      </c>
      <c r="B19">
        <v>0.110559</v>
      </c>
      <c r="C19">
        <v>-3.4062000000000002E-2</v>
      </c>
      <c r="D19">
        <v>-1.0714E-2</v>
      </c>
      <c r="E19">
        <f>wrds_riskfree[[#This Row],[TMYTM]]/100 / 12</f>
        <v>9.7169007941208337E-5</v>
      </c>
      <c r="G19" s="2">
        <f>SUMPRODUCT(pivot_RET5[[#This Row],[MSFT]:[GOOG]], $J$2:$L$2)</f>
        <v>6.7172700000000016E-2</v>
      </c>
    </row>
    <row r="20" spans="1:7" x14ac:dyDescent="0.25">
      <c r="A20" s="1">
        <v>44043</v>
      </c>
      <c r="B20">
        <v>7.3709999999999999E-3</v>
      </c>
      <c r="C20">
        <v>5.7296E-2</v>
      </c>
      <c r="D20">
        <v>4.9058999999999998E-2</v>
      </c>
      <c r="E20">
        <f>wrds_riskfree[[#This Row],[TMYTM]]/100 / 12</f>
        <v>7.6044708495716663E-5</v>
      </c>
      <c r="G20" s="2">
        <f>SUMPRODUCT(pivot_RET5[[#This Row],[MSFT]:[GOOG]], $J$2:$L$2)</f>
        <v>2.23485E-2</v>
      </c>
    </row>
    <row r="21" spans="1:7" x14ac:dyDescent="0.25">
      <c r="A21" s="1">
        <v>44074</v>
      </c>
      <c r="B21">
        <v>0.10258</v>
      </c>
      <c r="C21">
        <v>4.8475999999999998E-2</v>
      </c>
      <c r="D21">
        <v>0.10197199999999999</v>
      </c>
      <c r="E21">
        <f>wrds_riskfree[[#This Row],[TMYTM]]/100 / 12</f>
        <v>7.60446134335025E-5</v>
      </c>
      <c r="G21" s="2">
        <f>SUMPRODUCT(pivot_RET5[[#This Row],[MSFT]:[GOOG]], $J$2:$L$2)</f>
        <v>8.6348800000000003E-2</v>
      </c>
    </row>
    <row r="22" spans="1:7" x14ac:dyDescent="0.25">
      <c r="A22" s="1">
        <v>44104</v>
      </c>
      <c r="B22">
        <v>-6.7396999999999999E-2</v>
      </c>
      <c r="C22">
        <v>5.0470000000000003E-3</v>
      </c>
      <c r="D22">
        <v>-0.10071099999999999</v>
      </c>
      <c r="E22">
        <f>wrds_riskfree[[#This Row],[TMYTM]]/100 / 12</f>
        <v>7.1820012443827503E-5</v>
      </c>
      <c r="G22" s="2">
        <f>SUMPRODUCT(pivot_RET5[[#This Row],[MSFT]:[GOOG]], $J$2:$L$2)</f>
        <v>-4.5663800000000004E-2</v>
      </c>
    </row>
    <row r="23" spans="1:7" x14ac:dyDescent="0.25">
      <c r="A23" s="1">
        <v>44134</v>
      </c>
      <c r="B23">
        <v>-3.737E-2</v>
      </c>
      <c r="C23">
        <v>-2.6533999999999999E-2</v>
      </c>
      <c r="D23">
        <v>0.10302799999999999</v>
      </c>
      <c r="E23">
        <f>wrds_riskfree[[#This Row],[TMYTM]]/100 / 12</f>
        <v>6.3370167917985829E-5</v>
      </c>
      <c r="G23" s="2">
        <f>SUMPRODUCT(pivot_RET5[[#This Row],[MSFT]:[GOOG]], $J$2:$L$2)</f>
        <v>-3.4119200000000002E-2</v>
      </c>
    </row>
    <row r="24" spans="1:7" x14ac:dyDescent="0.25">
      <c r="A24" s="1">
        <v>44165</v>
      </c>
      <c r="B24">
        <v>6.0058E-2</v>
      </c>
      <c r="C24">
        <v>8.2188999999999998E-2</v>
      </c>
      <c r="D24">
        <v>8.6198999999999998E-2</v>
      </c>
      <c r="E24">
        <f>wrds_riskfree[[#This Row],[TMYTM]]/100 / 12</f>
        <v>5.9145301110025E-5</v>
      </c>
      <c r="G24" s="2">
        <f>SUMPRODUCT(pivot_RET5[[#This Row],[MSFT]:[GOOG]], $J$2:$L$2)</f>
        <v>6.6697300000000001E-2</v>
      </c>
    </row>
    <row r="25" spans="1:7" x14ac:dyDescent="0.25">
      <c r="A25" s="1">
        <v>44196</v>
      </c>
      <c r="B25">
        <v>3.9005999999999999E-2</v>
      </c>
      <c r="C25">
        <v>6.2791E-2</v>
      </c>
      <c r="D25">
        <v>-5.032E-3</v>
      </c>
      <c r="E25">
        <f>wrds_riskfree[[#This Row],[TMYTM]]/100 / 12</f>
        <v>4.2246338522921658E-5</v>
      </c>
      <c r="G25" s="2">
        <f>SUMPRODUCT(pivot_RET5[[#This Row],[MSFT]:[GOOG]], $J$2:$L$2)</f>
        <v>4.6141500000000002E-2</v>
      </c>
    </row>
    <row r="26" spans="1:7" x14ac:dyDescent="0.25">
      <c r="A26" s="1">
        <v>44225</v>
      </c>
      <c r="B26">
        <v>4.2892E-2</v>
      </c>
      <c r="C26">
        <v>-0.121991</v>
      </c>
      <c r="D26">
        <v>4.7869000000000002E-2</v>
      </c>
      <c r="E26">
        <f>wrds_riskfree[[#This Row],[TMYTM]]/100 / 12</f>
        <v>4.4358673932552509E-5</v>
      </c>
      <c r="G26" s="2">
        <f>SUMPRODUCT(pivot_RET5[[#This Row],[MSFT]:[GOOG]], $J$2:$L$2)</f>
        <v>-6.5728999999999961E-3</v>
      </c>
    </row>
    <row r="27" spans="1:7" x14ac:dyDescent="0.25">
      <c r="A27" s="1">
        <v>44253</v>
      </c>
      <c r="B27">
        <v>4.2249999999999996E-3</v>
      </c>
      <c r="C27">
        <v>1.7444999999999999E-2</v>
      </c>
      <c r="D27">
        <v>0.109558</v>
      </c>
      <c r="E27">
        <f>wrds_riskfree[[#This Row],[TMYTM]]/100 / 12</f>
        <v>2.5347560191329999E-5</v>
      </c>
      <c r="G27" s="2">
        <f>SUMPRODUCT(pivot_RET5[[#This Row],[MSFT]:[GOOG]], $J$2:$L$2)</f>
        <v>8.1910000000000004E-3</v>
      </c>
    </row>
    <row r="28" spans="1:7" x14ac:dyDescent="0.25">
      <c r="A28" s="1">
        <v>44286</v>
      </c>
      <c r="B28">
        <v>1.4588E-2</v>
      </c>
      <c r="C28">
        <v>8.4506999999999999E-2</v>
      </c>
      <c r="D28">
        <v>1.5597E-2</v>
      </c>
      <c r="E28">
        <f>wrds_riskfree[[#This Row],[TMYTM]]/100 / 12</f>
        <v>1.2673700883507501E-5</v>
      </c>
      <c r="G28" s="2">
        <f>SUMPRODUCT(pivot_RET5[[#This Row],[MSFT]:[GOOG]], $J$2:$L$2)</f>
        <v>3.5563700000000004E-2</v>
      </c>
    </row>
    <row r="29" spans="1:7" x14ac:dyDescent="0.25">
      <c r="A29" s="1">
        <v>44316</v>
      </c>
      <c r="B29">
        <v>6.9601999999999997E-2</v>
      </c>
      <c r="C29">
        <v>2.4094000000000001E-2</v>
      </c>
      <c r="D29">
        <v>0.16508</v>
      </c>
      <c r="E29">
        <f>wrds_riskfree[[#This Row],[TMYTM]]/100 / 12</f>
        <v>4.2245464248707505E-6</v>
      </c>
      <c r="G29" s="2">
        <f>SUMPRODUCT(pivot_RET5[[#This Row],[MSFT]:[GOOG]], $J$2:$L$2)</f>
        <v>5.5949600000000002E-2</v>
      </c>
    </row>
    <row r="30" spans="1:7" x14ac:dyDescent="0.25">
      <c r="A30" s="1">
        <v>44344</v>
      </c>
      <c r="B30">
        <v>-7.6930000000000002E-3</v>
      </c>
      <c r="C30">
        <v>2.4268000000000001E-2</v>
      </c>
      <c r="D30">
        <v>5.9699999999999998E-4</v>
      </c>
      <c r="E30">
        <f>wrds_riskfree[[#This Row],[TMYTM]]/100 / 12</f>
        <v>4.2245464248707505E-6</v>
      </c>
      <c r="G30" s="2">
        <f>SUMPRODUCT(pivot_RET5[[#This Row],[MSFT]:[GOOG]], $J$2:$L$2)</f>
        <v>1.8952999999999999E-3</v>
      </c>
    </row>
    <row r="31" spans="1:7" x14ac:dyDescent="0.25">
      <c r="A31" s="1">
        <v>44377</v>
      </c>
      <c r="B31">
        <v>8.4988999999999995E-2</v>
      </c>
      <c r="C31">
        <v>-1.3746E-2</v>
      </c>
      <c r="D31">
        <v>3.9294000000000003E-2</v>
      </c>
      <c r="E31">
        <f>wrds_riskfree[[#This Row],[TMYTM]]/100 / 12</f>
        <v>2.957224802543833E-5</v>
      </c>
      <c r="G31" s="2">
        <f>SUMPRODUCT(pivot_RET5[[#This Row],[MSFT]:[GOOG]], $J$2:$L$2)</f>
        <v>5.5368500000000008E-2</v>
      </c>
    </row>
    <row r="32" spans="1:7" x14ac:dyDescent="0.25">
      <c r="A32" s="1">
        <v>44407</v>
      </c>
      <c r="B32">
        <v>5.1716999999999999E-2</v>
      </c>
      <c r="C32">
        <v>5.3963999999999998E-2</v>
      </c>
      <c r="D32">
        <v>7.9039999999999999E-2</v>
      </c>
      <c r="E32">
        <f>wrds_riskfree[[#This Row],[TMYTM]]/100 / 12</f>
        <v>4.6471043375514168E-5</v>
      </c>
      <c r="G32" s="2">
        <f>SUMPRODUCT(pivot_RET5[[#This Row],[MSFT]:[GOOG]], $J$2:$L$2)</f>
        <v>5.2391099999999996E-2</v>
      </c>
    </row>
    <row r="33" spans="1:7" x14ac:dyDescent="0.25">
      <c r="A33" s="1">
        <v>44439</v>
      </c>
      <c r="B33">
        <v>6.1527999999999999E-2</v>
      </c>
      <c r="C33">
        <v>-1.2625000000000001E-2</v>
      </c>
      <c r="D33">
        <v>7.5734999999999997E-2</v>
      </c>
      <c r="E33">
        <f>wrds_riskfree[[#This Row],[TMYTM]]/100 / 12</f>
        <v>3.379685958032667E-5</v>
      </c>
      <c r="G33" s="2">
        <f>SUMPRODUCT(pivot_RET5[[#This Row],[MSFT]:[GOOG]], $J$2:$L$2)</f>
        <v>3.9282100000000007E-2</v>
      </c>
    </row>
    <row r="34" spans="1:7" x14ac:dyDescent="0.25">
      <c r="A34" s="1">
        <v>44469</v>
      </c>
      <c r="B34">
        <v>-6.6118999999999997E-2</v>
      </c>
      <c r="C34">
        <v>-6.0734999999999997E-2</v>
      </c>
      <c r="D34">
        <v>-8.3847000000000005E-2</v>
      </c>
      <c r="E34">
        <f>wrds_riskfree[[#This Row],[TMYTM]]/100 / 12</f>
        <v>3.8021593770179997E-5</v>
      </c>
      <c r="G34" s="2">
        <f>SUMPRODUCT(pivot_RET5[[#This Row],[MSFT]:[GOOG]], $J$2:$L$2)</f>
        <v>-6.45038E-2</v>
      </c>
    </row>
    <row r="35" spans="1:7" x14ac:dyDescent="0.25">
      <c r="A35" s="1">
        <v>44498</v>
      </c>
      <c r="B35">
        <v>0.176291</v>
      </c>
      <c r="C35">
        <v>7.4328000000000005E-2</v>
      </c>
      <c r="D35">
        <v>0.112595</v>
      </c>
      <c r="E35">
        <f>wrds_riskfree[[#This Row],[TMYTM]]/100 / 12</f>
        <v>4.2246309184121659E-5</v>
      </c>
      <c r="G35" s="2">
        <f>SUMPRODUCT(pivot_RET5[[#This Row],[MSFT]:[GOOG]], $J$2:$L$2)</f>
        <v>0.14570210000000003</v>
      </c>
    </row>
    <row r="36" spans="1:7" x14ac:dyDescent="0.25">
      <c r="A36" s="1">
        <v>44530</v>
      </c>
      <c r="B36">
        <v>-1.2359999999999999E-3</v>
      </c>
      <c r="C36">
        <v>-6.2089999999999999E-2</v>
      </c>
      <c r="D36">
        <v>-3.9241999999999999E-2</v>
      </c>
      <c r="E36">
        <f>wrds_riskfree[[#This Row],[TMYTM]]/100 / 12</f>
        <v>6.7594845779185E-5</v>
      </c>
      <c r="G36" s="2">
        <f>SUMPRODUCT(pivot_RET5[[#This Row],[MSFT]:[GOOG]], $J$2:$L$2)</f>
        <v>-1.9492199999999998E-2</v>
      </c>
    </row>
    <row r="37" spans="1:7" x14ac:dyDescent="0.25">
      <c r="A37" s="1">
        <v>44561</v>
      </c>
      <c r="B37">
        <v>1.7333000000000001E-2</v>
      </c>
      <c r="C37">
        <v>0.128885</v>
      </c>
      <c r="D37">
        <v>1.5637000000000002E-2</v>
      </c>
      <c r="E37">
        <f>wrds_riskfree[[#This Row],[TMYTM]]/100 / 12</f>
        <v>4.2246309184121659E-5</v>
      </c>
      <c r="G37" s="2">
        <f>SUMPRODUCT(pivot_RET5[[#This Row],[MSFT]:[GOOG]], $J$2:$L$2)</f>
        <v>5.0798599999999999E-2</v>
      </c>
    </row>
    <row r="38" spans="1:7" x14ac:dyDescent="0.25">
      <c r="A38" s="1">
        <v>44592</v>
      </c>
      <c r="B38">
        <v>-7.5344999999999995E-2</v>
      </c>
      <c r="C38">
        <v>3.04E-2</v>
      </c>
      <c r="D38">
        <v>-6.2074999999999998E-2</v>
      </c>
      <c r="E38">
        <f>wrds_riskfree[[#This Row],[TMYTM]]/100 / 12</f>
        <v>2.9572204898154169E-5</v>
      </c>
      <c r="G38" s="2">
        <f>SUMPRODUCT(pivot_RET5[[#This Row],[MSFT]:[GOOG]], $J$2:$L$2)</f>
        <v>-4.3621500000000007E-2</v>
      </c>
    </row>
    <row r="39" spans="1:7" x14ac:dyDescent="0.25">
      <c r="A39" s="1">
        <v>44620</v>
      </c>
      <c r="B39">
        <v>-3.7205000000000002E-2</v>
      </c>
      <c r="C39">
        <v>2.0160999999999998E-2</v>
      </c>
      <c r="D39">
        <v>-5.9509999999999997E-3</v>
      </c>
      <c r="E39">
        <f>wrds_riskfree[[#This Row],[TMYTM]]/100 / 12</f>
        <v>5.9145301110025E-5</v>
      </c>
      <c r="G39" s="2">
        <f>SUMPRODUCT(pivot_RET5[[#This Row],[MSFT]:[GOOG]], $J$2:$L$2)</f>
        <v>-1.9995200000000005E-2</v>
      </c>
    </row>
    <row r="40" spans="1:7" x14ac:dyDescent="0.25">
      <c r="A40" s="1">
        <v>44651</v>
      </c>
      <c r="B40">
        <v>3.1862000000000001E-2</v>
      </c>
      <c r="C40">
        <v>3.2130000000000001E-3</v>
      </c>
      <c r="D40">
        <v>3.5277000000000003E-2</v>
      </c>
      <c r="E40">
        <f>wrds_riskfree[[#This Row],[TMYTM]]/100 / 12</f>
        <v>3.3796915910323333E-5</v>
      </c>
      <c r="G40" s="2">
        <f>SUMPRODUCT(pivot_RET5[[#This Row],[MSFT]:[GOOG]], $J$2:$L$2)</f>
        <v>2.3267300000000005E-2</v>
      </c>
    </row>
    <row r="41" spans="1:7" x14ac:dyDescent="0.25">
      <c r="A41" s="1">
        <v>44680</v>
      </c>
      <c r="B41">
        <v>-9.9866999999999997E-2</v>
      </c>
      <c r="C41">
        <v>4.2097000000000002E-2</v>
      </c>
      <c r="D41">
        <v>-0.17674999999999999</v>
      </c>
      <c r="E41">
        <f>wrds_riskfree[[#This Row],[TMYTM]]/100 / 12</f>
        <v>2.9153776029709164E-4</v>
      </c>
      <c r="G41" s="2">
        <f>SUMPRODUCT(pivot_RET5[[#This Row],[MSFT]:[GOOG]], $J$2:$L$2)</f>
        <v>-5.7277800000000004E-2</v>
      </c>
    </row>
    <row r="42" spans="1:7" x14ac:dyDescent="0.25">
      <c r="A42" s="1">
        <v>44712</v>
      </c>
      <c r="B42">
        <v>-1.8124999999999999E-2</v>
      </c>
      <c r="C42">
        <v>-1.9036999999999998E-2</v>
      </c>
      <c r="D42">
        <v>-8.0680000000000005E-3</v>
      </c>
      <c r="E42">
        <f>wrds_riskfree[[#This Row],[TMYTM]]/100 / 12</f>
        <v>5.7469988405384166E-4</v>
      </c>
      <c r="G42" s="2">
        <f>SUMPRODUCT(pivot_RET5[[#This Row],[MSFT]:[GOOG]], $J$2:$L$2)</f>
        <v>-1.8398600000000001E-2</v>
      </c>
    </row>
    <row r="43" spans="1:7" x14ac:dyDescent="0.25">
      <c r="A43" s="1">
        <v>44742</v>
      </c>
      <c r="B43">
        <v>-5.5321000000000002E-2</v>
      </c>
      <c r="C43">
        <v>-4.73E-4</v>
      </c>
      <c r="D43">
        <v>-4.0919999999999998E-2</v>
      </c>
      <c r="E43">
        <f>wrds_riskfree[[#This Row],[TMYTM]]/100 / 12</f>
        <v>9.3409584571616671E-4</v>
      </c>
      <c r="G43" s="2">
        <f>SUMPRODUCT(pivot_RET5[[#This Row],[MSFT]:[GOOG]], $J$2:$L$2)</f>
        <v>-3.8866600000000008E-2</v>
      </c>
    </row>
    <row r="44" spans="1:7" x14ac:dyDescent="0.25">
      <c r="A44" s="1">
        <v>44771</v>
      </c>
      <c r="B44">
        <v>9.3096999999999999E-2</v>
      </c>
      <c r="C44">
        <v>2.0029000000000002E-2</v>
      </c>
      <c r="D44">
        <v>6.6447000000000006E-2</v>
      </c>
      <c r="E44">
        <f>wrds_riskfree[[#This Row],[TMYTM]]/100 / 12</f>
        <v>1.8055911626338331E-3</v>
      </c>
      <c r="G44" s="2">
        <f>SUMPRODUCT(pivot_RET5[[#This Row],[MSFT]:[GOOG]], $J$2:$L$2)</f>
        <v>7.1176600000000007E-2</v>
      </c>
    </row>
    <row r="45" spans="1:7" x14ac:dyDescent="0.25">
      <c r="A45" s="1">
        <v>44804</v>
      </c>
      <c r="B45">
        <v>-6.6432000000000005E-2</v>
      </c>
      <c r="C45">
        <v>-3.8336000000000002E-2</v>
      </c>
      <c r="D45">
        <v>-6.4214999999999994E-2</v>
      </c>
      <c r="E45">
        <f>wrds_riskfree[[#This Row],[TMYTM]]/100 / 12</f>
        <v>1.9623358190475836E-3</v>
      </c>
      <c r="G45" s="2">
        <f>SUMPRODUCT(pivot_RET5[[#This Row],[MSFT]:[GOOG]], $J$2:$L$2)</f>
        <v>-5.8003200000000005E-2</v>
      </c>
    </row>
    <row r="46" spans="1:7" x14ac:dyDescent="0.25">
      <c r="A46" s="1">
        <v>44834</v>
      </c>
      <c r="B46">
        <v>-0.109267</v>
      </c>
      <c r="C46">
        <v>-8.5074999999999998E-2</v>
      </c>
      <c r="D46">
        <v>-0.119102</v>
      </c>
      <c r="E46">
        <f>wrds_riskfree[[#This Row],[TMYTM]]/100 / 12</f>
        <v>2.2712878718427498E-3</v>
      </c>
      <c r="G46" s="2">
        <f>SUMPRODUCT(pivot_RET5[[#This Row],[MSFT]:[GOOG]], $J$2:$L$2)</f>
        <v>-0.10200940000000001</v>
      </c>
    </row>
    <row r="47" spans="1:7" x14ac:dyDescent="0.25">
      <c r="A47" s="1">
        <v>44865</v>
      </c>
      <c r="B47">
        <v>-3.3059999999999999E-3</v>
      </c>
      <c r="C47">
        <v>6.8367999999999998E-2</v>
      </c>
      <c r="D47">
        <v>-1.5497E-2</v>
      </c>
      <c r="E47">
        <f>wrds_riskfree[[#This Row],[TMYTM]]/100 / 12</f>
        <v>2.8811356542910835E-3</v>
      </c>
      <c r="G47" s="2">
        <f>SUMPRODUCT(pivot_RET5[[#This Row],[MSFT]:[GOOG]], $J$2:$L$2)</f>
        <v>1.8196199999999999E-2</v>
      </c>
    </row>
    <row r="48" spans="1:7" x14ac:dyDescent="0.25">
      <c r="A48" s="1">
        <v>44895</v>
      </c>
      <c r="B48">
        <v>0.10205500000000001</v>
      </c>
      <c r="C48">
        <v>7.0175000000000001E-2</v>
      </c>
      <c r="D48">
        <v>7.1730000000000002E-2</v>
      </c>
      <c r="E48">
        <f>wrds_riskfree[[#This Row],[TMYTM]]/100 / 12</f>
        <v>3.3203032800051668E-3</v>
      </c>
      <c r="G48" s="2">
        <f>SUMPRODUCT(pivot_RET5[[#This Row],[MSFT]:[GOOG]], $J$2:$L$2)</f>
        <v>9.2491000000000018E-2</v>
      </c>
    </row>
    <row r="49" spans="1:7" x14ac:dyDescent="0.25">
      <c r="A49" s="1">
        <v>44925</v>
      </c>
      <c r="B49">
        <v>-6.0045000000000001E-2</v>
      </c>
      <c r="C49">
        <v>0</v>
      </c>
      <c r="D49">
        <v>-0.12538199999999999</v>
      </c>
      <c r="E49">
        <f>wrds_riskfree[[#This Row],[TMYTM]]/100 / 12</f>
        <v>3.326299436054917E-3</v>
      </c>
      <c r="G49" s="2">
        <f>SUMPRODUCT(pivot_RET5[[#This Row],[MSFT]:[GOOG]], $J$2:$L$2)</f>
        <v>-4.2031500000000006E-2</v>
      </c>
    </row>
    <row r="50" spans="1:7" x14ac:dyDescent="0.25">
      <c r="A50" s="1">
        <v>44957</v>
      </c>
      <c r="B50">
        <v>3.3316999999999999E-2</v>
      </c>
      <c r="C50">
        <v>-3.6000999999999998E-2</v>
      </c>
      <c r="D50">
        <v>0.12554899999999999</v>
      </c>
      <c r="E50">
        <f>wrds_riskfree[[#This Row],[TMYTM]]/100 / 12</f>
        <v>3.7371452171155836E-3</v>
      </c>
      <c r="G50" s="2">
        <f>SUMPRODUCT(pivot_RET5[[#This Row],[MSFT]:[GOOG]], $J$2:$L$2)</f>
        <v>1.2521600000000004E-2</v>
      </c>
    </row>
    <row r="51" spans="1:7" x14ac:dyDescent="0.25">
      <c r="A51" s="1">
        <v>44985</v>
      </c>
      <c r="B51">
        <v>9.2409999999999992E-3</v>
      </c>
      <c r="C51">
        <v>-2.9517000000000002E-2</v>
      </c>
      <c r="D51">
        <v>-9.5824999999999994E-2</v>
      </c>
      <c r="E51">
        <f>wrds_riskfree[[#This Row],[TMYTM]]/100 / 12</f>
        <v>3.6820249317449168E-3</v>
      </c>
      <c r="G51" s="2">
        <f>SUMPRODUCT(pivot_RET5[[#This Row],[MSFT]:[GOOG]], $J$2:$L$2)</f>
        <v>-2.3863999999999995E-3</v>
      </c>
    </row>
    <row r="52" spans="1:7" x14ac:dyDescent="0.25">
      <c r="A52" s="1">
        <v>45016</v>
      </c>
      <c r="B52">
        <v>0.15588199999999999</v>
      </c>
      <c r="C52">
        <v>5.0076000000000002E-2</v>
      </c>
      <c r="D52">
        <v>0.15171599999999999</v>
      </c>
      <c r="E52">
        <f>wrds_riskfree[[#This Row],[TMYTM]]/100 / 12</f>
        <v>3.8881788842497506E-3</v>
      </c>
      <c r="G52" s="2">
        <f>SUMPRODUCT(pivot_RET5[[#This Row],[MSFT]:[GOOG]], $J$2:$L$2)</f>
        <v>0.12414020000000001</v>
      </c>
    </row>
    <row r="53" spans="1:7" x14ac:dyDescent="0.25">
      <c r="A53" s="1">
        <v>45044</v>
      </c>
      <c r="B53">
        <v>6.5765000000000004E-2</v>
      </c>
      <c r="C53">
        <v>3.4176999999999999E-2</v>
      </c>
      <c r="D53">
        <v>4.0577000000000002E-2</v>
      </c>
      <c r="E53">
        <f>wrds_riskfree[[#This Row],[TMYTM]]/100 / 12</f>
        <v>3.4746881452196662E-3</v>
      </c>
      <c r="G53" s="2">
        <f>SUMPRODUCT(pivot_RET5[[#This Row],[MSFT]:[GOOG]], $J$2:$L$2)</f>
        <v>5.6288600000000008E-2</v>
      </c>
    </row>
    <row r="54" spans="1:7" x14ac:dyDescent="0.25">
      <c r="A54" s="1">
        <v>45077</v>
      </c>
      <c r="B54">
        <v>7.0982000000000003E-2</v>
      </c>
      <c r="C54">
        <v>-6.9991999999999999E-2</v>
      </c>
      <c r="D54">
        <v>0.13999300000000001</v>
      </c>
      <c r="E54">
        <f>wrds_riskfree[[#This Row],[TMYTM]]/100 / 12</f>
        <v>4.1287155540311671E-3</v>
      </c>
      <c r="G54" s="2">
        <f>SUMPRODUCT(pivot_RET5[[#This Row],[MSFT]:[GOOG]], $J$2:$L$2)</f>
        <v>2.8689800000000008E-2</v>
      </c>
    </row>
    <row r="55" spans="1:7" x14ac:dyDescent="0.25">
      <c r="A55" s="1">
        <v>45107</v>
      </c>
      <c r="B55">
        <v>3.6998999999999997E-2</v>
      </c>
      <c r="C55">
        <v>1.7097000000000001E-2</v>
      </c>
      <c r="D55">
        <v>-1.9453999999999999E-2</v>
      </c>
      <c r="E55">
        <f>wrds_riskfree[[#This Row],[TMYTM]]/100 / 12</f>
        <v>4.3018495762031667E-3</v>
      </c>
      <c r="G55" s="2">
        <f>SUMPRODUCT(pivot_RET5[[#This Row],[MSFT]:[GOOG]], $J$2:$L$2)</f>
        <v>3.1028400000000001E-2</v>
      </c>
    </row>
    <row r="56" spans="1:7" x14ac:dyDescent="0.25">
      <c r="A56" s="1">
        <v>45138</v>
      </c>
      <c r="B56">
        <v>-1.3566999999999999E-2</v>
      </c>
      <c r="C56">
        <v>2.8396000000000001E-2</v>
      </c>
      <c r="D56">
        <v>0.100355</v>
      </c>
      <c r="E56">
        <f>wrds_riskfree[[#This Row],[TMYTM]]/100 / 12</f>
        <v>4.4415771726095832E-3</v>
      </c>
      <c r="G56" s="2">
        <f>SUMPRODUCT(pivot_RET5[[#This Row],[MSFT]:[GOOG]], $J$2:$L$2)</f>
        <v>-9.7810000000000084E-4</v>
      </c>
    </row>
    <row r="57" spans="1:7" x14ac:dyDescent="0.25">
      <c r="A57" s="1">
        <v>45169</v>
      </c>
      <c r="B57">
        <v>-2.2266999999999999E-2</v>
      </c>
      <c r="C57">
        <v>-3.3909000000000002E-2</v>
      </c>
      <c r="D57">
        <v>3.1852999999999999E-2</v>
      </c>
      <c r="E57">
        <f>wrds_riskfree[[#This Row],[TMYTM]]/100 / 12</f>
        <v>4.4634518342988334E-3</v>
      </c>
      <c r="G57" s="2">
        <f>SUMPRODUCT(pivot_RET5[[#This Row],[MSFT]:[GOOG]], $J$2:$L$2)</f>
        <v>-2.5759600000000001E-2</v>
      </c>
    </row>
    <row r="58" spans="1:7" x14ac:dyDescent="0.25">
      <c r="A58" s="1">
        <v>45198</v>
      </c>
      <c r="B58">
        <v>-3.6643000000000002E-2</v>
      </c>
      <c r="C58">
        <v>-5.6661000000000003E-2</v>
      </c>
      <c r="D58">
        <v>-4.0044000000000003E-2</v>
      </c>
      <c r="E58">
        <f>wrds_riskfree[[#This Row],[TMYTM]]/100 / 12</f>
        <v>4.4716127231124994E-3</v>
      </c>
      <c r="G58" s="2">
        <f>SUMPRODUCT(pivot_RET5[[#This Row],[MSFT]:[GOOG]], $J$2:$L$2)</f>
        <v>-4.2648400000000003E-2</v>
      </c>
    </row>
    <row r="59" spans="1:7" x14ac:dyDescent="0.25">
      <c r="A59" s="1">
        <v>45230</v>
      </c>
      <c r="B59">
        <v>7.0815000000000003E-2</v>
      </c>
      <c r="C59">
        <v>9.11E-3</v>
      </c>
      <c r="D59">
        <v>-4.9678E-2</v>
      </c>
      <c r="E59">
        <f>wrds_riskfree[[#This Row],[TMYTM]]/100 / 12</f>
        <v>4.4751976559595829E-3</v>
      </c>
      <c r="G59" s="2">
        <f>SUMPRODUCT(pivot_RET5[[#This Row],[MSFT]:[GOOG]], $J$2:$L$2)</f>
        <v>5.2303500000000003E-2</v>
      </c>
    </row>
    <row r="60" spans="1:7" x14ac:dyDescent="0.25">
      <c r="A60" s="1">
        <v>45260</v>
      </c>
      <c r="B60">
        <v>0.122889</v>
      </c>
      <c r="C60">
        <v>4.2661999999999999E-2</v>
      </c>
      <c r="D60">
        <v>6.8794999999999995E-2</v>
      </c>
      <c r="E60">
        <f>wrds_riskfree[[#This Row],[TMYTM]]/100 / 12</f>
        <v>4.4549617851250825E-3</v>
      </c>
      <c r="G60" s="2">
        <f>SUMPRODUCT(pivot_RET5[[#This Row],[MSFT]:[GOOG]], $J$2:$L$2)</f>
        <v>9.8820900000000003E-2</v>
      </c>
    </row>
    <row r="61" spans="1:7" x14ac:dyDescent="0.25">
      <c r="A61" s="1">
        <v>45289</v>
      </c>
      <c r="B61">
        <v>-7.574E-3</v>
      </c>
      <c r="C61">
        <v>8.3850000000000001E-3</v>
      </c>
      <c r="D61">
        <v>5.2345000000000003E-2</v>
      </c>
      <c r="E61">
        <f>wrds_riskfree[[#This Row],[TMYTM]]/100 / 12</f>
        <v>4.4843461814780836E-3</v>
      </c>
      <c r="G61" s="2">
        <f>SUMPRODUCT(pivot_RET5[[#This Row],[MSFT]:[GOOG]], $J$2:$L$2)</f>
        <v>-2.7863000000000007E-3</v>
      </c>
    </row>
  </sheetData>
  <conditionalFormatting sqref="G2:G61">
    <cfRule type="cellIs" dxfId="0" priority="3" operator="lessThan">
      <formula>$J$4</formula>
    </cfRule>
  </conditionalFormatting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3B3305-01FC-4C0D-A7E3-D7A2B62CFB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wrds_riskfree</vt:lpstr>
      <vt:lpstr>pivot_RETX</vt:lpstr>
      <vt:lpstr>pivot_RET</vt:lpstr>
      <vt:lpstr>portfolio_RET</vt:lpstr>
      <vt:lpstr>portfolio_RET_30%</vt:lpstr>
      <vt:lpstr>portfolio_RET_30%(2)</vt:lpstr>
      <vt:lpstr>historical_VaR_ES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Choi</dc:creator>
  <cp:lastModifiedBy>Jai Choi</cp:lastModifiedBy>
  <dcterms:created xsi:type="dcterms:W3CDTF">2024-04-28T02:47:40Z</dcterms:created>
  <dcterms:modified xsi:type="dcterms:W3CDTF">2024-04-28T17:03:05Z</dcterms:modified>
</cp:coreProperties>
</file>