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fomax\Downloads\"/>
    </mc:Choice>
  </mc:AlternateContent>
  <bookViews>
    <workbookView xWindow="-105" yWindow="0" windowWidth="14610" windowHeight="15585" activeTab="1"/>
  </bookViews>
  <sheets>
    <sheet name="q1" sheetId="1" r:id="rId1"/>
    <sheet name="q2" sheetId="2" r:id="rId2"/>
    <sheet name="q3" sheetId="3" r:id="rId3"/>
    <sheet name="q4" sheetId="6" r:id="rId4"/>
    <sheet name="q5" sheetId="5" r:id="rId5"/>
  </sheets>
  <definedNames>
    <definedName name="_xlnm._FilterDatabase" localSheetId="3" hidden="1">'q4'!$A$10:$B$10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8" i="2"/>
  <c r="C17" i="2"/>
  <c r="D10" i="2" l="1"/>
  <c r="D11" i="2"/>
  <c r="D12" i="2"/>
  <c r="D9" i="2"/>
  <c r="E14" i="2" s="1"/>
  <c r="C4" i="2"/>
  <c r="H24" i="5" l="1"/>
  <c r="H23" i="5"/>
  <c r="H22" i="5"/>
  <c r="H21" i="5"/>
  <c r="H20" i="5"/>
  <c r="H17" i="5"/>
  <c r="H16" i="5"/>
  <c r="H15" i="5"/>
  <c r="H14" i="5"/>
  <c r="H13" i="5"/>
  <c r="H27" i="5"/>
  <c r="H28" i="5"/>
  <c r="H29" i="5"/>
  <c r="H30" i="5"/>
  <c r="H31" i="5"/>
  <c r="H34" i="5"/>
  <c r="H35" i="5"/>
  <c r="H36" i="5"/>
  <c r="H37" i="5"/>
  <c r="H38" i="5"/>
  <c r="H41" i="5"/>
  <c r="H42" i="5"/>
  <c r="H43" i="5"/>
  <c r="B14" i="5"/>
  <c r="D14" i="5" s="1"/>
  <c r="D13" i="5"/>
  <c r="I43" i="5" l="1"/>
  <c r="J43" i="5" s="1"/>
  <c r="K43" i="5" s="1"/>
  <c r="L43" i="5" s="1"/>
  <c r="I28" i="5"/>
  <c r="J28" i="5" s="1"/>
  <c r="K28" i="5" s="1"/>
  <c r="L28" i="5" s="1"/>
  <c r="I13" i="5"/>
  <c r="J13" i="5" s="1"/>
  <c r="K13" i="5" s="1"/>
  <c r="L13" i="5" s="1"/>
  <c r="I34" i="5"/>
  <c r="J34" i="5" s="1"/>
  <c r="K34" i="5" s="1"/>
  <c r="L34" i="5" s="1"/>
  <c r="I37" i="5"/>
  <c r="J37" i="5" s="1"/>
  <c r="K37" i="5" s="1"/>
  <c r="L37" i="5" s="1"/>
  <c r="I31" i="5"/>
  <c r="J31" i="5" s="1"/>
  <c r="K31" i="5" s="1"/>
  <c r="L31" i="5" s="1"/>
  <c r="I14" i="5"/>
  <c r="J14" i="5" s="1"/>
  <c r="K14" i="5" s="1"/>
  <c r="L14" i="5" s="1"/>
  <c r="I20" i="5"/>
  <c r="J20" i="5" s="1"/>
  <c r="K20" i="5" s="1"/>
  <c r="L20" i="5" s="1"/>
  <c r="I24" i="5"/>
  <c r="J24" i="5" s="1"/>
  <c r="K24" i="5" s="1"/>
  <c r="L24" i="5" s="1"/>
  <c r="I42" i="5"/>
  <c r="J42" i="5" s="1"/>
  <c r="K42" i="5" s="1"/>
  <c r="L42" i="5" s="1"/>
  <c r="I36" i="5"/>
  <c r="J36" i="5" s="1"/>
  <c r="K36" i="5" s="1"/>
  <c r="L36" i="5" s="1"/>
  <c r="I30" i="5"/>
  <c r="J30" i="5" s="1"/>
  <c r="K30" i="5" s="1"/>
  <c r="L30" i="5" s="1"/>
  <c r="I15" i="5"/>
  <c r="J15" i="5" s="1"/>
  <c r="K15" i="5" s="1"/>
  <c r="L15" i="5" s="1"/>
  <c r="I21" i="5"/>
  <c r="J21" i="5" s="1"/>
  <c r="K21" i="5" s="1"/>
  <c r="L21" i="5" s="1"/>
  <c r="I27" i="5"/>
  <c r="J27" i="5" s="1"/>
  <c r="K27" i="5" s="1"/>
  <c r="L27" i="5" s="1"/>
  <c r="I38" i="5"/>
  <c r="J38" i="5" s="1"/>
  <c r="K38" i="5" s="1"/>
  <c r="L38" i="5" s="1"/>
  <c r="I17" i="5"/>
  <c r="J17" i="5" s="1"/>
  <c r="K17" i="5" s="1"/>
  <c r="L17" i="5" s="1"/>
  <c r="I23" i="5"/>
  <c r="J23" i="5" s="1"/>
  <c r="K23" i="5" s="1"/>
  <c r="L23" i="5" s="1"/>
  <c r="I41" i="5"/>
  <c r="J41" i="5" s="1"/>
  <c r="K41" i="5" s="1"/>
  <c r="L41" i="5" s="1"/>
  <c r="I35" i="5"/>
  <c r="J35" i="5" s="1"/>
  <c r="K35" i="5" s="1"/>
  <c r="L35" i="5" s="1"/>
  <c r="I29" i="5"/>
  <c r="J29" i="5" s="1"/>
  <c r="K29" i="5" s="1"/>
  <c r="L29" i="5" s="1"/>
  <c r="I16" i="5"/>
  <c r="J16" i="5" s="1"/>
  <c r="K16" i="5" s="1"/>
  <c r="L16" i="5" s="1"/>
  <c r="I22" i="5"/>
  <c r="J22" i="5" s="1"/>
  <c r="K22" i="5" s="1"/>
  <c r="L22" i="5" s="1"/>
  <c r="C14" i="5"/>
  <c r="B15" i="5" s="1"/>
  <c r="C15" i="5" l="1"/>
  <c r="B16" i="5" s="1"/>
  <c r="D15" i="5"/>
  <c r="D16" i="5" l="1"/>
  <c r="C16" i="5"/>
  <c r="B17" i="5" s="1"/>
  <c r="D17" i="5" l="1"/>
  <c r="C17" i="5"/>
  <c r="B18" i="5" s="1"/>
  <c r="D18" i="5" l="1"/>
  <c r="C18" i="5"/>
  <c r="B19" i="5" s="1"/>
  <c r="C19" i="5" l="1"/>
  <c r="B20" i="5" s="1"/>
  <c r="D19" i="5"/>
  <c r="D20" i="5" l="1"/>
  <c r="C20" i="5"/>
  <c r="B21" i="5" s="1"/>
  <c r="C21" i="5" l="1"/>
  <c r="B22" i="5" s="1"/>
  <c r="D21" i="5"/>
  <c r="D22" i="5" l="1"/>
  <c r="C22" i="5"/>
  <c r="B23" i="5" s="1"/>
  <c r="C23" i="5" l="1"/>
  <c r="B24" i="5" s="1"/>
  <c r="D23" i="5"/>
  <c r="D24" i="5" l="1"/>
  <c r="C24" i="5"/>
  <c r="B25" i="5" s="1"/>
  <c r="D25" i="5" l="1"/>
  <c r="C25" i="5"/>
  <c r="B26" i="5" s="1"/>
  <c r="D26" i="5" l="1"/>
  <c r="C26" i="5"/>
  <c r="B27" i="5" s="1"/>
  <c r="C27" i="5" l="1"/>
  <c r="B28" i="5" s="1"/>
  <c r="D27" i="5"/>
  <c r="D28" i="5" l="1"/>
  <c r="C28" i="5"/>
  <c r="B29" i="5" s="1"/>
  <c r="C29" i="5" l="1"/>
  <c r="B30" i="5" s="1"/>
  <c r="D29" i="5"/>
  <c r="D30" i="5" l="1"/>
  <c r="C30" i="5"/>
  <c r="B31" i="5" s="1"/>
  <c r="C31" i="5" l="1"/>
  <c r="B32" i="5" s="1"/>
  <c r="D31" i="5"/>
  <c r="D32" i="5" l="1"/>
  <c r="C32" i="5"/>
  <c r="B33" i="5" s="1"/>
  <c r="C33" i="5" l="1"/>
  <c r="B34" i="5" s="1"/>
  <c r="D33" i="5"/>
  <c r="D34" i="5" l="1"/>
  <c r="C34" i="5"/>
  <c r="B35" i="5" s="1"/>
  <c r="C35" i="5" l="1"/>
  <c r="B36" i="5" s="1"/>
  <c r="D35" i="5"/>
  <c r="D36" i="5" l="1"/>
  <c r="C36" i="5"/>
  <c r="B37" i="5" s="1"/>
  <c r="C37" i="5" l="1"/>
  <c r="B38" i="5" s="1"/>
  <c r="D37" i="5"/>
  <c r="D38" i="5" l="1"/>
  <c r="C38" i="5"/>
  <c r="B39" i="5" s="1"/>
  <c r="C39" i="5" l="1"/>
  <c r="B40" i="5" s="1"/>
  <c r="D39" i="5"/>
  <c r="D40" i="5" l="1"/>
  <c r="C40" i="5"/>
  <c r="B41" i="5" s="1"/>
  <c r="C41" i="5" l="1"/>
  <c r="B42" i="5" s="1"/>
  <c r="D41" i="5"/>
  <c r="D42" i="5" l="1"/>
  <c r="C42" i="5"/>
  <c r="B43" i="5" s="1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I28" i="6"/>
  <c r="C29" i="6"/>
  <c r="E29" i="6"/>
  <c r="C30" i="6"/>
  <c r="E30" i="6"/>
  <c r="B31" i="6"/>
  <c r="D43" i="5" l="1"/>
  <c r="C43" i="5"/>
  <c r="D19" i="6"/>
  <c r="D28" i="6"/>
  <c r="D26" i="6"/>
  <c r="D21" i="6"/>
  <c r="D23" i="6"/>
  <c r="D12" i="6"/>
  <c r="D30" i="6"/>
  <c r="D24" i="6"/>
  <c r="D13" i="6"/>
  <c r="D20" i="6"/>
  <c r="E31" i="6"/>
  <c r="I27" i="6" s="1"/>
  <c r="D17" i="6"/>
  <c r="D16" i="6"/>
  <c r="D15" i="6"/>
  <c r="D18" i="6"/>
  <c r="D14" i="6"/>
  <c r="D11" i="6"/>
  <c r="D25" i="6"/>
  <c r="D22" i="6"/>
  <c r="D29" i="6"/>
  <c r="D27" i="6"/>
  <c r="C21" i="3" l="1"/>
  <c r="C23" i="3" s="1"/>
  <c r="D25" i="2"/>
  <c r="B24" i="2" s="1"/>
  <c r="D24" i="2"/>
  <c r="B4" i="1"/>
  <c r="B5" i="1" s="1"/>
  <c r="B6" i="1" s="1"/>
  <c r="B7" i="1" l="1"/>
</calcChain>
</file>

<file path=xl/comments1.xml><?xml version="1.0" encoding="utf-8"?>
<comments xmlns="http://schemas.openxmlformats.org/spreadsheetml/2006/main">
  <authors>
    <author>tc={597EE90D-CBE4-4893-B377-B48EEBA325AF}</author>
  </authors>
  <commentList>
    <comment ref="F27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가까운 영업일이 다음 날인 2019-10-15이라서 2% 적용</t>
        </r>
      </text>
    </comment>
  </commentList>
</comments>
</file>

<file path=xl/sharedStrings.xml><?xml version="1.0" encoding="utf-8"?>
<sst xmlns="http://schemas.openxmlformats.org/spreadsheetml/2006/main" count="63" uniqueCount="61">
  <si>
    <t>96.8=100*d(1)</t>
    <phoneticPr fontId="1" type="noConversion"/>
  </si>
  <si>
    <t>계산 과정</t>
    <phoneticPr fontId="1" type="noConversion"/>
  </si>
  <si>
    <t>99.56=2.875*d(0.5)+102.875*d(1)</t>
    <phoneticPr fontId="1" type="noConversion"/>
  </si>
  <si>
    <t>100.86=3.75*d(0.5)+3.75*d(1)+103.75*d(1.5)</t>
    <phoneticPr fontId="1" type="noConversion"/>
  </si>
  <si>
    <t>101.22=3.75*d(0.5)+3.75*d(1)+3.75*d(1.5)+103.75*d(2)</t>
    <phoneticPr fontId="1" type="noConversion"/>
  </si>
  <si>
    <t>c</t>
    <phoneticPr fontId="1" type="noConversion"/>
  </si>
  <si>
    <t>* fixed pay 채권에다가 spread들의 현재가치와 같다고 놓을 수 있다. 따라서, 100+sum of PV(spreads_t)으로 계산하면 된다. 문제에서, spread도 연 단위로 표현되어 있으므로 2로 나누어주어 반기 단위로 표현해주어야 한다.</t>
    <phoneticPr fontId="1" type="noConversion"/>
  </si>
  <si>
    <t>반기당 지급하는 현금 흐름</t>
    <phoneticPr fontId="1" type="noConversion"/>
  </si>
  <si>
    <t>spread들의 현재가치 합</t>
    <phoneticPr fontId="1" type="noConversion"/>
  </si>
  <si>
    <t>97.3492=1*exp(-0.25*x)+1*exp(-0.5*x)+1*exp(-0.75*x)+101*exp(-1*x)</t>
    <phoneticPr fontId="1" type="noConversion"/>
  </si>
  <si>
    <t>97.3492=exp(-(0.25+0.5+0.75+1)*x)+101*exp(-1*x)</t>
    <phoneticPr fontId="1" type="noConversion"/>
  </si>
  <si>
    <t>97.3492=exp(-2.5*x)+101*exp(-x)</t>
    <phoneticPr fontId="1" type="noConversion"/>
  </si>
  <si>
    <t>difference</t>
    <phoneticPr fontId="1" type="noConversion"/>
  </si>
  <si>
    <t>채권의 현재가치</t>
    <phoneticPr fontId="1" type="noConversion"/>
  </si>
  <si>
    <t>만기수익률을 구할 수식</t>
    <phoneticPr fontId="1" type="noConversion"/>
  </si>
  <si>
    <t>만기수익률(X)</t>
    <phoneticPr fontId="1" type="noConversion"/>
  </si>
  <si>
    <t>&lt;목표값 찾기&gt;</t>
    <phoneticPr fontId="1" type="noConversion"/>
  </si>
  <si>
    <t>풀이)
 만기수익률을 구하는 방법은 모든 각 현금흐름에 적용되는 할인율이 같은 것을 의미한다. 따라서, spot으로 현재 가치를 구한 다음, 동일하게 적용되는 금리를 역으로 환산하면 된다.
 spot 으로 구한 현재 가치는 97.3492이다. 97.3492를 만들어주는 동일 할인율을 역산하면 그 과정은 아래와 같다. X를 찾기 위해 목표값 찾기를 이용하였다. 목표값 찾기를 이용하니 만기수익률은 4.60%가 도출되었다.</t>
    <phoneticPr fontId="1" type="noConversion"/>
  </si>
  <si>
    <t>계</t>
    <phoneticPr fontId="1" type="noConversion"/>
  </si>
  <si>
    <t>volume weighted median</t>
    <phoneticPr fontId="1" type="noConversion"/>
  </si>
  <si>
    <t>volume weighted mean</t>
    <phoneticPr fontId="1" type="noConversion"/>
  </si>
  <si>
    <t>rate*volume</t>
    <phoneticPr fontId="1" type="noConversion"/>
  </si>
  <si>
    <t>누적 비중</t>
    <phoneticPr fontId="1" type="noConversion"/>
  </si>
  <si>
    <t>누적 거래량</t>
    <phoneticPr fontId="1" type="noConversion"/>
  </si>
  <si>
    <t>billions</t>
    <phoneticPr fontId="1" type="noConversion"/>
  </si>
  <si>
    <t>rate(%)</t>
    <phoneticPr fontId="1" type="noConversion"/>
  </si>
  <si>
    <t>-</t>
    <phoneticPr fontId="1" type="noConversion"/>
  </si>
  <si>
    <t>notional</t>
    <phoneticPr fontId="1" type="noConversion"/>
  </si>
  <si>
    <t>mon(1), …, sun(7)</t>
    <phoneticPr fontId="1" type="noConversion"/>
  </si>
  <si>
    <t>holiday</t>
    <phoneticPr fontId="1" type="noConversion"/>
  </si>
  <si>
    <t>sofr</t>
    <phoneticPr fontId="1" type="noConversion"/>
  </si>
  <si>
    <t>columbus day</t>
    <phoneticPr fontId="1" type="noConversion"/>
  </si>
  <si>
    <t>시작일</t>
    <phoneticPr fontId="1" type="noConversion"/>
  </si>
  <si>
    <t>끝일</t>
    <phoneticPr fontId="1" type="noConversion"/>
  </si>
  <si>
    <t xml:space="preserve">calender day 수 </t>
    <phoneticPr fontId="1" type="noConversion"/>
  </si>
  <si>
    <t>index</t>
    <phoneticPr fontId="1" type="noConversion"/>
  </si>
  <si>
    <t>index-1</t>
    <phoneticPr fontId="1" type="noConversion"/>
  </si>
  <si>
    <t>연환산</t>
    <phoneticPr fontId="1" type="noConversion"/>
  </si>
  <si>
    <t>누적 이자</t>
    <phoneticPr fontId="1" type="noConversion"/>
  </si>
  <si>
    <t>YTM 계산</t>
    <phoneticPr fontId="1" type="noConversion"/>
  </si>
  <si>
    <t>듀레이션 계산</t>
    <phoneticPr fontId="1" type="noConversion"/>
  </si>
  <si>
    <t>d(t) 값</t>
    <phoneticPr fontId="1" type="noConversion"/>
  </si>
  <si>
    <t>t</t>
    <phoneticPr fontId="1" type="noConversion"/>
  </si>
  <si>
    <t>Q1</t>
    <phoneticPr fontId="1" type="noConversion"/>
  </si>
  <si>
    <t>Q2</t>
    <phoneticPr fontId="1" type="noConversion"/>
  </si>
  <si>
    <t>(a)</t>
    <phoneticPr fontId="1" type="noConversion"/>
  </si>
  <si>
    <t>F =</t>
    <phoneticPr fontId="1" type="noConversion"/>
  </si>
  <si>
    <t>3-year-zcb = F * d(3) =</t>
    <phoneticPr fontId="1" type="noConversion"/>
  </si>
  <si>
    <t>만기</t>
    <phoneticPr fontId="1" type="noConversion"/>
  </si>
  <si>
    <t>yield</t>
    <phoneticPr fontId="1" type="noConversion"/>
  </si>
  <si>
    <t>(b)</t>
    <phoneticPr fontId="1" type="noConversion"/>
  </si>
  <si>
    <t>coupon per quarter = 4% / 4 * F = 1</t>
    <phoneticPr fontId="1" type="noConversion"/>
  </si>
  <si>
    <t>payment dates : 0.25, 0.5, 0.75, 1.0</t>
    <phoneticPr fontId="1" type="noConversion"/>
  </si>
  <si>
    <t>P =</t>
    <phoneticPr fontId="1" type="noConversion"/>
  </si>
  <si>
    <t>maturity</t>
    <phoneticPr fontId="1" type="noConversion"/>
  </si>
  <si>
    <t>e^(-m*yld)</t>
    <phoneticPr fontId="1" type="noConversion"/>
  </si>
  <si>
    <t>(c )</t>
    <phoneticPr fontId="1" type="noConversion"/>
  </si>
  <si>
    <t xml:space="preserve">s = </t>
    <phoneticPr fontId="1" type="noConversion"/>
  </si>
  <si>
    <t>accrual</t>
    <phoneticPr fontId="1" type="noConversion"/>
  </si>
  <si>
    <t>PV</t>
    <phoneticPr fontId="1" type="noConversion"/>
  </si>
  <si>
    <t>answer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</si>
</sst>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#,##0.0000_ "/>
    <numFmt numFmtId="177" formatCode="0.0000_ "/>
    <numFmt numFmtId="178" formatCode="0.000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3" fontId="0" fillId="0" borderId="0" xfId="0" applyNumberFormat="1">
      <alignment vertical="center"/>
    </xf>
    <xf numFmtId="43" fontId="0" fillId="2" borderId="0" xfId="0" applyNumberFormat="1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5" fillId="0" borderId="25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'q4'!$D$10</c:f>
              <c:strCache>
                <c:ptCount val="1"/>
                <c:pt idx="0">
                  <c:v>누적 비중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'q4'!$A$11:$A$30</c:f>
              <c:numCache>
                <c:formatCode>General</c:formatCode>
                <c:ptCount val="20"/>
                <c:pt idx="0">
                  <c:v>4.3</c:v>
                </c:pt>
                <c:pt idx="1">
                  <c:v>4.3099999999999996</c:v>
                </c:pt>
                <c:pt idx="2">
                  <c:v>4.32</c:v>
                </c:pt>
                <c:pt idx="3">
                  <c:v>4.33</c:v>
                </c:pt>
                <c:pt idx="4">
                  <c:v>4.34</c:v>
                </c:pt>
                <c:pt idx="5">
                  <c:v>4.3499999999999996</c:v>
                </c:pt>
                <c:pt idx="6">
                  <c:v>4.3600000000000003</c:v>
                </c:pt>
                <c:pt idx="7">
                  <c:v>4.37</c:v>
                </c:pt>
                <c:pt idx="8">
                  <c:v>4.38</c:v>
                </c:pt>
                <c:pt idx="9">
                  <c:v>4.3900000000000103</c:v>
                </c:pt>
                <c:pt idx="10">
                  <c:v>4.4000000000000101</c:v>
                </c:pt>
                <c:pt idx="11">
                  <c:v>4.4100000000000099</c:v>
                </c:pt>
                <c:pt idx="12">
                  <c:v>4.4200000000000097</c:v>
                </c:pt>
                <c:pt idx="13">
                  <c:v>4.4300000000000104</c:v>
                </c:pt>
                <c:pt idx="14">
                  <c:v>4.4400000000000102</c:v>
                </c:pt>
                <c:pt idx="15">
                  <c:v>4.4500000000000099</c:v>
                </c:pt>
                <c:pt idx="16">
                  <c:v>4.4600000000000097</c:v>
                </c:pt>
                <c:pt idx="17">
                  <c:v>4.4700000000000104</c:v>
                </c:pt>
                <c:pt idx="18">
                  <c:v>4.4800000000000102</c:v>
                </c:pt>
                <c:pt idx="19">
                  <c:v>4.49</c:v>
                </c:pt>
              </c:numCache>
            </c:numRef>
          </c:xVal>
          <c:yVal>
            <c:numRef>
              <c:f>'q4'!$D$11:$D$30</c:f>
              <c:numCache>
                <c:formatCode>General</c:formatCode>
                <c:ptCount val="20"/>
                <c:pt idx="0">
                  <c:v>0.40124659135177249</c:v>
                </c:pt>
                <c:pt idx="1">
                  <c:v>1.4998052201012853</c:v>
                </c:pt>
                <c:pt idx="2">
                  <c:v>5.2006232956758849</c:v>
                </c:pt>
                <c:pt idx="3">
                  <c:v>11.901051811453057</c:v>
                </c:pt>
                <c:pt idx="4">
                  <c:v>19.801324503311253</c:v>
                </c:pt>
                <c:pt idx="5">
                  <c:v>29.902610050642771</c:v>
                </c:pt>
                <c:pt idx="6">
                  <c:v>42.30229840280483</c:v>
                </c:pt>
                <c:pt idx="7">
                  <c:v>50.003895597974292</c:v>
                </c:pt>
                <c:pt idx="8">
                  <c:v>63.502142578885859</c:v>
                </c:pt>
                <c:pt idx="9">
                  <c:v>71.503700818075572</c:v>
                </c:pt>
                <c:pt idx="10">
                  <c:v>75.901830931047925</c:v>
                </c:pt>
                <c:pt idx="11">
                  <c:v>80.701207635372029</c:v>
                </c:pt>
                <c:pt idx="12">
                  <c:v>84.701986754966882</c:v>
                </c:pt>
                <c:pt idx="13">
                  <c:v>88.30151928320997</c:v>
                </c:pt>
                <c:pt idx="14">
                  <c:v>91.901051811453058</c:v>
                </c:pt>
                <c:pt idx="15">
                  <c:v>95.099337748344354</c:v>
                </c:pt>
                <c:pt idx="16">
                  <c:v>97.499026100506413</c:v>
                </c:pt>
                <c:pt idx="17">
                  <c:v>99.400077911959485</c:v>
                </c:pt>
                <c:pt idx="18">
                  <c:v>99.801324503311264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2-4149-9AD9-BA1B8093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00496"/>
        <c:axId val="1692698096"/>
      </c:scatterChart>
      <c:valAx>
        <c:axId val="16927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2698096"/>
        <c:crosses val="autoZero"/>
        <c:crossBetween val="midCat"/>
      </c:valAx>
      <c:valAx>
        <c:axId val="16926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27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5996940</xdr:colOff>
      <xdr:row>7</xdr:row>
      <xdr:rowOff>2794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DE3DF4E-233D-7CF9-A252-693A548A7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5040" cy="154965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0</xdr:rowOff>
    </xdr:from>
    <xdr:to>
      <xdr:col>7</xdr:col>
      <xdr:colOff>285750</xdr:colOff>
      <xdr:row>11</xdr:row>
      <xdr:rowOff>96513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16F632F-A02B-4440-A5A7-92536A10E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0"/>
          <a:ext cx="5334000" cy="2506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13</xdr:col>
      <xdr:colOff>548640</xdr:colOff>
      <xdr:row>22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2087E8-E3FC-4F26-9756-1CBB02F1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398926</xdr:colOff>
      <xdr:row>7</xdr:row>
      <xdr:rowOff>93488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BF9EAEF-B4C7-4199-B30E-40FE5E599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007621" cy="16308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613281</xdr:colOff>
      <xdr:row>8</xdr:row>
      <xdr:rowOff>19203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299625E-F912-8CF4-0388-0CB45FAA3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55207" cy="177180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7</xdr:row>
      <xdr:rowOff>161925</xdr:rowOff>
    </xdr:from>
    <xdr:to>
      <xdr:col>3</xdr:col>
      <xdr:colOff>63081</xdr:colOff>
      <xdr:row>9</xdr:row>
      <xdr:rowOff>116239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2DA416-F285-BCFD-3BBC-39AC1D65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1695450"/>
          <a:ext cx="2491956" cy="392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김윤수" id="{757D7BC4-928A-4E31-9907-C8DC90DD316C}" userId="S::rladbstn6@office.kaist.ac.kr::70e14934-1274-4de5-9995-75e10d8d38e1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7" dT="2025-05-08T12:10:24.60" personId="{757D7BC4-928A-4E31-9907-C8DC90DD316C}" id="{597EE90D-CBE4-4893-B377-B48EEBA325AF}">
    <text>가까운 영업일이 다음 날인 2019-10-15이라서 2% 적용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B11" sqref="B11"/>
    </sheetView>
  </sheetViews>
  <sheetFormatPr defaultRowHeight="16.5"/>
  <cols>
    <col min="1" max="1" width="13.875" bestFit="1" customWidth="1"/>
    <col min="2" max="2" width="12.75" bestFit="1" customWidth="1"/>
    <col min="3" max="3" width="49.75" bestFit="1" customWidth="1"/>
  </cols>
  <sheetData>
    <row r="1" spans="1:3">
      <c r="A1" t="s">
        <v>43</v>
      </c>
    </row>
    <row r="2" spans="1:3" ht="17.25" thickBot="1"/>
    <row r="3" spans="1:3">
      <c r="A3" s="5" t="s">
        <v>42</v>
      </c>
      <c r="B3" s="6" t="s">
        <v>41</v>
      </c>
      <c r="C3" s="7" t="s">
        <v>1</v>
      </c>
    </row>
    <row r="4" spans="1:3">
      <c r="A4" s="8">
        <v>0.5</v>
      </c>
      <c r="B4" s="43">
        <f>96.8/100</f>
        <v>0.96799999999999997</v>
      </c>
      <c r="C4" s="12" t="s">
        <v>0</v>
      </c>
    </row>
    <row r="5" spans="1:3">
      <c r="A5" s="8">
        <v>1</v>
      </c>
      <c r="B5" s="43">
        <f>(99.56-2.875*B4)/102.875</f>
        <v>0.94072417982989065</v>
      </c>
      <c r="C5" s="12" t="s">
        <v>2</v>
      </c>
    </row>
    <row r="6" spans="1:3">
      <c r="A6" s="8">
        <v>1.5</v>
      </c>
      <c r="B6" s="43">
        <f>(100.86-(3.75*B4+3.75*B5))/103.75</f>
        <v>0.90315454771699188</v>
      </c>
      <c r="C6" s="12" t="s">
        <v>3</v>
      </c>
    </row>
    <row r="7" spans="1:3" ht="17.25" thickBot="1">
      <c r="A7" s="11">
        <v>2</v>
      </c>
      <c r="B7" s="44">
        <f>(101.22-(3.75*B4+3.75*B5+3.75*B6))/103.75</f>
        <v>0.87398028695613683</v>
      </c>
      <c r="C7" s="13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30" zoomScaleNormal="130" workbookViewId="0">
      <selection activeCell="B21" sqref="B21"/>
    </sheetView>
  </sheetViews>
  <sheetFormatPr defaultRowHeight="16.5"/>
  <cols>
    <col min="3" max="3" width="25.5" bestFit="1" customWidth="1"/>
    <col min="5" max="5" width="50.25" customWidth="1"/>
  </cols>
  <sheetData>
    <row r="1" spans="1:9">
      <c r="A1" t="s">
        <v>44</v>
      </c>
      <c r="F1" s="46" t="s">
        <v>48</v>
      </c>
      <c r="G1" s="46" t="s">
        <v>49</v>
      </c>
      <c r="I1" s="47">
        <v>0.01</v>
      </c>
    </row>
    <row r="2" spans="1:9">
      <c r="B2" t="s">
        <v>46</v>
      </c>
      <c r="C2">
        <v>100</v>
      </c>
      <c r="F2" s="45">
        <v>0.25</v>
      </c>
      <c r="G2" s="48">
        <v>6.3299999999999995E-2</v>
      </c>
    </row>
    <row r="3" spans="1:9">
      <c r="A3" t="s">
        <v>45</v>
      </c>
      <c r="B3" t="s">
        <v>47</v>
      </c>
      <c r="F3" s="45">
        <v>0.5</v>
      </c>
      <c r="G3" s="48">
        <v>6.4899999999999999E-2</v>
      </c>
    </row>
    <row r="4" spans="1:9">
      <c r="C4">
        <f>C2*EXP(-G13 * 3)</f>
        <v>81.472878521642798</v>
      </c>
      <c r="F4" s="45">
        <v>0.75</v>
      </c>
      <c r="G4" s="48">
        <v>6.6200000000000009E-2</v>
      </c>
    </row>
    <row r="5" spans="1:9">
      <c r="F5" s="45">
        <v>1</v>
      </c>
      <c r="G5" s="48">
        <v>6.7100000000000007E-2</v>
      </c>
    </row>
    <row r="6" spans="1:9">
      <c r="A6" t="s">
        <v>50</v>
      </c>
      <c r="B6" t="s">
        <v>51</v>
      </c>
      <c r="F6" s="45">
        <v>1.25</v>
      </c>
      <c r="G6" s="48">
        <v>6.7900000000000002E-2</v>
      </c>
      <c r="H6" s="46"/>
    </row>
    <row r="7" spans="1:9">
      <c r="B7" t="s">
        <v>52</v>
      </c>
      <c r="F7" s="45">
        <v>1.5</v>
      </c>
      <c r="G7" s="48">
        <v>6.8400000000000002E-2</v>
      </c>
      <c r="H7" s="45"/>
    </row>
    <row r="8" spans="1:9">
      <c r="B8" t="s">
        <v>54</v>
      </c>
      <c r="C8" t="s">
        <v>49</v>
      </c>
      <c r="D8" t="s">
        <v>55</v>
      </c>
      <c r="F8" s="45">
        <v>1.75</v>
      </c>
      <c r="G8" s="48">
        <v>6.8699999999999997E-2</v>
      </c>
      <c r="H8" s="45"/>
    </row>
    <row r="9" spans="1:9">
      <c r="B9" s="45">
        <v>0.25</v>
      </c>
      <c r="C9" s="48">
        <v>6.3299999999999995E-2</v>
      </c>
      <c r="D9">
        <f>EXP(- B9*C9)</f>
        <v>0.98429955740662345</v>
      </c>
      <c r="F9" s="45">
        <v>2</v>
      </c>
      <c r="G9" s="48">
        <v>6.88E-2</v>
      </c>
      <c r="H9" s="45"/>
    </row>
    <row r="10" spans="1:9">
      <c r="B10" s="45">
        <v>0.5</v>
      </c>
      <c r="C10" s="48">
        <v>6.4899999999999999E-2</v>
      </c>
      <c r="D10">
        <f t="shared" ref="D10:D12" si="0">EXP(- B10*C10)</f>
        <v>0.96807085216384581</v>
      </c>
      <c r="F10" s="45">
        <v>2.25</v>
      </c>
      <c r="G10" s="48">
        <v>6.8900000000000003E-2</v>
      </c>
      <c r="H10" s="45"/>
    </row>
    <row r="11" spans="1:9">
      <c r="B11" s="45">
        <v>0.75</v>
      </c>
      <c r="C11" s="48">
        <v>6.6200000000000009E-2</v>
      </c>
      <c r="D11">
        <f t="shared" si="0"/>
        <v>0.95156241306888945</v>
      </c>
      <c r="F11" s="45">
        <v>2.5</v>
      </c>
      <c r="G11" s="48">
        <v>6.88E-2</v>
      </c>
      <c r="H11" s="45"/>
    </row>
    <row r="12" spans="1:9">
      <c r="B12" s="45">
        <v>1</v>
      </c>
      <c r="C12" s="48">
        <v>6.7100000000000007E-2</v>
      </c>
      <c r="D12">
        <f t="shared" si="0"/>
        <v>0.93510168649246306</v>
      </c>
      <c r="F12" s="45">
        <v>2.75</v>
      </c>
      <c r="G12" s="48">
        <v>6.8600000000000008E-2</v>
      </c>
      <c r="H12" s="45"/>
    </row>
    <row r="13" spans="1:9">
      <c r="F13" s="45">
        <v>3</v>
      </c>
      <c r="G13" s="48">
        <v>6.83E-2</v>
      </c>
    </row>
    <row r="14" spans="1:9">
      <c r="D14" t="s">
        <v>53</v>
      </c>
      <c r="E14" s="57">
        <f>1*SUM(D9:D12)+C2*D12</f>
        <v>97.349203158378131</v>
      </c>
    </row>
    <row r="16" spans="1:9">
      <c r="A16" t="s">
        <v>56</v>
      </c>
      <c r="B16" t="s">
        <v>57</v>
      </c>
      <c r="C16">
        <v>3.5000000000000001E-3</v>
      </c>
    </row>
    <row r="17" spans="1:5">
      <c r="B17" t="s">
        <v>58</v>
      </c>
      <c r="C17" s="58">
        <f>0.0035/2*100</f>
        <v>0.17500000000000002</v>
      </c>
    </row>
    <row r="18" spans="1:5">
      <c r="B18" t="s">
        <v>59</v>
      </c>
      <c r="C18" s="58">
        <f>0.175*(EXP(-0.5*0.0649)+EXP(-1*0.0671)+EXP(-1.5*0.0684)+EXP(-2*0.0688)+EXP(-2.5*0.0688)+EXP(-3*0.0683))</f>
        <v>0.93341772902203213</v>
      </c>
    </row>
    <row r="20" spans="1:5">
      <c r="B20" t="s">
        <v>60</v>
      </c>
      <c r="C20">
        <f>C2+C18</f>
        <v>100.93341772902203</v>
      </c>
    </row>
    <row r="24" spans="1:5" ht="35.450000000000003" customHeight="1">
      <c r="A24" s="49" t="s">
        <v>5</v>
      </c>
      <c r="B24" s="49">
        <f>100+D25</f>
        <v>100.93341772902203</v>
      </c>
      <c r="C24" s="16" t="s">
        <v>7</v>
      </c>
      <c r="D24" s="9">
        <f>0.0035/2*100</f>
        <v>0.17500000000000002</v>
      </c>
      <c r="E24" s="50" t="s">
        <v>6</v>
      </c>
    </row>
    <row r="25" spans="1:5" ht="35.450000000000003" customHeight="1">
      <c r="A25" s="49"/>
      <c r="B25" s="49"/>
      <c r="C25" s="16" t="s">
        <v>8</v>
      </c>
      <c r="D25" s="9">
        <f>0.175*(EXP(-0.5*0.0649)+EXP(-1*0.0671)+EXP(-1.5*0.0684)+EXP(-2*0.0688)+EXP(-2.5*0.0688)+EXP(-3*0.0683))</f>
        <v>0.93341772902203213</v>
      </c>
      <c r="E25" s="51"/>
    </row>
  </sheetData>
  <mergeCells count="3">
    <mergeCell ref="B24:B25"/>
    <mergeCell ref="A24:A25"/>
    <mergeCell ref="E24:E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C24"/>
  <sheetViews>
    <sheetView topLeftCell="A4" zoomScale="115" zoomScaleNormal="115" workbookViewId="0">
      <selection activeCell="B16" sqref="B16"/>
    </sheetView>
  </sheetViews>
  <sheetFormatPr defaultRowHeight="16.5"/>
  <cols>
    <col min="1" max="1" width="84.125" bestFit="1" customWidth="1"/>
    <col min="2" max="2" width="22.75" bestFit="1" customWidth="1"/>
  </cols>
  <sheetData>
    <row r="12" spans="1:1">
      <c r="A12" t="s">
        <v>39</v>
      </c>
    </row>
    <row r="13" spans="1:1" ht="115.5">
      <c r="A13" s="14" t="s">
        <v>17</v>
      </c>
    </row>
    <row r="14" spans="1:1">
      <c r="A14" s="14"/>
    </row>
    <row r="15" spans="1:1">
      <c r="A15" s="22" t="s">
        <v>9</v>
      </c>
    </row>
    <row r="16" spans="1:1">
      <c r="A16" t="s">
        <v>10</v>
      </c>
    </row>
    <row r="17" spans="1:3">
      <c r="A17" t="s">
        <v>11</v>
      </c>
    </row>
    <row r="18" spans="1:3" ht="17.25" thickBot="1">
      <c r="A18" s="17" t="s">
        <v>11</v>
      </c>
    </row>
    <row r="19" spans="1:3" ht="17.25" thickBot="1">
      <c r="B19" s="52" t="s">
        <v>16</v>
      </c>
      <c r="C19" s="53"/>
    </row>
    <row r="20" spans="1:3">
      <c r="B20" s="18" t="s">
        <v>15</v>
      </c>
      <c r="C20" s="21">
        <v>4.6007039682886434E-2</v>
      </c>
    </row>
    <row r="21" spans="1:3">
      <c r="B21" s="1" t="s">
        <v>14</v>
      </c>
      <c r="C21" s="2">
        <f>EXP(-2.5*C20)+101*EXP(-C20)</f>
        <v>97.349909597911434</v>
      </c>
    </row>
    <row r="22" spans="1:3">
      <c r="B22" s="1" t="s">
        <v>13</v>
      </c>
      <c r="C22" s="2">
        <v>97.349199999999996</v>
      </c>
    </row>
    <row r="23" spans="1:3" ht="17.25" thickBot="1">
      <c r="B23" s="3" t="s">
        <v>12</v>
      </c>
      <c r="C23" s="4">
        <f>C21-C22</f>
        <v>7.0959791143820894E-4</v>
      </c>
    </row>
    <row r="24" spans="1:3">
      <c r="A24" t="s">
        <v>40</v>
      </c>
    </row>
  </sheetData>
  <mergeCells count="1">
    <mergeCell ref="B19:C1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31"/>
  <sheetViews>
    <sheetView zoomScaleNormal="100" workbookViewId="0">
      <selection activeCell="E31" sqref="E31"/>
    </sheetView>
  </sheetViews>
  <sheetFormatPr defaultRowHeight="16.5"/>
  <cols>
    <col min="1" max="2" width="11.625" style="15" bestFit="1" customWidth="1"/>
    <col min="3" max="3" width="11.625" bestFit="1" customWidth="1"/>
    <col min="4" max="4" width="12.75" bestFit="1" customWidth="1"/>
    <col min="5" max="5" width="11.875" bestFit="1" customWidth="1"/>
    <col min="8" max="8" width="23.25" bestFit="1" customWidth="1"/>
    <col min="9" max="9" width="12.625" bestFit="1" customWidth="1"/>
  </cols>
  <sheetData>
    <row r="9" spans="1:5" ht="17.25" thickBot="1"/>
    <row r="10" spans="1:5" ht="17.25" thickBot="1">
      <c r="A10" s="19" t="s">
        <v>25</v>
      </c>
      <c r="B10" s="32" t="s">
        <v>24</v>
      </c>
      <c r="C10" s="32" t="s">
        <v>23</v>
      </c>
      <c r="D10" s="32" t="s">
        <v>22</v>
      </c>
      <c r="E10" s="20" t="s">
        <v>21</v>
      </c>
    </row>
    <row r="11" spans="1:5">
      <c r="A11" s="31">
        <v>4.3</v>
      </c>
      <c r="B11" s="26">
        <v>10.3</v>
      </c>
      <c r="C11" s="26">
        <f>B11</f>
        <v>10.3</v>
      </c>
      <c r="D11" s="26">
        <f t="shared" ref="D11:D30" si="0">C11/$C$30*100</f>
        <v>0.40124659135177249</v>
      </c>
      <c r="E11" s="33">
        <f t="shared" ref="E11:E30" si="1">A11*B11</f>
        <v>44.29</v>
      </c>
    </row>
    <row r="12" spans="1:5">
      <c r="A12" s="8">
        <v>4.3099999999999996</v>
      </c>
      <c r="B12" s="9">
        <v>28.2</v>
      </c>
      <c r="C12" s="9">
        <f>SUM($B$11:B12)</f>
        <v>38.5</v>
      </c>
      <c r="D12" s="9">
        <f t="shared" si="0"/>
        <v>1.4998052201012853</v>
      </c>
      <c r="E12" s="10">
        <f t="shared" si="1"/>
        <v>121.54199999999999</v>
      </c>
    </row>
    <row r="13" spans="1:5">
      <c r="A13" s="8">
        <v>4.32</v>
      </c>
      <c r="B13" s="9">
        <v>95</v>
      </c>
      <c r="C13" s="9">
        <f>SUM($B$11:B13)</f>
        <v>133.5</v>
      </c>
      <c r="D13" s="9">
        <f t="shared" si="0"/>
        <v>5.2006232956758849</v>
      </c>
      <c r="E13" s="10">
        <f t="shared" si="1"/>
        <v>410.40000000000003</v>
      </c>
    </row>
    <row r="14" spans="1:5">
      <c r="A14" s="8">
        <v>4.33</v>
      </c>
      <c r="B14" s="9">
        <v>172</v>
      </c>
      <c r="C14" s="9">
        <f>SUM($B$11:B14)</f>
        <v>305.5</v>
      </c>
      <c r="D14" s="9">
        <f t="shared" si="0"/>
        <v>11.901051811453057</v>
      </c>
      <c r="E14" s="10">
        <f t="shared" si="1"/>
        <v>744.76</v>
      </c>
    </row>
    <row r="15" spans="1:5">
      <c r="A15" s="8">
        <v>4.34</v>
      </c>
      <c r="B15" s="9">
        <v>202.8</v>
      </c>
      <c r="C15" s="9">
        <f>SUM($B$11:B15)</f>
        <v>508.3</v>
      </c>
      <c r="D15" s="9">
        <f t="shared" si="0"/>
        <v>19.801324503311253</v>
      </c>
      <c r="E15" s="10">
        <f t="shared" si="1"/>
        <v>880.15200000000004</v>
      </c>
    </row>
    <row r="16" spans="1:5">
      <c r="A16" s="8">
        <v>4.3499999999999996</v>
      </c>
      <c r="B16" s="9">
        <v>259.3</v>
      </c>
      <c r="C16" s="9">
        <f>SUM($B$11:B16)</f>
        <v>767.6</v>
      </c>
      <c r="D16" s="9">
        <f t="shared" si="0"/>
        <v>29.902610050642771</v>
      </c>
      <c r="E16" s="10">
        <f t="shared" si="1"/>
        <v>1127.9549999999999</v>
      </c>
    </row>
    <row r="17" spans="1:9">
      <c r="A17" s="8">
        <v>4.3600000000000003</v>
      </c>
      <c r="B17" s="9">
        <v>318.3</v>
      </c>
      <c r="C17" s="9">
        <f>SUM($B$11:B17)</f>
        <v>1085.9000000000001</v>
      </c>
      <c r="D17" s="9">
        <f t="shared" si="0"/>
        <v>42.30229840280483</v>
      </c>
      <c r="E17" s="10">
        <f t="shared" si="1"/>
        <v>1387.7880000000002</v>
      </c>
    </row>
    <row r="18" spans="1:9">
      <c r="A18" s="27">
        <v>4.37</v>
      </c>
      <c r="B18" s="24">
        <v>197.7</v>
      </c>
      <c r="C18" s="24">
        <f>SUM($B$11:B18)</f>
        <v>1283.6000000000001</v>
      </c>
      <c r="D18" s="24">
        <f t="shared" si="0"/>
        <v>50.003895597974292</v>
      </c>
      <c r="E18" s="10">
        <f t="shared" si="1"/>
        <v>863.94899999999996</v>
      </c>
    </row>
    <row r="19" spans="1:9">
      <c r="A19" s="8">
        <v>4.38</v>
      </c>
      <c r="B19" s="9">
        <v>346.5</v>
      </c>
      <c r="C19" s="9">
        <f>SUM($B$11:B19)</f>
        <v>1630.1000000000001</v>
      </c>
      <c r="D19" s="9">
        <f t="shared" si="0"/>
        <v>63.502142578885859</v>
      </c>
      <c r="E19" s="10">
        <f t="shared" si="1"/>
        <v>1517.67</v>
      </c>
    </row>
    <row r="20" spans="1:9">
      <c r="A20" s="8">
        <v>4.3900000000000103</v>
      </c>
      <c r="B20" s="9">
        <v>205.4</v>
      </c>
      <c r="C20" s="9">
        <f>SUM($B$11:B20)</f>
        <v>1835.5000000000002</v>
      </c>
      <c r="D20" s="9">
        <f t="shared" si="0"/>
        <v>71.503700818075572</v>
      </c>
      <c r="E20" s="10">
        <f t="shared" si="1"/>
        <v>901.70600000000218</v>
      </c>
    </row>
    <row r="21" spans="1:9">
      <c r="A21" s="8">
        <v>4.4000000000000101</v>
      </c>
      <c r="B21" s="9">
        <v>112.9</v>
      </c>
      <c r="C21" s="9">
        <f>SUM($B$11:B21)</f>
        <v>1948.4000000000003</v>
      </c>
      <c r="D21" s="9">
        <f t="shared" si="0"/>
        <v>75.901830931047925</v>
      </c>
      <c r="E21" s="10">
        <f t="shared" si="1"/>
        <v>496.76000000000118</v>
      </c>
    </row>
    <row r="22" spans="1:9">
      <c r="A22" s="8">
        <v>4.4100000000000099</v>
      </c>
      <c r="B22" s="9">
        <v>123.2</v>
      </c>
      <c r="C22" s="9">
        <f>SUM($B$11:B22)</f>
        <v>2071.6000000000004</v>
      </c>
      <c r="D22" s="9">
        <f t="shared" si="0"/>
        <v>80.701207635372029</v>
      </c>
      <c r="E22" s="10">
        <f t="shared" si="1"/>
        <v>543.31200000000126</v>
      </c>
    </row>
    <row r="23" spans="1:9">
      <c r="A23" s="8">
        <v>4.4200000000000097</v>
      </c>
      <c r="B23" s="9">
        <v>102.7</v>
      </c>
      <c r="C23" s="9">
        <f>SUM($B$11:B23)</f>
        <v>2174.3000000000002</v>
      </c>
      <c r="D23" s="9">
        <f t="shared" si="0"/>
        <v>84.701986754966882</v>
      </c>
      <c r="E23" s="10">
        <f t="shared" si="1"/>
        <v>453.93400000000099</v>
      </c>
    </row>
    <row r="24" spans="1:9">
      <c r="A24" s="8">
        <v>4.4300000000000104</v>
      </c>
      <c r="B24" s="9">
        <v>92.4</v>
      </c>
      <c r="C24" s="9">
        <f>SUM($B$11:B24)</f>
        <v>2266.7000000000003</v>
      </c>
      <c r="D24" s="9">
        <f t="shared" si="0"/>
        <v>88.30151928320997</v>
      </c>
      <c r="E24" s="10">
        <f t="shared" si="1"/>
        <v>409.33200000000096</v>
      </c>
    </row>
    <row r="25" spans="1:9">
      <c r="A25" s="8">
        <v>4.4400000000000102</v>
      </c>
      <c r="B25" s="9">
        <v>92.4</v>
      </c>
      <c r="C25" s="9">
        <f>SUM($B$11:B25)</f>
        <v>2359.1000000000004</v>
      </c>
      <c r="D25" s="9">
        <f t="shared" si="0"/>
        <v>91.901051811453058</v>
      </c>
      <c r="E25" s="10">
        <f t="shared" si="1"/>
        <v>410.25600000000094</v>
      </c>
    </row>
    <row r="26" spans="1:9">
      <c r="A26" s="8">
        <v>4.4500000000000099</v>
      </c>
      <c r="B26" s="9">
        <v>82.1</v>
      </c>
      <c r="C26" s="9">
        <f>SUM($B$11:B26)</f>
        <v>2441.2000000000003</v>
      </c>
      <c r="D26" s="9">
        <f t="shared" si="0"/>
        <v>95.099337748344354</v>
      </c>
      <c r="E26" s="10">
        <f t="shared" si="1"/>
        <v>365.34500000000077</v>
      </c>
    </row>
    <row r="27" spans="1:9">
      <c r="A27" s="8">
        <v>4.4600000000000097</v>
      </c>
      <c r="B27" s="9">
        <v>61.6</v>
      </c>
      <c r="C27" s="9">
        <f>SUM($B$11:B27)</f>
        <v>2502.8000000000002</v>
      </c>
      <c r="D27" s="9">
        <f t="shared" si="0"/>
        <v>97.499026100506413</v>
      </c>
      <c r="E27" s="10">
        <f t="shared" si="1"/>
        <v>274.73600000000062</v>
      </c>
      <c r="H27" s="16" t="s">
        <v>20</v>
      </c>
      <c r="I27" s="23">
        <f>E31/B31</f>
        <v>4.3790673938449585</v>
      </c>
    </row>
    <row r="28" spans="1:9">
      <c r="A28" s="8">
        <v>4.4700000000000104</v>
      </c>
      <c r="B28" s="9">
        <v>48.8</v>
      </c>
      <c r="C28" s="9">
        <f>SUM($B$11:B28)</f>
        <v>2551.6000000000004</v>
      </c>
      <c r="D28" s="9">
        <f t="shared" si="0"/>
        <v>99.400077911959485</v>
      </c>
      <c r="E28" s="10">
        <f t="shared" si="1"/>
        <v>218.13600000000051</v>
      </c>
      <c r="H28" s="16" t="s">
        <v>19</v>
      </c>
      <c r="I28" s="16">
        <f>A18</f>
        <v>4.37</v>
      </c>
    </row>
    <row r="29" spans="1:9">
      <c r="A29" s="8">
        <v>4.4800000000000102</v>
      </c>
      <c r="B29" s="9">
        <v>10.3</v>
      </c>
      <c r="C29" s="9">
        <f>SUM($B$11:B29)</f>
        <v>2561.9000000000005</v>
      </c>
      <c r="D29" s="9">
        <f t="shared" si="0"/>
        <v>99.801324503311264</v>
      </c>
      <c r="E29" s="10">
        <f t="shared" si="1"/>
        <v>46.144000000000105</v>
      </c>
    </row>
    <row r="30" spans="1:9" ht="17.25" thickBot="1">
      <c r="A30" s="28">
        <v>4.49</v>
      </c>
      <c r="B30" s="25">
        <v>5.0999999999999996</v>
      </c>
      <c r="C30" s="25">
        <f>SUM($B$11:B30)</f>
        <v>2567.0000000000005</v>
      </c>
      <c r="D30" s="25">
        <f t="shared" si="0"/>
        <v>100</v>
      </c>
      <c r="E30" s="34">
        <f t="shared" si="1"/>
        <v>22.899000000000001</v>
      </c>
    </row>
    <row r="31" spans="1:9" ht="18" thickTop="1" thickBot="1">
      <c r="A31" s="29" t="s">
        <v>18</v>
      </c>
      <c r="B31" s="30">
        <f>SUM(B11:B30)</f>
        <v>2567.0000000000005</v>
      </c>
      <c r="C31" s="54" t="s">
        <v>26</v>
      </c>
      <c r="D31" s="55"/>
      <c r="E31" s="35">
        <f>SUM(E11:E30)</f>
        <v>11241.06600000001</v>
      </c>
    </row>
  </sheetData>
  <autoFilter ref="A10:B10">
    <sortState ref="A11:B30">
      <sortCondition ref="A10"/>
    </sortState>
  </autoFilter>
  <mergeCells count="1">
    <mergeCell ref="C31:D3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2:L43"/>
  <sheetViews>
    <sheetView topLeftCell="B1" zoomScale="85" zoomScaleNormal="85" workbookViewId="0">
      <selection activeCell="P26" sqref="P26"/>
    </sheetView>
  </sheetViews>
  <sheetFormatPr defaultRowHeight="16.5"/>
  <cols>
    <col min="1" max="1" width="12.625" bestFit="1" customWidth="1"/>
    <col min="2" max="3" width="11.625" bestFit="1" customWidth="1"/>
    <col min="4" max="4" width="16.875" bestFit="1" customWidth="1"/>
    <col min="5" max="5" width="13.75" bestFit="1" customWidth="1"/>
    <col min="6" max="6" width="5.875" bestFit="1" customWidth="1"/>
    <col min="7" max="7" width="16.125" bestFit="1" customWidth="1"/>
    <col min="9" max="9" width="13.375" bestFit="1" customWidth="1"/>
    <col min="10" max="10" width="13.375" customWidth="1"/>
    <col min="12" max="12" width="14.25" bestFit="1" customWidth="1"/>
  </cols>
  <sheetData>
    <row r="12" spans="1:12">
      <c r="A12" s="15" t="s">
        <v>27</v>
      </c>
      <c r="B12" s="15" t="s">
        <v>32</v>
      </c>
      <c r="C12" s="15" t="s">
        <v>33</v>
      </c>
      <c r="D12" s="15" t="s">
        <v>28</v>
      </c>
      <c r="E12" s="15" t="s">
        <v>29</v>
      </c>
      <c r="F12" s="15" t="s">
        <v>30</v>
      </c>
      <c r="G12" s="15" t="s">
        <v>34</v>
      </c>
      <c r="H12" s="56" t="s">
        <v>35</v>
      </c>
      <c r="I12" s="56"/>
      <c r="J12" s="15" t="s">
        <v>36</v>
      </c>
      <c r="K12" s="15" t="s">
        <v>37</v>
      </c>
      <c r="L12" s="15" t="s">
        <v>38</v>
      </c>
    </row>
    <row r="13" spans="1:12">
      <c r="A13" s="36">
        <v>10000000</v>
      </c>
      <c r="B13" s="37">
        <v>43738</v>
      </c>
      <c r="C13" s="37">
        <v>43739</v>
      </c>
      <c r="D13" s="15">
        <f>WEEKDAY(B13,2)</f>
        <v>1</v>
      </c>
      <c r="E13" s="15"/>
      <c r="F13" s="15">
        <v>2.35</v>
      </c>
      <c r="G13" s="40">
        <v>1</v>
      </c>
      <c r="H13">
        <f>1+F13/100*G13/360</f>
        <v>1.0000652777777779</v>
      </c>
      <c r="I13">
        <f>H13</f>
        <v>1.0000652777777779</v>
      </c>
      <c r="J13">
        <f>I13-1</f>
        <v>6.5277777777872359E-5</v>
      </c>
      <c r="K13">
        <f>J13*360/G13</f>
        <v>2.3500000000034049E-2</v>
      </c>
      <c r="L13" s="41">
        <f>A13*K13</f>
        <v>235000.00000034049</v>
      </c>
    </row>
    <row r="14" spans="1:12">
      <c r="A14" s="36">
        <v>10000000</v>
      </c>
      <c r="B14" s="37">
        <f>C13</f>
        <v>43739</v>
      </c>
      <c r="C14" s="37">
        <f>B14+1</f>
        <v>43740</v>
      </c>
      <c r="D14" s="15">
        <f t="shared" ref="D14:D43" si="0">WEEKDAY(B14,2)</f>
        <v>2</v>
      </c>
      <c r="E14" s="15"/>
      <c r="F14" s="15">
        <v>1.88</v>
      </c>
      <c r="G14">
        <v>1</v>
      </c>
      <c r="H14">
        <f>1+F14/100*G14/360</f>
        <v>1.0000522222222221</v>
      </c>
      <c r="I14">
        <f>PRODUCT($H$13:H14)</f>
        <v>1.0001175034089507</v>
      </c>
      <c r="J14">
        <f t="shared" ref="J14:J43" si="1">I14-1</f>
        <v>1.1750340895066991E-4</v>
      </c>
      <c r="K14">
        <f t="shared" ref="K14:K42" si="2">J14*360/G14</f>
        <v>4.2301227222241167E-2</v>
      </c>
      <c r="L14" s="41">
        <f t="shared" ref="L14:L42" si="3">A14*K14</f>
        <v>423012.27222241164</v>
      </c>
    </row>
    <row r="15" spans="1:12">
      <c r="A15" s="36">
        <v>10000000</v>
      </c>
      <c r="B15" s="37">
        <f t="shared" ref="B15:B43" si="4">C14</f>
        <v>43740</v>
      </c>
      <c r="C15" s="37">
        <f t="shared" ref="C15:C43" si="5">B15+1</f>
        <v>43741</v>
      </c>
      <c r="D15" s="15">
        <f t="shared" si="0"/>
        <v>3</v>
      </c>
      <c r="E15" s="15"/>
      <c r="F15" s="15">
        <v>1.85</v>
      </c>
      <c r="G15">
        <v>1</v>
      </c>
      <c r="H15">
        <f>1+F15/100*G15/360</f>
        <v>1.0000513888888889</v>
      </c>
      <c r="I15">
        <f>PRODUCT($H$13:H15)</f>
        <v>1.0001688983362091</v>
      </c>
      <c r="J15">
        <f t="shared" si="1"/>
        <v>1.6889833620914452E-4</v>
      </c>
      <c r="K15">
        <f t="shared" si="2"/>
        <v>6.0803401035292026E-2</v>
      </c>
      <c r="L15" s="41">
        <f t="shared" si="3"/>
        <v>608034.01035292028</v>
      </c>
    </row>
    <row r="16" spans="1:12">
      <c r="A16" s="36">
        <v>10000000</v>
      </c>
      <c r="B16" s="37">
        <f t="shared" si="4"/>
        <v>43741</v>
      </c>
      <c r="C16" s="37">
        <f t="shared" si="5"/>
        <v>43742</v>
      </c>
      <c r="D16" s="15">
        <f t="shared" si="0"/>
        <v>4</v>
      </c>
      <c r="E16" s="15"/>
      <c r="F16" s="15">
        <v>1.84</v>
      </c>
      <c r="G16">
        <v>1</v>
      </c>
      <c r="H16">
        <f>1+F16/100*G16/360</f>
        <v>1.000051111111111</v>
      </c>
      <c r="I16">
        <f>PRODUCT($H$13:H16)</f>
        <v>1.0002200180799017</v>
      </c>
      <c r="J16">
        <f t="shared" si="1"/>
        <v>2.2001807990168487E-4</v>
      </c>
      <c r="K16">
        <f t="shared" si="2"/>
        <v>7.9206508764606554E-2</v>
      </c>
      <c r="L16" s="41">
        <f t="shared" si="3"/>
        <v>792065.08764606551</v>
      </c>
    </row>
    <row r="17" spans="1:12">
      <c r="A17" s="36">
        <v>10000000</v>
      </c>
      <c r="B17" s="37">
        <f t="shared" si="4"/>
        <v>43742</v>
      </c>
      <c r="C17" s="37">
        <f t="shared" si="5"/>
        <v>43743</v>
      </c>
      <c r="D17" s="15">
        <f t="shared" si="0"/>
        <v>5</v>
      </c>
      <c r="E17" s="15"/>
      <c r="F17" s="15">
        <v>1.82</v>
      </c>
      <c r="G17">
        <v>3</v>
      </c>
      <c r="H17">
        <f>1+F17/100*G17/360</f>
        <v>1.0001516666666668</v>
      </c>
      <c r="I17">
        <f>PRODUCT($H$13:H17)</f>
        <v>1.0003717181159772</v>
      </c>
      <c r="J17">
        <f t="shared" si="1"/>
        <v>3.7171811597724869E-4</v>
      </c>
      <c r="K17">
        <f t="shared" si="2"/>
        <v>4.4606173917269842E-2</v>
      </c>
      <c r="L17" s="41">
        <f t="shared" si="3"/>
        <v>446061.73917269841</v>
      </c>
    </row>
    <row r="18" spans="1:12">
      <c r="A18" s="36">
        <v>10000000</v>
      </c>
      <c r="B18" s="37">
        <f t="shared" si="4"/>
        <v>43743</v>
      </c>
      <c r="C18" s="37">
        <f t="shared" si="5"/>
        <v>43744</v>
      </c>
      <c r="D18" s="38">
        <f t="shared" si="0"/>
        <v>6</v>
      </c>
      <c r="E18" s="15"/>
      <c r="F18" s="15"/>
      <c r="L18" s="41"/>
    </row>
    <row r="19" spans="1:12">
      <c r="A19" s="36">
        <v>10000000</v>
      </c>
      <c r="B19" s="37">
        <f t="shared" si="4"/>
        <v>43744</v>
      </c>
      <c r="C19" s="37">
        <f t="shared" si="5"/>
        <v>43745</v>
      </c>
      <c r="D19" s="38">
        <f t="shared" si="0"/>
        <v>7</v>
      </c>
      <c r="E19" s="15"/>
      <c r="F19" s="15"/>
      <c r="L19" s="41"/>
    </row>
    <row r="20" spans="1:12">
      <c r="A20" s="36">
        <v>10000000</v>
      </c>
      <c r="B20" s="37">
        <f t="shared" si="4"/>
        <v>43745</v>
      </c>
      <c r="C20" s="37">
        <f t="shared" si="5"/>
        <v>43746</v>
      </c>
      <c r="D20" s="15">
        <f t="shared" si="0"/>
        <v>1</v>
      </c>
      <c r="E20" s="15"/>
      <c r="F20" s="15">
        <v>1.83</v>
      </c>
      <c r="G20">
        <v>1</v>
      </c>
      <c r="H20">
        <f>1+F20/100*G20/360</f>
        <v>1.0000508333333333</v>
      </c>
      <c r="I20">
        <f>PRODUCT($H$13:H20)</f>
        <v>1.0004225703449814</v>
      </c>
      <c r="J20">
        <f t="shared" si="1"/>
        <v>4.2257034498138779E-4</v>
      </c>
      <c r="K20">
        <f t="shared" si="2"/>
        <v>0.1521253241932996</v>
      </c>
      <c r="L20" s="41">
        <f t="shared" si="3"/>
        <v>1521253.2419329961</v>
      </c>
    </row>
    <row r="21" spans="1:12">
      <c r="A21" s="36">
        <v>10000000</v>
      </c>
      <c r="B21" s="37">
        <f t="shared" si="4"/>
        <v>43746</v>
      </c>
      <c r="C21" s="37">
        <f t="shared" si="5"/>
        <v>43747</v>
      </c>
      <c r="D21" s="15">
        <f t="shared" si="0"/>
        <v>2</v>
      </c>
      <c r="E21" s="15"/>
      <c r="F21" s="15">
        <v>1.85</v>
      </c>
      <c r="G21">
        <v>1</v>
      </c>
      <c r="H21">
        <f>1+F21/100*G21/360</f>
        <v>1.0000513888888889</v>
      </c>
      <c r="I21">
        <f>PRODUCT($H$13:H21)</f>
        <v>1.0004739809492909</v>
      </c>
      <c r="J21">
        <f t="shared" si="1"/>
        <v>4.739809492908531E-4</v>
      </c>
      <c r="K21">
        <f t="shared" si="2"/>
        <v>0.17063314174470712</v>
      </c>
      <c r="L21" s="41">
        <f t="shared" si="3"/>
        <v>1706331.4174470713</v>
      </c>
    </row>
    <row r="22" spans="1:12">
      <c r="A22" s="36">
        <v>10000000</v>
      </c>
      <c r="B22" s="37">
        <f t="shared" si="4"/>
        <v>43747</v>
      </c>
      <c r="C22" s="37">
        <f t="shared" si="5"/>
        <v>43748</v>
      </c>
      <c r="D22" s="15">
        <f t="shared" si="0"/>
        <v>3</v>
      </c>
      <c r="E22" s="15"/>
      <c r="F22" s="15">
        <v>1.85</v>
      </c>
      <c r="G22">
        <v>1</v>
      </c>
      <c r="H22">
        <f>1+F22/100*G22/360</f>
        <v>1.0000513888888889</v>
      </c>
      <c r="I22">
        <f>PRODUCT($H$13:H22)</f>
        <v>1.0005253941955341</v>
      </c>
      <c r="J22">
        <f t="shared" si="1"/>
        <v>5.2539419553410127E-4</v>
      </c>
      <c r="K22">
        <f t="shared" si="2"/>
        <v>0.18914191039227646</v>
      </c>
      <c r="L22" s="41">
        <f t="shared" si="3"/>
        <v>1891419.1039227645</v>
      </c>
    </row>
    <row r="23" spans="1:12">
      <c r="A23" s="36">
        <v>10000000</v>
      </c>
      <c r="B23" s="37">
        <f t="shared" si="4"/>
        <v>43748</v>
      </c>
      <c r="C23" s="37">
        <f t="shared" si="5"/>
        <v>43749</v>
      </c>
      <c r="D23" s="15">
        <f t="shared" si="0"/>
        <v>4</v>
      </c>
      <c r="E23" s="15"/>
      <c r="F23" s="15">
        <v>1.85</v>
      </c>
      <c r="G23">
        <v>1</v>
      </c>
      <c r="H23">
        <f>1+F23/100*G23/360</f>
        <v>1.0000513888888889</v>
      </c>
      <c r="I23">
        <f>PRODUCT($H$13:H23)</f>
        <v>1.000576810083847</v>
      </c>
      <c r="J23">
        <f t="shared" si="1"/>
        <v>5.7681008384702359E-4</v>
      </c>
      <c r="K23">
        <f t="shared" si="2"/>
        <v>0.20765163018492849</v>
      </c>
      <c r="L23" s="41">
        <f t="shared" si="3"/>
        <v>2076516.3018492849</v>
      </c>
    </row>
    <row r="24" spans="1:12">
      <c r="A24" s="36">
        <v>10000000</v>
      </c>
      <c r="B24" s="37">
        <f t="shared" si="4"/>
        <v>43749</v>
      </c>
      <c r="C24" s="37">
        <f t="shared" si="5"/>
        <v>43750</v>
      </c>
      <c r="D24" s="15">
        <f t="shared" si="0"/>
        <v>5</v>
      </c>
      <c r="E24" s="15"/>
      <c r="F24" s="15">
        <v>1.85</v>
      </c>
      <c r="G24">
        <v>3</v>
      </c>
      <c r="H24">
        <f>1+F24/100*G24/360</f>
        <v>1.0001541666666667</v>
      </c>
      <c r="I24">
        <f>PRODUCT($H$13:H24)</f>
        <v>1.0007310656754016</v>
      </c>
      <c r="J24">
        <f t="shared" si="1"/>
        <v>7.3106567540159872E-4</v>
      </c>
      <c r="K24">
        <f t="shared" si="2"/>
        <v>8.7727881048191847E-2</v>
      </c>
      <c r="L24" s="41">
        <f t="shared" si="3"/>
        <v>877278.81048191851</v>
      </c>
    </row>
    <row r="25" spans="1:12">
      <c r="A25" s="36">
        <v>10000000</v>
      </c>
      <c r="B25" s="37">
        <f t="shared" si="4"/>
        <v>43750</v>
      </c>
      <c r="C25" s="37">
        <f t="shared" si="5"/>
        <v>43751</v>
      </c>
      <c r="D25" s="38">
        <f t="shared" si="0"/>
        <v>6</v>
      </c>
      <c r="E25" s="15"/>
      <c r="F25" s="15"/>
      <c r="L25" s="41"/>
    </row>
    <row r="26" spans="1:12">
      <c r="A26" s="36">
        <v>10000000</v>
      </c>
      <c r="B26" s="37">
        <f t="shared" si="4"/>
        <v>43751</v>
      </c>
      <c r="C26" s="37">
        <f t="shared" si="5"/>
        <v>43752</v>
      </c>
      <c r="D26" s="38">
        <f t="shared" si="0"/>
        <v>7</v>
      </c>
      <c r="E26" s="15"/>
      <c r="F26" s="15"/>
      <c r="L26" s="41"/>
    </row>
    <row r="27" spans="1:12">
      <c r="A27" s="36">
        <v>10000000</v>
      </c>
      <c r="B27" s="37">
        <f t="shared" si="4"/>
        <v>43752</v>
      </c>
      <c r="C27" s="37">
        <f t="shared" si="5"/>
        <v>43753</v>
      </c>
      <c r="D27" s="15">
        <f>WEEKDAY(B27,2)</f>
        <v>1</v>
      </c>
      <c r="E27" s="15" t="s">
        <v>31</v>
      </c>
      <c r="F27" s="39">
        <v>2</v>
      </c>
      <c r="G27">
        <v>1</v>
      </c>
      <c r="H27">
        <f t="shared" ref="H27:H43" si="6">1+F27/100*G27/360</f>
        <v>1.0000555555555555</v>
      </c>
      <c r="I27">
        <f>PRODUCT($H$13:H27)</f>
        <v>1.0007866618457169</v>
      </c>
      <c r="J27">
        <f t="shared" si="1"/>
        <v>7.8666184571685172E-4</v>
      </c>
      <c r="K27">
        <f t="shared" si="2"/>
        <v>0.28319826445806662</v>
      </c>
      <c r="L27" s="41">
        <f t="shared" si="3"/>
        <v>2831982.644580666</v>
      </c>
    </row>
    <row r="28" spans="1:12">
      <c r="A28" s="36">
        <v>10000000</v>
      </c>
      <c r="B28" s="37">
        <f t="shared" si="4"/>
        <v>43753</v>
      </c>
      <c r="C28" s="37">
        <f t="shared" si="5"/>
        <v>43754</v>
      </c>
      <c r="D28" s="15">
        <f t="shared" si="0"/>
        <v>2</v>
      </c>
      <c r="E28" s="15"/>
      <c r="F28" s="15">
        <v>2</v>
      </c>
      <c r="G28">
        <v>1</v>
      </c>
      <c r="H28">
        <f t="shared" si="6"/>
        <v>1.0000555555555555</v>
      </c>
      <c r="I28">
        <f>PRODUCT($H$13:H28)</f>
        <v>1.0008422611047083</v>
      </c>
      <c r="J28">
        <f t="shared" si="1"/>
        <v>8.4226110470830839E-4</v>
      </c>
      <c r="K28">
        <f t="shared" si="2"/>
        <v>0.30321399769499102</v>
      </c>
      <c r="L28" s="41">
        <f t="shared" si="3"/>
        <v>3032139.9769499102</v>
      </c>
    </row>
    <row r="29" spans="1:12">
      <c r="A29" s="36">
        <v>10000000</v>
      </c>
      <c r="B29" s="37">
        <f t="shared" si="4"/>
        <v>43754</v>
      </c>
      <c r="C29" s="37">
        <f t="shared" si="5"/>
        <v>43755</v>
      </c>
      <c r="D29" s="15">
        <f t="shared" si="0"/>
        <v>3</v>
      </c>
      <c r="E29" s="15"/>
      <c r="F29" s="15">
        <v>2.0499999999999998</v>
      </c>
      <c r="G29">
        <v>1</v>
      </c>
      <c r="H29">
        <f t="shared" si="6"/>
        <v>1.0000569444444445</v>
      </c>
      <c r="I29">
        <f>PRODUCT($H$13:H29)</f>
        <v>1.0008992535112435</v>
      </c>
      <c r="J29">
        <f t="shared" si="1"/>
        <v>8.9925351124353625E-4</v>
      </c>
      <c r="K29">
        <f t="shared" si="2"/>
        <v>0.32373126404767305</v>
      </c>
      <c r="L29" s="41">
        <f t="shared" si="3"/>
        <v>3237312.6404767307</v>
      </c>
    </row>
    <row r="30" spans="1:12">
      <c r="A30" s="36">
        <v>10000000</v>
      </c>
      <c r="B30" s="37">
        <f t="shared" si="4"/>
        <v>43755</v>
      </c>
      <c r="C30" s="37">
        <f t="shared" si="5"/>
        <v>43756</v>
      </c>
      <c r="D30" s="15">
        <f t="shared" si="0"/>
        <v>4</v>
      </c>
      <c r="E30" s="15"/>
      <c r="F30" s="15">
        <v>1.95</v>
      </c>
      <c r="G30">
        <v>1</v>
      </c>
      <c r="H30">
        <f t="shared" si="6"/>
        <v>1.0000541666666667</v>
      </c>
      <c r="I30">
        <f>PRODUCT($H$13:H30)</f>
        <v>1.0009534688874755</v>
      </c>
      <c r="J30">
        <f t="shared" si="1"/>
        <v>9.5346888747549485E-4</v>
      </c>
      <c r="K30">
        <f t="shared" si="2"/>
        <v>0.34324879949117815</v>
      </c>
      <c r="L30" s="41">
        <f t="shared" si="3"/>
        <v>3432487.9949117815</v>
      </c>
    </row>
    <row r="31" spans="1:12">
      <c r="A31" s="36">
        <v>10000000</v>
      </c>
      <c r="B31" s="37">
        <f t="shared" si="4"/>
        <v>43756</v>
      </c>
      <c r="C31" s="37">
        <f t="shared" si="5"/>
        <v>43757</v>
      </c>
      <c r="D31" s="15">
        <f t="shared" si="0"/>
        <v>5</v>
      </c>
      <c r="E31" s="15"/>
      <c r="F31" s="15">
        <v>1.88</v>
      </c>
      <c r="G31">
        <v>3</v>
      </c>
      <c r="H31">
        <f t="shared" si="6"/>
        <v>1.0001566666666666</v>
      </c>
      <c r="I31">
        <f>PRODUCT($H$13:H31)</f>
        <v>1.0011102849309343</v>
      </c>
      <c r="J31">
        <f t="shared" si="1"/>
        <v>1.1102849309343465E-3</v>
      </c>
      <c r="K31">
        <f t="shared" si="2"/>
        <v>0.13323419171212159</v>
      </c>
      <c r="L31" s="41">
        <f t="shared" si="3"/>
        <v>1332341.917121216</v>
      </c>
    </row>
    <row r="32" spans="1:12">
      <c r="A32" s="36">
        <v>10000000</v>
      </c>
      <c r="B32" s="37">
        <f t="shared" si="4"/>
        <v>43757</v>
      </c>
      <c r="C32" s="37">
        <f t="shared" si="5"/>
        <v>43758</v>
      </c>
      <c r="D32" s="38">
        <f t="shared" si="0"/>
        <v>6</v>
      </c>
      <c r="E32" s="15"/>
      <c r="F32" s="15"/>
      <c r="L32" s="41"/>
    </row>
    <row r="33" spans="1:12">
      <c r="A33" s="36">
        <v>10000000</v>
      </c>
      <c r="B33" s="37">
        <f t="shared" si="4"/>
        <v>43758</v>
      </c>
      <c r="C33" s="37">
        <f t="shared" si="5"/>
        <v>43759</v>
      </c>
      <c r="D33" s="38">
        <f t="shared" si="0"/>
        <v>7</v>
      </c>
      <c r="E33" s="15"/>
      <c r="F33" s="15"/>
      <c r="L33" s="41"/>
    </row>
    <row r="34" spans="1:12">
      <c r="A34" s="36">
        <v>10000000</v>
      </c>
      <c r="B34" s="37">
        <f t="shared" si="4"/>
        <v>43759</v>
      </c>
      <c r="C34" s="37">
        <f t="shared" si="5"/>
        <v>43760</v>
      </c>
      <c r="D34" s="15">
        <f t="shared" si="0"/>
        <v>1</v>
      </c>
      <c r="E34" s="15"/>
      <c r="F34" s="15">
        <v>1.86</v>
      </c>
      <c r="G34">
        <v>1</v>
      </c>
      <c r="H34">
        <f t="shared" si="6"/>
        <v>1.0000516666666666</v>
      </c>
      <c r="I34">
        <f>PRODUCT($H$13:H34)</f>
        <v>1.0011620089623223</v>
      </c>
      <c r="J34">
        <f t="shared" si="1"/>
        <v>1.1620089623223251E-3</v>
      </c>
      <c r="K34">
        <f t="shared" si="2"/>
        <v>0.41832322643603703</v>
      </c>
      <c r="L34" s="41">
        <f t="shared" si="3"/>
        <v>4183232.2643603701</v>
      </c>
    </row>
    <row r="35" spans="1:12">
      <c r="A35" s="36">
        <v>10000000</v>
      </c>
      <c r="B35" s="37">
        <f t="shared" si="4"/>
        <v>43760</v>
      </c>
      <c r="C35" s="37">
        <f t="shared" si="5"/>
        <v>43761</v>
      </c>
      <c r="D35" s="15">
        <f t="shared" si="0"/>
        <v>2</v>
      </c>
      <c r="E35" s="15"/>
      <c r="F35" s="15">
        <v>1.87</v>
      </c>
      <c r="G35">
        <v>1</v>
      </c>
      <c r="H35">
        <f t="shared" si="6"/>
        <v>1.0000519444444445</v>
      </c>
      <c r="I35">
        <f>PRODUCT($H$13:H35)</f>
        <v>1.0012140137666767</v>
      </c>
      <c r="J35">
        <f t="shared" si="1"/>
        <v>1.2140137666767359E-3</v>
      </c>
      <c r="K35">
        <f t="shared" si="2"/>
        <v>0.43704495600362492</v>
      </c>
      <c r="L35" s="41">
        <f t="shared" si="3"/>
        <v>4370449.5600362495</v>
      </c>
    </row>
    <row r="36" spans="1:12">
      <c r="A36" s="36">
        <v>10000000</v>
      </c>
      <c r="B36" s="37">
        <f t="shared" si="4"/>
        <v>43761</v>
      </c>
      <c r="C36" s="37">
        <f t="shared" si="5"/>
        <v>43762</v>
      </c>
      <c r="D36" s="15">
        <f t="shared" si="0"/>
        <v>3</v>
      </c>
      <c r="E36" s="15"/>
      <c r="F36" s="15">
        <v>1.87</v>
      </c>
      <c r="G36">
        <v>1</v>
      </c>
      <c r="H36">
        <f t="shared" si="6"/>
        <v>1.0000519444444445</v>
      </c>
      <c r="I36">
        <f>PRODUCT($H$13:H36)</f>
        <v>1.0012660212723918</v>
      </c>
      <c r="J36">
        <f t="shared" si="1"/>
        <v>1.2660212723918374E-3</v>
      </c>
      <c r="K36">
        <f t="shared" si="2"/>
        <v>0.45576765806106145</v>
      </c>
      <c r="L36" s="41">
        <f t="shared" si="3"/>
        <v>4557676.5806106143</v>
      </c>
    </row>
    <row r="37" spans="1:12">
      <c r="A37" s="36">
        <v>10000000</v>
      </c>
      <c r="B37" s="37">
        <f t="shared" si="4"/>
        <v>43762</v>
      </c>
      <c r="C37" s="37">
        <f t="shared" si="5"/>
        <v>43763</v>
      </c>
      <c r="D37" s="15">
        <f t="shared" si="0"/>
        <v>4</v>
      </c>
      <c r="E37" s="15"/>
      <c r="F37" s="15">
        <v>1.86</v>
      </c>
      <c r="G37">
        <v>1</v>
      </c>
      <c r="H37">
        <f t="shared" si="6"/>
        <v>1.0000516666666666</v>
      </c>
      <c r="I37">
        <f>PRODUCT($H$13:H37)</f>
        <v>1.0013177533501574</v>
      </c>
      <c r="J37">
        <f t="shared" si="1"/>
        <v>1.3177533501573802E-3</v>
      </c>
      <c r="K37">
        <f t="shared" si="2"/>
        <v>0.47439120605665686</v>
      </c>
      <c r="L37" s="41">
        <f t="shared" si="3"/>
        <v>4743912.0605665687</v>
      </c>
    </row>
    <row r="38" spans="1:12">
      <c r="A38" s="36">
        <v>10000000</v>
      </c>
      <c r="B38" s="37">
        <f t="shared" si="4"/>
        <v>43763</v>
      </c>
      <c r="C38" s="37">
        <f t="shared" si="5"/>
        <v>43764</v>
      </c>
      <c r="D38" s="15">
        <f t="shared" si="0"/>
        <v>5</v>
      </c>
      <c r="E38" s="15"/>
      <c r="F38" s="15">
        <v>1.84</v>
      </c>
      <c r="G38">
        <v>3</v>
      </c>
      <c r="H38">
        <f t="shared" si="6"/>
        <v>1.0001533333333332</v>
      </c>
      <c r="I38">
        <f>PRODUCT($H$13:H38)</f>
        <v>1.0014712887390043</v>
      </c>
      <c r="J38">
        <f t="shared" si="1"/>
        <v>1.4712887390042617E-3</v>
      </c>
      <c r="K38">
        <f t="shared" si="2"/>
        <v>0.17655464868051141</v>
      </c>
      <c r="L38" s="41">
        <f t="shared" si="3"/>
        <v>1765546.486805114</v>
      </c>
    </row>
    <row r="39" spans="1:12">
      <c r="A39" s="36">
        <v>10000000</v>
      </c>
      <c r="B39" s="37">
        <f t="shared" si="4"/>
        <v>43764</v>
      </c>
      <c r="C39" s="37">
        <f t="shared" si="5"/>
        <v>43765</v>
      </c>
      <c r="D39" s="38">
        <f t="shared" si="0"/>
        <v>6</v>
      </c>
      <c r="E39" s="15"/>
      <c r="F39" s="15"/>
      <c r="L39" s="41"/>
    </row>
    <row r="40" spans="1:12">
      <c r="A40" s="36">
        <v>10000000</v>
      </c>
      <c r="B40" s="37">
        <f t="shared" si="4"/>
        <v>43765</v>
      </c>
      <c r="C40" s="37">
        <f t="shared" si="5"/>
        <v>43766</v>
      </c>
      <c r="D40" s="38">
        <f t="shared" si="0"/>
        <v>7</v>
      </c>
      <c r="E40" s="15"/>
      <c r="F40" s="15"/>
      <c r="L40" s="41"/>
    </row>
    <row r="41" spans="1:12">
      <c r="A41" s="36">
        <v>10000000</v>
      </c>
      <c r="B41" s="37">
        <f t="shared" si="4"/>
        <v>43766</v>
      </c>
      <c r="C41" s="37">
        <f t="shared" si="5"/>
        <v>43767</v>
      </c>
      <c r="D41" s="15">
        <f t="shared" si="0"/>
        <v>1</v>
      </c>
      <c r="E41" s="15"/>
      <c r="F41" s="15">
        <v>1.82</v>
      </c>
      <c r="G41">
        <v>1</v>
      </c>
      <c r="H41">
        <f t="shared" si="6"/>
        <v>1.0000505555555557</v>
      </c>
      <c r="I41">
        <f>PRODUCT($H$13:H41)</f>
        <v>1.0015219186763795</v>
      </c>
      <c r="J41">
        <f t="shared" si="1"/>
        <v>1.5219186763795189E-3</v>
      </c>
      <c r="K41">
        <f t="shared" si="2"/>
        <v>0.54789072349662682</v>
      </c>
      <c r="L41" s="41">
        <f t="shared" si="3"/>
        <v>5478907.2349662678</v>
      </c>
    </row>
    <row r="42" spans="1:12">
      <c r="A42" s="36">
        <v>10000000</v>
      </c>
      <c r="B42" s="37">
        <f t="shared" si="4"/>
        <v>43767</v>
      </c>
      <c r="C42" s="37">
        <f t="shared" si="5"/>
        <v>43768</v>
      </c>
      <c r="D42" s="15">
        <f t="shared" si="0"/>
        <v>2</v>
      </c>
      <c r="E42" s="15"/>
      <c r="F42" s="15">
        <v>1.81</v>
      </c>
      <c r="G42">
        <v>1</v>
      </c>
      <c r="H42">
        <f t="shared" si="6"/>
        <v>1.0000502777777778</v>
      </c>
      <c r="I42">
        <f>PRODUCT($H$13:H42)</f>
        <v>1.0015722729728462</v>
      </c>
      <c r="J42">
        <f t="shared" si="1"/>
        <v>1.5722729728462337E-3</v>
      </c>
      <c r="K42">
        <f t="shared" si="2"/>
        <v>0.56601827022464413</v>
      </c>
      <c r="L42" s="41">
        <f t="shared" si="3"/>
        <v>5660182.7022464415</v>
      </c>
    </row>
    <row r="43" spans="1:12">
      <c r="A43" s="36">
        <v>10000000</v>
      </c>
      <c r="B43" s="37">
        <f t="shared" si="4"/>
        <v>43768</v>
      </c>
      <c r="C43" s="37">
        <f t="shared" si="5"/>
        <v>43769</v>
      </c>
      <c r="D43" s="15">
        <f t="shared" si="0"/>
        <v>3</v>
      </c>
      <c r="E43" s="15"/>
      <c r="F43" s="15">
        <v>1.82</v>
      </c>
      <c r="G43">
        <v>1</v>
      </c>
      <c r="H43">
        <f t="shared" si="6"/>
        <v>1.0000505555555557</v>
      </c>
      <c r="I43">
        <f>PRODUCT($H$13:H43)</f>
        <v>1.0016229080155354</v>
      </c>
      <c r="J43">
        <f t="shared" si="1"/>
        <v>1.6229080155354403E-3</v>
      </c>
      <c r="K43">
        <f>J43*360/G43</f>
        <v>0.5842468855927585</v>
      </c>
      <c r="L43" s="42">
        <f>A43*K43</f>
        <v>5842468.8559275847</v>
      </c>
    </row>
  </sheetData>
  <mergeCells count="1">
    <mergeCell ref="H12:I12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김윤수</dc:creator>
  <cp:lastModifiedBy>infomax</cp:lastModifiedBy>
  <dcterms:created xsi:type="dcterms:W3CDTF">2025-05-08T06:23:43Z</dcterms:created>
  <dcterms:modified xsi:type="dcterms:W3CDTF">2025-05-09T04:41:33Z</dcterms:modified>
</cp:coreProperties>
</file>