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cture\2024\BAF504\"/>
    </mc:Choice>
  </mc:AlternateContent>
  <xr:revisionPtr revIDLastSave="0" documentId="13_ncr:1_{677584EF-C964-4F33-B4E9-0245079CB53B}" xr6:coauthVersionLast="36" xr6:coauthVersionMax="36" xr10:uidLastSave="{00000000-0000-0000-0000-000000000000}"/>
  <bookViews>
    <workbookView xWindow="0" yWindow="0" windowWidth="28770" windowHeight="12110" activeTab="2" xr2:uid="{00000000-000D-0000-FFFF-FFFF00000000}"/>
  </bookViews>
  <sheets>
    <sheet name="Common-size BS 2.1" sheetId="13" r:id="rId1"/>
    <sheet name="Common-size IS 2.1" sheetId="14" r:id="rId2"/>
    <sheet name="Ratio Table" sheetId="1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4" l="1"/>
  <c r="C17" i="14"/>
  <c r="C14" i="14"/>
  <c r="C11" i="14"/>
  <c r="C9" i="14"/>
  <c r="B8" i="14"/>
  <c r="B10" i="14" s="1"/>
  <c r="C7" i="14"/>
  <c r="C6" i="14"/>
  <c r="C5" i="14"/>
  <c r="B5" i="14"/>
  <c r="C4" i="14"/>
  <c r="C3" i="14"/>
  <c r="C17" i="13"/>
  <c r="E17" i="13" s="1"/>
  <c r="B17" i="13"/>
  <c r="D14" i="13" s="1"/>
  <c r="C16" i="13"/>
  <c r="E16" i="13" s="1"/>
  <c r="B16" i="13"/>
  <c r="D16" i="13" s="1"/>
  <c r="E12" i="13"/>
  <c r="C7" i="13"/>
  <c r="C9" i="13" s="1"/>
  <c r="E9" i="13" s="1"/>
  <c r="B7" i="13"/>
  <c r="C10" i="14" l="1"/>
  <c r="B12" i="14"/>
  <c r="C8" i="14"/>
  <c r="F16" i="13"/>
  <c r="F17" i="13"/>
  <c r="E15" i="13"/>
  <c r="F15" i="13" s="1"/>
  <c r="D12" i="13"/>
  <c r="F12" i="13" s="1"/>
  <c r="E14" i="13"/>
  <c r="F14" i="13" s="1"/>
  <c r="D15" i="13"/>
  <c r="D17" i="13"/>
  <c r="B9" i="13"/>
  <c r="I10" i="12"/>
  <c r="B13" i="14" l="1"/>
  <c r="C12" i="14"/>
  <c r="D9" i="13"/>
  <c r="F9" i="13" s="1"/>
  <c r="D5" i="13"/>
  <c r="D4" i="13"/>
  <c r="E8" i="13"/>
  <c r="D8" i="13"/>
  <c r="E5" i="13"/>
  <c r="F5" i="13" s="1"/>
  <c r="E4" i="13"/>
  <c r="F4" i="13" s="1"/>
  <c r="E6" i="13"/>
  <c r="D6" i="13"/>
  <c r="E7" i="13"/>
  <c r="D7" i="13"/>
  <c r="D5" i="12"/>
  <c r="D6" i="12" s="1"/>
  <c r="D16" i="12"/>
  <c r="D9" i="12"/>
  <c r="D3" i="12"/>
  <c r="D4" i="12" s="1"/>
  <c r="B13" i="12"/>
  <c r="I23" i="12"/>
  <c r="G16" i="12"/>
  <c r="G19" i="12" s="1"/>
  <c r="F16" i="12"/>
  <c r="F19" i="12" s="1"/>
  <c r="B14" i="12"/>
  <c r="I8" i="12"/>
  <c r="I4" i="12"/>
  <c r="G8" i="12"/>
  <c r="F8" i="12"/>
  <c r="F10" i="12" s="1"/>
  <c r="B15" i="14" l="1"/>
  <c r="C15" i="14" s="1"/>
  <c r="C13" i="14"/>
  <c r="B16" i="14"/>
  <c r="C16" i="14" s="1"/>
  <c r="F6" i="13"/>
  <c r="F8" i="13"/>
  <c r="F7" i="13"/>
  <c r="B15" i="12"/>
  <c r="G21" i="12"/>
  <c r="B8" i="12"/>
  <c r="G22" i="12"/>
  <c r="B3" i="12"/>
  <c r="B4" i="12"/>
  <c r="B5" i="12"/>
  <c r="B7" i="12"/>
  <c r="I12" i="12"/>
  <c r="I13" i="12" s="1"/>
  <c r="I15" i="12" s="1"/>
  <c r="G10" i="12"/>
  <c r="B10" i="12" l="1"/>
  <c r="D7" i="12"/>
  <c r="B6" i="12"/>
  <c r="D8" i="12"/>
  <c r="D17" i="12"/>
  <c r="D18" i="12" s="1"/>
  <c r="B11" i="12"/>
  <c r="B12" i="12" s="1"/>
  <c r="I16" i="12"/>
  <c r="D12" i="12" l="1"/>
  <c r="D13" i="12"/>
  <c r="D11" i="12"/>
  <c r="I22" i="12"/>
  <c r="D15" i="12" s="1"/>
</calcChain>
</file>

<file path=xl/sharedStrings.xml><?xml version="1.0" encoding="utf-8"?>
<sst xmlns="http://schemas.openxmlformats.org/spreadsheetml/2006/main" count="111" uniqueCount="85">
  <si>
    <t>Cost of goods sold</t>
    <phoneticPr fontId="1" type="noConversion"/>
  </si>
  <si>
    <t>EBIT</t>
    <phoneticPr fontId="1" type="noConversion"/>
  </si>
  <si>
    <t>Net Income</t>
    <phoneticPr fontId="1" type="noConversion"/>
  </si>
  <si>
    <t>Depreciation</t>
    <phoneticPr fontId="1" type="noConversion"/>
  </si>
  <si>
    <t>Assets</t>
    <phoneticPr fontId="1" type="noConversion"/>
  </si>
  <si>
    <t>Total assets</t>
    <phoneticPr fontId="1" type="noConversion"/>
  </si>
  <si>
    <t xml:space="preserve">    Net sales</t>
    <phoneticPr fontId="1" type="noConversion"/>
  </si>
  <si>
    <t>Selling, general and admistrative expenses</t>
    <phoneticPr fontId="1" type="noConversion"/>
  </si>
  <si>
    <t>Operating income</t>
    <phoneticPr fontId="1" type="noConversion"/>
  </si>
  <si>
    <t>Other income</t>
    <phoneticPr fontId="1" type="noConversion"/>
  </si>
  <si>
    <t>Interest expense</t>
    <phoneticPr fontId="1" type="noConversion"/>
  </si>
  <si>
    <t>Pretax income</t>
    <phoneticPr fontId="1" type="noConversion"/>
  </si>
  <si>
    <t>Tax</t>
    <phoneticPr fontId="1" type="noConversion"/>
  </si>
  <si>
    <t xml:space="preserve">    Dividends</t>
    <phoneticPr fontId="1" type="noConversion"/>
  </si>
  <si>
    <t xml:space="preserve">    Addition to retained earnings</t>
    <phoneticPr fontId="1" type="noConversion"/>
  </si>
  <si>
    <t xml:space="preserve">    Current</t>
    <phoneticPr fontId="1" type="noConversion"/>
  </si>
  <si>
    <t xml:space="preserve">    Deferred</t>
    <phoneticPr fontId="1" type="noConversion"/>
  </si>
  <si>
    <t>Liabilities and Owner's Equity</t>
    <phoneticPr fontId="1" type="noConversion"/>
  </si>
  <si>
    <t>Current Assets</t>
    <phoneticPr fontId="1" type="noConversion"/>
  </si>
  <si>
    <t xml:space="preserve">   Cash and equivalents</t>
    <phoneticPr fontId="1" type="noConversion"/>
  </si>
  <si>
    <t xml:space="preserve">   Accounts receivable</t>
    <phoneticPr fontId="1" type="noConversion"/>
  </si>
  <si>
    <t xml:space="preserve">   Inventory</t>
    <phoneticPr fontId="1" type="noConversion"/>
  </si>
  <si>
    <t xml:space="preserve">      Total</t>
    <phoneticPr fontId="1" type="noConversion"/>
  </si>
  <si>
    <t>Current liabilities:</t>
    <phoneticPr fontId="1" type="noConversion"/>
  </si>
  <si>
    <t>Owners' Equity</t>
    <phoneticPr fontId="1" type="noConversion"/>
  </si>
  <si>
    <t xml:space="preserve">   Common stock and paid-in surplus</t>
    <phoneticPr fontId="1" type="noConversion"/>
  </si>
  <si>
    <t xml:space="preserve">   Retained earnings</t>
    <phoneticPr fontId="1" type="noConversion"/>
  </si>
  <si>
    <t xml:space="preserve">       Total</t>
    <phoneticPr fontId="1" type="noConversion"/>
  </si>
  <si>
    <t>change</t>
    <phoneticPr fontId="1" type="noConversion"/>
  </si>
  <si>
    <t>Sales</t>
    <phoneticPr fontId="1" type="noConversion"/>
  </si>
  <si>
    <t>Table 2.2 2019</t>
    <phoneticPr fontId="1" type="noConversion"/>
  </si>
  <si>
    <t xml:space="preserve">Common-size Income Statement </t>
    <phoneticPr fontId="1" type="noConversion"/>
  </si>
  <si>
    <t>Liquidity Ratios</t>
    <phoneticPr fontId="1" type="noConversion"/>
  </si>
  <si>
    <t>Quick</t>
    <phoneticPr fontId="1" type="noConversion"/>
  </si>
  <si>
    <t>Current</t>
    <phoneticPr fontId="1" type="noConversion"/>
  </si>
  <si>
    <t xml:space="preserve">Cash </t>
    <phoneticPr fontId="1" type="noConversion"/>
  </si>
  <si>
    <t>NWC to total asset</t>
    <phoneticPr fontId="1" type="noConversion"/>
  </si>
  <si>
    <t>Interval measure</t>
    <phoneticPr fontId="1" type="noConversion"/>
  </si>
  <si>
    <t xml:space="preserve">    NWC</t>
    <phoneticPr fontId="1" type="noConversion"/>
  </si>
  <si>
    <t>Long-term Solvency Ratios</t>
    <phoneticPr fontId="1" type="noConversion"/>
  </si>
  <si>
    <t>Asset Management Ratios</t>
    <phoneticPr fontId="1" type="noConversion"/>
  </si>
  <si>
    <t>Market Value Measure</t>
    <phoneticPr fontId="1" type="noConversion"/>
  </si>
  <si>
    <t xml:space="preserve">Total Debt </t>
    <phoneticPr fontId="1" type="noConversion"/>
  </si>
  <si>
    <t>Debt-Equity</t>
    <phoneticPr fontId="1" type="noConversion"/>
  </si>
  <si>
    <t>Equity multiplier</t>
    <phoneticPr fontId="1" type="noConversion"/>
  </si>
  <si>
    <t>Long-term debt</t>
    <phoneticPr fontId="1" type="noConversion"/>
  </si>
  <si>
    <t>Time interest earned</t>
    <phoneticPr fontId="1" type="noConversion"/>
  </si>
  <si>
    <t>Cash coverage</t>
    <phoneticPr fontId="1" type="noConversion"/>
  </si>
  <si>
    <t>Inventory turnover</t>
    <phoneticPr fontId="1" type="noConversion"/>
  </si>
  <si>
    <t>Days' sales in inventory</t>
    <phoneticPr fontId="1" type="noConversion"/>
  </si>
  <si>
    <t>Receivables turnover</t>
    <phoneticPr fontId="1" type="noConversion"/>
  </si>
  <si>
    <t>Days' sales in receivables</t>
    <phoneticPr fontId="1" type="noConversion"/>
  </si>
  <si>
    <t>Total asset turnover</t>
    <phoneticPr fontId="1" type="noConversion"/>
  </si>
  <si>
    <t>NWC turnover</t>
    <phoneticPr fontId="1" type="noConversion"/>
  </si>
  <si>
    <t>Fixed asset turnover</t>
    <phoneticPr fontId="1" type="noConversion"/>
  </si>
  <si>
    <t>Profiability measures</t>
    <phoneticPr fontId="1" type="noConversion"/>
  </si>
  <si>
    <t>Profit margin</t>
    <phoneticPr fontId="1" type="noConversion"/>
  </si>
  <si>
    <t>ROA</t>
    <phoneticPr fontId="1" type="noConversion"/>
  </si>
  <si>
    <t>ROE</t>
    <phoneticPr fontId="1" type="noConversion"/>
  </si>
  <si>
    <t>PE ratio</t>
    <phoneticPr fontId="1" type="noConversion"/>
  </si>
  <si>
    <t>M/B ratio</t>
    <phoneticPr fontId="1" type="noConversion"/>
  </si>
  <si>
    <t>Enterprise value</t>
    <phoneticPr fontId="1" type="noConversion"/>
  </si>
  <si>
    <t>EBITDA ratio</t>
    <phoneticPr fontId="1" type="noConversion"/>
  </si>
  <si>
    <t>Net fixed asset</t>
    <phoneticPr fontId="1" type="noConversion"/>
  </si>
  <si>
    <t>Shares outstanding</t>
    <phoneticPr fontId="1" type="noConversion"/>
  </si>
  <si>
    <t>EPS</t>
    <phoneticPr fontId="1" type="noConversion"/>
  </si>
  <si>
    <t>EBITDA</t>
    <phoneticPr fontId="1" type="noConversion"/>
  </si>
  <si>
    <t>Total liabilities and owners' equity</t>
    <phoneticPr fontId="1" type="noConversion"/>
  </si>
  <si>
    <r>
      <rPr>
        <b/>
        <sz val="20"/>
        <color theme="1"/>
        <rFont val="Calibri"/>
        <family val="2"/>
      </rPr>
      <t>Balance Sheet</t>
    </r>
    <r>
      <rPr>
        <sz val="11"/>
        <color theme="1"/>
        <rFont val="Calibri"/>
        <family val="2"/>
      </rPr>
      <t xml:space="preserve"> </t>
    </r>
    <phoneticPr fontId="1" type="noConversion"/>
  </si>
  <si>
    <t>NWC</t>
    <phoneticPr fontId="1" type="noConversion"/>
  </si>
  <si>
    <t>TD</t>
    <phoneticPr fontId="1" type="noConversion"/>
  </si>
  <si>
    <t xml:space="preserve">   other CA</t>
    <phoneticPr fontId="1" type="noConversion"/>
  </si>
  <si>
    <t xml:space="preserve">Income Statement </t>
    <phoneticPr fontId="1" type="noConversion"/>
  </si>
  <si>
    <t>Current Liability</t>
    <phoneticPr fontId="1" type="noConversion"/>
  </si>
  <si>
    <t xml:space="preserve">   A/P</t>
    <phoneticPr fontId="1" type="noConversion"/>
  </si>
  <si>
    <t xml:space="preserve">   N/P</t>
    <phoneticPr fontId="1" type="noConversion"/>
  </si>
  <si>
    <t xml:space="preserve">   Other CL</t>
    <phoneticPr fontId="1" type="noConversion"/>
  </si>
  <si>
    <t>LT Debt</t>
    <phoneticPr fontId="1" type="noConversion"/>
  </si>
  <si>
    <t>C/S</t>
    <phoneticPr fontId="1" type="noConversion"/>
  </si>
  <si>
    <t>Expenses</t>
    <phoneticPr fontId="1" type="noConversion"/>
  </si>
  <si>
    <t>Market price</t>
    <phoneticPr fontId="1" type="noConversion"/>
  </si>
  <si>
    <r>
      <rPr>
        <b/>
        <sz val="20"/>
        <color theme="1"/>
        <rFont val="맑은 고딕"/>
        <family val="3"/>
        <charset val="129"/>
        <scheme val="minor"/>
      </rPr>
      <t>Balance Sheet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</si>
  <si>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t>Long-term liabilties:</t>
    <phoneticPr fontId="1" type="noConversion"/>
  </si>
  <si>
    <t>Total liabilties and woners' equity</t>
    <phoneticPr fontId="1" type="noConversion"/>
  </si>
  <si>
    <t>Ratios (2019)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</si>
</sst>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);[Red]\(#,##0\)"/>
    <numFmt numFmtId="177" formatCode="0.0%"/>
    <numFmt numFmtId="178" formatCode="0.00_ "/>
    <numFmt numFmtId="179" formatCode="0.00_);[Red]\(0.00\)"/>
    <numFmt numFmtId="180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11"/>
      <color rgb="FF232A3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176" fontId="2" fillId="0" borderId="0" xfId="0" applyNumberFormat="1" applyFont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2" fillId="0" borderId="0" xfId="0" applyNumberFormat="1" applyFont="1" applyFill="1" applyAlignment="1">
      <alignment horizontal="right" vertical="center"/>
    </xf>
    <xf numFmtId="0" fontId="0" fillId="0" borderId="2" xfId="0" applyBorder="1">
      <alignment vertical="center"/>
    </xf>
    <xf numFmtId="176" fontId="2" fillId="0" borderId="2" xfId="0" applyNumberFormat="1" applyFont="1" applyBorder="1" applyAlignment="1">
      <alignment horizontal="right" vertical="center"/>
    </xf>
    <xf numFmtId="177" fontId="0" fillId="4" borderId="0" xfId="0" applyNumberFormat="1" applyFill="1">
      <alignment vertical="center"/>
    </xf>
    <xf numFmtId="177" fontId="0" fillId="4" borderId="2" xfId="0" applyNumberFormat="1" applyFill="1" applyBorder="1">
      <alignment vertical="center"/>
    </xf>
    <xf numFmtId="0" fontId="5" fillId="0" borderId="2" xfId="0" applyNumberFormat="1" applyFont="1" applyBorder="1" applyAlignment="1">
      <alignment horizontal="right" vertical="center"/>
    </xf>
    <xf numFmtId="0" fontId="5" fillId="4" borderId="2" xfId="0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0" xfId="0" applyFont="1" applyBorder="1">
      <alignment vertical="center"/>
    </xf>
    <xf numFmtId="3" fontId="5" fillId="0" borderId="0" xfId="0" applyNumberFormat="1" applyFont="1" applyAlignment="1">
      <alignment horizontal="right"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177" fontId="5" fillId="4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3" fontId="5" fillId="2" borderId="0" xfId="0" applyNumberFormat="1" applyFont="1" applyFill="1" applyAlignment="1">
      <alignment horizontal="right" vertical="center"/>
    </xf>
    <xf numFmtId="3" fontId="5" fillId="0" borderId="0" xfId="0" applyNumberFormat="1" applyFont="1" applyFill="1" applyAlignment="1">
      <alignment horizontal="right" vertical="center"/>
    </xf>
    <xf numFmtId="177" fontId="5" fillId="4" borderId="5" xfId="0" applyNumberFormat="1" applyFont="1" applyFill="1" applyBorder="1">
      <alignment vertical="center"/>
    </xf>
    <xf numFmtId="177" fontId="5" fillId="0" borderId="5" xfId="0" applyNumberFormat="1" applyFont="1" applyBorder="1">
      <alignment vertical="center"/>
    </xf>
    <xf numFmtId="0" fontId="7" fillId="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177" fontId="5" fillId="4" borderId="0" xfId="0" applyNumberFormat="1" applyFont="1" applyFill="1" applyBorder="1">
      <alignment vertical="center"/>
    </xf>
    <xf numFmtId="3" fontId="5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3" fontId="8" fillId="2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horizontal="right" vertical="center"/>
    </xf>
    <xf numFmtId="0" fontId="5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5" fillId="3" borderId="3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0" borderId="7" xfId="0" applyFont="1" applyBorder="1">
      <alignment vertical="center"/>
    </xf>
    <xf numFmtId="176" fontId="5" fillId="0" borderId="2" xfId="0" applyNumberFormat="1" applyFont="1" applyBorder="1" applyAlignment="1">
      <alignment horizontal="right" vertical="center"/>
    </xf>
    <xf numFmtId="179" fontId="5" fillId="0" borderId="0" xfId="0" applyNumberFormat="1" applyFont="1">
      <alignment vertical="center"/>
    </xf>
    <xf numFmtId="179" fontId="5" fillId="0" borderId="1" xfId="0" applyNumberFormat="1" applyFont="1" applyBorder="1">
      <alignment vertical="center"/>
    </xf>
    <xf numFmtId="0" fontId="5" fillId="0" borderId="1" xfId="0" applyFont="1" applyFill="1" applyBorder="1">
      <alignment vertical="center"/>
    </xf>
    <xf numFmtId="176" fontId="5" fillId="0" borderId="0" xfId="0" applyNumberFormat="1" applyFont="1" applyFill="1" applyBorder="1" applyAlignment="1">
      <alignment horizontal="right" vertical="center"/>
    </xf>
    <xf numFmtId="180" fontId="5" fillId="0" borderId="0" xfId="0" applyNumberFormat="1" applyFont="1">
      <alignment vertical="center"/>
    </xf>
    <xf numFmtId="179" fontId="5" fillId="0" borderId="0" xfId="0" quotePrefix="1" applyNumberFormat="1" applyFont="1">
      <alignment vertical="center"/>
    </xf>
    <xf numFmtId="176" fontId="5" fillId="0" borderId="0" xfId="0" applyNumberFormat="1" applyFont="1" applyFill="1" applyBorder="1">
      <alignment vertical="center"/>
    </xf>
    <xf numFmtId="0" fontId="5" fillId="3" borderId="0" xfId="0" applyFont="1" applyFill="1">
      <alignment vertical="center"/>
    </xf>
    <xf numFmtId="179" fontId="5" fillId="3" borderId="0" xfId="0" applyNumberFormat="1" applyFont="1" applyFill="1">
      <alignment vertical="center"/>
    </xf>
    <xf numFmtId="179" fontId="5" fillId="0" borderId="1" xfId="0" applyNumberFormat="1" applyFont="1" applyFill="1" applyBorder="1">
      <alignment vertical="center"/>
    </xf>
    <xf numFmtId="179" fontId="5" fillId="3" borderId="1" xfId="0" applyNumberFormat="1" applyFont="1" applyFill="1" applyBorder="1">
      <alignment vertical="center"/>
    </xf>
    <xf numFmtId="10" fontId="5" fillId="0" borderId="0" xfId="0" applyNumberFormat="1" applyFont="1">
      <alignment vertical="center"/>
    </xf>
    <xf numFmtId="0" fontId="5" fillId="0" borderId="0" xfId="0" applyFont="1" applyFill="1" applyBorder="1">
      <alignment vertical="center"/>
    </xf>
    <xf numFmtId="3" fontId="5" fillId="0" borderId="0" xfId="0" applyNumberFormat="1" applyFont="1" applyFill="1" applyBorder="1">
      <alignment vertical="center"/>
    </xf>
    <xf numFmtId="178" fontId="5" fillId="0" borderId="0" xfId="0" applyNumberFormat="1" applyFont="1" applyFill="1" applyBorder="1">
      <alignment vertical="center"/>
    </xf>
    <xf numFmtId="0" fontId="5" fillId="0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1C50-F3DB-446C-A694-6503F0BA8BE3}">
  <dimension ref="A1:F17"/>
  <sheetViews>
    <sheetView topLeftCell="A4" workbookViewId="0">
      <selection activeCell="F4" sqref="F4"/>
    </sheetView>
  </sheetViews>
  <sheetFormatPr defaultRowHeight="17" x14ac:dyDescent="0.45"/>
  <cols>
    <col min="1" max="1" width="30.25" bestFit="1" customWidth="1"/>
  </cols>
  <sheetData>
    <row r="1" spans="1:6" ht="30.5" thickBot="1" x14ac:dyDescent="0.5">
      <c r="A1" s="72" t="s">
        <v>81</v>
      </c>
      <c r="B1" s="72"/>
      <c r="C1" s="72"/>
      <c r="D1" s="72"/>
      <c r="E1" s="72"/>
      <c r="F1" s="72"/>
    </row>
    <row r="2" spans="1:6" x14ac:dyDescent="0.45">
      <c r="A2" s="45" t="s">
        <v>4</v>
      </c>
      <c r="B2" s="10">
        <v>2018</v>
      </c>
      <c r="C2" s="10">
        <v>2019</v>
      </c>
      <c r="D2" s="11">
        <v>2018</v>
      </c>
      <c r="E2" s="11">
        <v>2019</v>
      </c>
      <c r="F2" s="12" t="s">
        <v>28</v>
      </c>
    </row>
    <row r="3" spans="1:6" x14ac:dyDescent="0.45">
      <c r="A3" s="13" t="s">
        <v>18</v>
      </c>
      <c r="B3" s="14"/>
      <c r="C3" s="14"/>
      <c r="D3" s="15"/>
      <c r="E3" s="15"/>
      <c r="F3" s="16"/>
    </row>
    <row r="4" spans="1:6" x14ac:dyDescent="0.45">
      <c r="A4" s="13" t="s">
        <v>19</v>
      </c>
      <c r="B4" s="14">
        <v>157</v>
      </c>
      <c r="C4" s="14">
        <v>198</v>
      </c>
      <c r="D4" s="17">
        <f>B4/$B$9</f>
        <v>9.012629161882893E-2</v>
      </c>
      <c r="E4" s="17">
        <f>C4/$B$9</f>
        <v>0.11366245694603903</v>
      </c>
      <c r="F4" s="18">
        <f>E4-D4</f>
        <v>2.3536165327210104E-2</v>
      </c>
    </row>
    <row r="5" spans="1:6" x14ac:dyDescent="0.45">
      <c r="A5" s="13" t="s">
        <v>20</v>
      </c>
      <c r="B5" s="14">
        <v>270</v>
      </c>
      <c r="C5" s="14">
        <v>294</v>
      </c>
      <c r="D5" s="17">
        <f t="shared" ref="D5:E8" si="0">B5/$B$9</f>
        <v>0.1549942594718714</v>
      </c>
      <c r="E5" s="17">
        <f t="shared" si="0"/>
        <v>0.1687715269804822</v>
      </c>
      <c r="F5" s="18">
        <f t="shared" ref="F5:F9" si="1">E5-D5</f>
        <v>1.3777267508610802E-2</v>
      </c>
    </row>
    <row r="6" spans="1:6" x14ac:dyDescent="0.45">
      <c r="A6" s="13" t="s">
        <v>21</v>
      </c>
      <c r="B6" s="14">
        <v>280</v>
      </c>
      <c r="C6" s="14">
        <v>269</v>
      </c>
      <c r="D6" s="17">
        <f t="shared" si="0"/>
        <v>0.16073478760045926</v>
      </c>
      <c r="E6" s="17">
        <f t="shared" si="0"/>
        <v>0.15442020665901263</v>
      </c>
      <c r="F6" s="18">
        <f t="shared" si="1"/>
        <v>-6.3145809414466292E-3</v>
      </c>
    </row>
    <row r="7" spans="1:6" x14ac:dyDescent="0.45">
      <c r="A7" s="13" t="s">
        <v>22</v>
      </c>
      <c r="B7" s="19">
        <f>SUM(B4:B6)</f>
        <v>707</v>
      </c>
      <c r="C7" s="19">
        <f>SUM(C4:C6)</f>
        <v>761</v>
      </c>
      <c r="D7" s="17">
        <f t="shared" si="0"/>
        <v>0.40585533869115958</v>
      </c>
      <c r="E7" s="17">
        <f t="shared" si="0"/>
        <v>0.43685419058553387</v>
      </c>
      <c r="F7" s="18">
        <f t="shared" si="1"/>
        <v>3.0998851894374291E-2</v>
      </c>
    </row>
    <row r="8" spans="1:6" x14ac:dyDescent="0.45">
      <c r="A8" s="13" t="s">
        <v>63</v>
      </c>
      <c r="B8" s="20">
        <v>1035</v>
      </c>
      <c r="C8" s="20">
        <v>1118</v>
      </c>
      <c r="D8" s="17">
        <f t="shared" si="0"/>
        <v>0.59414466130884036</v>
      </c>
      <c r="E8" s="17">
        <f t="shared" si="0"/>
        <v>0.64179104477611937</v>
      </c>
      <c r="F8" s="18">
        <f t="shared" si="1"/>
        <v>4.7646383467279008E-2</v>
      </c>
    </row>
    <row r="9" spans="1:6" ht="17.5" thickBot="1" x14ac:dyDescent="0.5">
      <c r="A9" s="13" t="s">
        <v>5</v>
      </c>
      <c r="B9" s="19">
        <f>B7+B8</f>
        <v>1742</v>
      </c>
      <c r="C9" s="19">
        <f>C7+C8</f>
        <v>1879</v>
      </c>
      <c r="D9" s="21">
        <f>B9/$B$9</f>
        <v>1</v>
      </c>
      <c r="E9" s="21">
        <f>C9/$C$9</f>
        <v>1</v>
      </c>
      <c r="F9" s="22">
        <f t="shared" si="1"/>
        <v>0</v>
      </c>
    </row>
    <row r="10" spans="1:6" x14ac:dyDescent="0.45">
      <c r="A10" s="23" t="s">
        <v>17</v>
      </c>
      <c r="B10" s="24"/>
      <c r="C10" s="24"/>
      <c r="D10" s="17"/>
      <c r="E10" s="17"/>
      <c r="F10" s="18"/>
    </row>
    <row r="11" spans="1:6" x14ac:dyDescent="0.45">
      <c r="A11" s="25" t="s">
        <v>23</v>
      </c>
      <c r="B11" s="26">
        <v>455</v>
      </c>
      <c r="C11" s="27">
        <v>490</v>
      </c>
      <c r="D11" s="17"/>
      <c r="E11" s="17"/>
      <c r="F11" s="18"/>
    </row>
    <row r="12" spans="1:6" x14ac:dyDescent="0.45">
      <c r="A12" s="25" t="s">
        <v>82</v>
      </c>
      <c r="B12" s="29">
        <v>562</v>
      </c>
      <c r="C12" s="30">
        <v>584</v>
      </c>
      <c r="D12" s="28">
        <f>B12/$B$17</f>
        <v>0.32261768082663606</v>
      </c>
      <c r="E12" s="28">
        <f>C12/$C$17</f>
        <v>0.31080361894624803</v>
      </c>
      <c r="F12" s="18">
        <f t="shared" ref="F12:F17" si="2">E12-D12</f>
        <v>-1.1814061880388027E-2</v>
      </c>
    </row>
    <row r="13" spans="1:6" x14ac:dyDescent="0.45">
      <c r="A13" s="25" t="s">
        <v>24</v>
      </c>
      <c r="B13" s="30"/>
      <c r="C13" s="30"/>
      <c r="D13" s="28"/>
      <c r="E13" s="28"/>
      <c r="F13" s="18"/>
    </row>
    <row r="14" spans="1:6" x14ac:dyDescent="0.45">
      <c r="A14" s="25" t="s">
        <v>25</v>
      </c>
      <c r="B14" s="30">
        <v>378</v>
      </c>
      <c r="C14" s="29">
        <v>415</v>
      </c>
      <c r="D14" s="28">
        <f>B14/$B$17</f>
        <v>0.21699196326061998</v>
      </c>
      <c r="E14" s="28">
        <f>C14/$C$17</f>
        <v>0.22086216072378925</v>
      </c>
      <c r="F14" s="18">
        <f t="shared" si="2"/>
        <v>3.8701974631692726E-3</v>
      </c>
    </row>
    <row r="15" spans="1:6" x14ac:dyDescent="0.45">
      <c r="A15" s="25" t="s">
        <v>26</v>
      </c>
      <c r="B15" s="30">
        <v>347</v>
      </c>
      <c r="C15" s="29">
        <v>390</v>
      </c>
      <c r="D15" s="28">
        <f t="shared" ref="D15:D17" si="3">B15/$B$17</f>
        <v>0.19919632606199769</v>
      </c>
      <c r="E15" s="28">
        <f t="shared" ref="E15:E17" si="4">C15/$C$17</f>
        <v>0.20755721128259713</v>
      </c>
      <c r="F15" s="18">
        <f t="shared" si="2"/>
        <v>8.3608852205994399E-3</v>
      </c>
    </row>
    <row r="16" spans="1:6" x14ac:dyDescent="0.45">
      <c r="A16" s="13" t="s">
        <v>27</v>
      </c>
      <c r="B16" s="31">
        <f>B14+B15</f>
        <v>725</v>
      </c>
      <c r="C16" s="31">
        <f>C14+C15</f>
        <v>805</v>
      </c>
      <c r="D16" s="28">
        <f t="shared" si="3"/>
        <v>0.4161882893226177</v>
      </c>
      <c r="E16" s="28">
        <f t="shared" si="4"/>
        <v>0.42841937200638636</v>
      </c>
      <c r="F16" s="18">
        <f t="shared" si="2"/>
        <v>1.2231082683768657E-2</v>
      </c>
    </row>
    <row r="17" spans="1:6" x14ac:dyDescent="0.45">
      <c r="A17" s="25" t="s">
        <v>83</v>
      </c>
      <c r="B17" s="31">
        <f>B11+B12+B16</f>
        <v>1742</v>
      </c>
      <c r="C17" s="31">
        <f>C11+C12+C16</f>
        <v>1879</v>
      </c>
      <c r="D17" s="28">
        <f t="shared" si="3"/>
        <v>1</v>
      </c>
      <c r="E17" s="28">
        <f t="shared" si="4"/>
        <v>1</v>
      </c>
      <c r="F17" s="18">
        <f t="shared" si="2"/>
        <v>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75C1-43D3-447D-8184-5C23B9ECFFD0}">
  <dimension ref="A1:C18"/>
  <sheetViews>
    <sheetView workbookViewId="0">
      <selection activeCell="F14" sqref="F14"/>
    </sheetView>
  </sheetViews>
  <sheetFormatPr defaultRowHeight="17" x14ac:dyDescent="0.45"/>
  <cols>
    <col min="1" max="1" width="38.6640625" bestFit="1" customWidth="1"/>
    <col min="2" max="2" width="10.08203125" customWidth="1"/>
  </cols>
  <sheetData>
    <row r="1" spans="1:3" ht="30" x14ac:dyDescent="0.45">
      <c r="A1" s="73" t="s">
        <v>31</v>
      </c>
      <c r="B1" s="73"/>
      <c r="C1" s="73"/>
    </row>
    <row r="2" spans="1:3" ht="18" thickBot="1" x14ac:dyDescent="0.5">
      <c r="A2" s="74" t="s">
        <v>30</v>
      </c>
      <c r="B2" s="74"/>
      <c r="C2" s="74"/>
    </row>
    <row r="3" spans="1:3" x14ac:dyDescent="0.45">
      <c r="A3" s="6" t="s">
        <v>29</v>
      </c>
      <c r="B3" s="7">
        <v>2262</v>
      </c>
      <c r="C3" s="9">
        <f>B3/$B$3</f>
        <v>1</v>
      </c>
    </row>
    <row r="4" spans="1:3" x14ac:dyDescent="0.45">
      <c r="A4" t="s">
        <v>7</v>
      </c>
      <c r="B4" s="1">
        <v>327</v>
      </c>
      <c r="C4" s="8">
        <f t="shared" ref="C4:C18" si="0">B4/$B$3</f>
        <v>0.14456233421750664</v>
      </c>
    </row>
    <row r="5" spans="1:3" x14ac:dyDescent="0.45">
      <c r="A5" t="s">
        <v>6</v>
      </c>
      <c r="B5" s="2">
        <f>B3-B4</f>
        <v>1935</v>
      </c>
      <c r="C5" s="8">
        <f t="shared" si="0"/>
        <v>0.85543766578249336</v>
      </c>
    </row>
    <row r="6" spans="1:3" x14ac:dyDescent="0.45">
      <c r="A6" t="s">
        <v>0</v>
      </c>
      <c r="B6" s="1">
        <v>1715</v>
      </c>
      <c r="C6" s="8">
        <f t="shared" si="0"/>
        <v>0.75817860300618922</v>
      </c>
    </row>
    <row r="7" spans="1:3" x14ac:dyDescent="0.45">
      <c r="A7" t="s">
        <v>3</v>
      </c>
      <c r="B7" s="1">
        <v>90</v>
      </c>
      <c r="C7" s="8">
        <f t="shared" si="0"/>
        <v>3.9787798408488062E-2</v>
      </c>
    </row>
    <row r="8" spans="1:3" x14ac:dyDescent="0.45">
      <c r="A8" t="s">
        <v>8</v>
      </c>
      <c r="B8" s="3">
        <f>B3-B4-B6-B7</f>
        <v>130</v>
      </c>
      <c r="C8" s="8">
        <f t="shared" si="0"/>
        <v>5.7471264367816091E-2</v>
      </c>
    </row>
    <row r="9" spans="1:3" x14ac:dyDescent="0.45">
      <c r="A9" t="s">
        <v>9</v>
      </c>
      <c r="B9" s="4">
        <v>29</v>
      </c>
      <c r="C9" s="8">
        <f t="shared" si="0"/>
        <v>1.282051282051282E-2</v>
      </c>
    </row>
    <row r="10" spans="1:3" x14ac:dyDescent="0.45">
      <c r="A10" t="s">
        <v>1</v>
      </c>
      <c r="B10" s="2">
        <f>B8+B9</f>
        <v>159</v>
      </c>
      <c r="C10" s="8">
        <f t="shared" si="0"/>
        <v>7.0291777188328908E-2</v>
      </c>
    </row>
    <row r="11" spans="1:3" x14ac:dyDescent="0.45">
      <c r="A11" t="s">
        <v>10</v>
      </c>
      <c r="B11" s="1">
        <v>49</v>
      </c>
      <c r="C11" s="8">
        <f t="shared" si="0"/>
        <v>2.1662245800176835E-2</v>
      </c>
    </row>
    <row r="12" spans="1:3" x14ac:dyDescent="0.45">
      <c r="A12" t="s">
        <v>11</v>
      </c>
      <c r="B12" s="2">
        <f>B10-B11</f>
        <v>110</v>
      </c>
      <c r="C12" s="8">
        <f t="shared" si="0"/>
        <v>4.8629531388152077E-2</v>
      </c>
    </row>
    <row r="13" spans="1:3" x14ac:dyDescent="0.45">
      <c r="A13" t="s">
        <v>12</v>
      </c>
      <c r="B13" s="2">
        <f>ROUNDUP(B12*0.21,0)</f>
        <v>24</v>
      </c>
      <c r="C13" s="8">
        <f t="shared" si="0"/>
        <v>1.0610079575596816E-2</v>
      </c>
    </row>
    <row r="14" spans="1:3" x14ac:dyDescent="0.45">
      <c r="A14" t="s">
        <v>15</v>
      </c>
      <c r="B14" s="5">
        <v>15</v>
      </c>
      <c r="C14" s="8">
        <f t="shared" si="0"/>
        <v>6.6312997347480109E-3</v>
      </c>
    </row>
    <row r="15" spans="1:3" x14ac:dyDescent="0.45">
      <c r="A15" t="s">
        <v>16</v>
      </c>
      <c r="B15" s="2">
        <f>B13-B14</f>
        <v>9</v>
      </c>
      <c r="C15" s="8">
        <f t="shared" si="0"/>
        <v>3.9787798408488064E-3</v>
      </c>
    </row>
    <row r="16" spans="1:3" x14ac:dyDescent="0.45">
      <c r="A16" t="s">
        <v>2</v>
      </c>
      <c r="B16" s="2">
        <f>B12-B13</f>
        <v>86</v>
      </c>
      <c r="C16" s="8">
        <f t="shared" si="0"/>
        <v>3.8019451812555262E-2</v>
      </c>
    </row>
    <row r="17" spans="1:3" x14ac:dyDescent="0.45">
      <c r="A17" t="s">
        <v>14</v>
      </c>
      <c r="B17" s="1">
        <v>43</v>
      </c>
      <c r="C17" s="8">
        <f t="shared" si="0"/>
        <v>1.9009725906277631E-2</v>
      </c>
    </row>
    <row r="18" spans="1:3" x14ac:dyDescent="0.45">
      <c r="A18" t="s">
        <v>13</v>
      </c>
      <c r="B18" s="1">
        <v>43</v>
      </c>
      <c r="C18" s="8">
        <f t="shared" si="0"/>
        <v>1.9009725906277631E-2</v>
      </c>
    </row>
  </sheetData>
  <mergeCells count="2">
    <mergeCell ref="A1:C1"/>
    <mergeCell ref="A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823B-A0DE-410A-8542-08F15C6ECF3A}">
  <dimension ref="A1:I24"/>
  <sheetViews>
    <sheetView tabSelected="1" workbookViewId="0">
      <selection activeCell="K3" sqref="K3"/>
    </sheetView>
  </sheetViews>
  <sheetFormatPr defaultRowHeight="17" x14ac:dyDescent="0.45"/>
  <cols>
    <col min="1" max="1" width="20.9140625" customWidth="1"/>
    <col min="2" max="2" width="9.9140625" customWidth="1"/>
    <col min="3" max="3" width="22.25" customWidth="1"/>
    <col min="4" max="4" width="9.83203125" customWidth="1"/>
    <col min="5" max="5" width="17.9140625" customWidth="1"/>
    <col min="7" max="7" width="10.4140625" customWidth="1"/>
    <col min="8" max="8" width="21.08203125" customWidth="1"/>
    <col min="9" max="9" width="10.4140625" customWidth="1"/>
  </cols>
  <sheetData>
    <row r="1" spans="1:9" ht="26.5" thickBot="1" x14ac:dyDescent="0.5">
      <c r="A1" s="66" t="s">
        <v>84</v>
      </c>
      <c r="B1" s="66"/>
      <c r="C1" s="66"/>
      <c r="D1" s="66"/>
      <c r="E1" s="38" t="s">
        <v>68</v>
      </c>
      <c r="F1" s="39"/>
      <c r="G1" s="39"/>
      <c r="H1" s="67" t="s">
        <v>72</v>
      </c>
      <c r="I1" s="68"/>
    </row>
    <row r="2" spans="1:9" x14ac:dyDescent="0.45">
      <c r="A2" s="46" t="s">
        <v>32</v>
      </c>
      <c r="B2" s="46"/>
      <c r="C2" s="47" t="s">
        <v>40</v>
      </c>
      <c r="D2" s="46"/>
      <c r="E2" s="33" t="s">
        <v>4</v>
      </c>
      <c r="F2" s="10">
        <v>2018</v>
      </c>
      <c r="G2" s="10">
        <v>2019</v>
      </c>
      <c r="H2" s="48" t="s">
        <v>29</v>
      </c>
      <c r="I2" s="49">
        <v>2262</v>
      </c>
    </row>
    <row r="3" spans="1:9" x14ac:dyDescent="0.45">
      <c r="A3" s="16" t="s">
        <v>34</v>
      </c>
      <c r="B3" s="50">
        <f>G8/G16</f>
        <v>1.5530612244897959</v>
      </c>
      <c r="C3" s="51" t="s">
        <v>48</v>
      </c>
      <c r="D3" s="50">
        <f>I5/G6</f>
        <v>6.3754646840148697</v>
      </c>
      <c r="E3" s="34" t="s">
        <v>18</v>
      </c>
      <c r="F3" s="35"/>
      <c r="G3" s="35"/>
      <c r="H3" s="52" t="s">
        <v>7</v>
      </c>
      <c r="I3" s="53">
        <v>327</v>
      </c>
    </row>
    <row r="4" spans="1:9" x14ac:dyDescent="0.45">
      <c r="A4" s="16" t="s">
        <v>33</v>
      </c>
      <c r="B4" s="50">
        <f>(G8-G6)/G16</f>
        <v>1.0040816326530613</v>
      </c>
      <c r="C4" s="51" t="s">
        <v>49</v>
      </c>
      <c r="D4" s="54">
        <f>365/D3</f>
        <v>57.250728862973766</v>
      </c>
      <c r="E4" s="34" t="s">
        <v>19</v>
      </c>
      <c r="F4" s="35">
        <v>157</v>
      </c>
      <c r="G4" s="35">
        <v>198</v>
      </c>
      <c r="H4" s="52" t="s">
        <v>6</v>
      </c>
      <c r="I4" s="53">
        <f>I2-I3</f>
        <v>1935</v>
      </c>
    </row>
    <row r="5" spans="1:9" x14ac:dyDescent="0.45">
      <c r="A5" s="16" t="s">
        <v>35</v>
      </c>
      <c r="B5" s="50">
        <f>G4/G16</f>
        <v>0.40408163265306124</v>
      </c>
      <c r="C5" s="51" t="s">
        <v>50</v>
      </c>
      <c r="D5" s="54">
        <f>I2/G5</f>
        <v>7.6938775510204085</v>
      </c>
      <c r="E5" s="34" t="s">
        <v>20</v>
      </c>
      <c r="F5" s="35">
        <v>270</v>
      </c>
      <c r="G5" s="35">
        <v>294</v>
      </c>
      <c r="H5" s="52" t="s">
        <v>0</v>
      </c>
      <c r="I5" s="53">
        <v>1715</v>
      </c>
    </row>
    <row r="6" spans="1:9" x14ac:dyDescent="0.45">
      <c r="A6" s="16" t="s">
        <v>36</v>
      </c>
      <c r="B6" s="50">
        <f>B7/G10</f>
        <v>0.14422565194252263</v>
      </c>
      <c r="C6" s="51" t="s">
        <v>51</v>
      </c>
      <c r="D6" s="54">
        <f>365/D5</f>
        <v>47.440318302387269</v>
      </c>
      <c r="E6" s="34" t="s">
        <v>21</v>
      </c>
      <c r="F6" s="35">
        <v>280</v>
      </c>
      <c r="G6" s="35">
        <v>269</v>
      </c>
      <c r="H6" s="52" t="s">
        <v>79</v>
      </c>
      <c r="I6" s="53">
        <v>0</v>
      </c>
    </row>
    <row r="7" spans="1:9" x14ac:dyDescent="0.45">
      <c r="A7" s="16" t="s">
        <v>38</v>
      </c>
      <c r="B7" s="55">
        <f>G8-G16</f>
        <v>271</v>
      </c>
      <c r="C7" s="51" t="s">
        <v>52</v>
      </c>
      <c r="D7" s="50">
        <f>I2/G10</f>
        <v>1.2038318254390634</v>
      </c>
      <c r="E7" s="34" t="s">
        <v>71</v>
      </c>
      <c r="F7" s="35">
        <v>0</v>
      </c>
      <c r="G7" s="35">
        <v>0</v>
      </c>
      <c r="H7" s="52" t="s">
        <v>3</v>
      </c>
      <c r="I7" s="53">
        <v>90</v>
      </c>
    </row>
    <row r="8" spans="1:9" x14ac:dyDescent="0.45">
      <c r="A8" s="16" t="s">
        <v>37</v>
      </c>
      <c r="B8" s="50">
        <f>G8/((I5+I6)/365)</f>
        <v>161.96209912536443</v>
      </c>
      <c r="C8" s="51" t="s">
        <v>53</v>
      </c>
      <c r="D8" s="50">
        <f>I2/B7</f>
        <v>8.3468634686346856</v>
      </c>
      <c r="E8" s="43" t="s">
        <v>22</v>
      </c>
      <c r="F8" s="35">
        <f>SUM(F4:F7)</f>
        <v>707</v>
      </c>
      <c r="G8" s="35">
        <f>SUM(G4:G7)</f>
        <v>761</v>
      </c>
      <c r="H8" s="52" t="s">
        <v>8</v>
      </c>
      <c r="I8" s="56">
        <f>I2-I3-I5-I7</f>
        <v>130</v>
      </c>
    </row>
    <row r="9" spans="1:9" x14ac:dyDescent="0.45">
      <c r="A9" s="57" t="s">
        <v>39</v>
      </c>
      <c r="B9" s="58"/>
      <c r="C9" s="59" t="s">
        <v>54</v>
      </c>
      <c r="D9" s="50">
        <f>I2/G9</f>
        <v>2.0232558139534884</v>
      </c>
      <c r="E9" s="34" t="s">
        <v>63</v>
      </c>
      <c r="F9" s="35">
        <v>1035</v>
      </c>
      <c r="G9" s="35">
        <v>1118</v>
      </c>
      <c r="H9" s="52" t="s">
        <v>9</v>
      </c>
      <c r="I9" s="56">
        <v>29</v>
      </c>
    </row>
    <row r="10" spans="1:9" ht="17.5" thickBot="1" x14ac:dyDescent="0.5">
      <c r="A10" s="16" t="s">
        <v>42</v>
      </c>
      <c r="B10" s="50">
        <f>(G10-G18)/G10</f>
        <v>0.57158062799361364</v>
      </c>
      <c r="C10" s="60" t="s">
        <v>55</v>
      </c>
      <c r="D10" s="58"/>
      <c r="E10" s="43" t="s">
        <v>5</v>
      </c>
      <c r="F10" s="35">
        <f>F8+F9</f>
        <v>1742</v>
      </c>
      <c r="G10" s="35">
        <f>G8+G9</f>
        <v>1879</v>
      </c>
      <c r="H10" s="52" t="s">
        <v>1</v>
      </c>
      <c r="I10" s="53">
        <f>I2-I3-I5-I7+I9</f>
        <v>159</v>
      </c>
    </row>
    <row r="11" spans="1:9" x14ac:dyDescent="0.45">
      <c r="A11" s="16" t="s">
        <v>43</v>
      </c>
      <c r="B11" s="50">
        <f>G22/G18</f>
        <v>1.3341614906832298</v>
      </c>
      <c r="C11" s="51" t="s">
        <v>56</v>
      </c>
      <c r="D11" s="61">
        <f>I16/I2</f>
        <v>3.8019451812555262E-2</v>
      </c>
      <c r="E11" s="69" t="s">
        <v>17</v>
      </c>
      <c r="F11" s="70"/>
      <c r="G11" s="71"/>
      <c r="H11" s="52" t="s">
        <v>10</v>
      </c>
      <c r="I11" s="53">
        <v>49</v>
      </c>
    </row>
    <row r="12" spans="1:9" x14ac:dyDescent="0.45">
      <c r="A12" s="16" t="s">
        <v>44</v>
      </c>
      <c r="B12" s="50">
        <f>1+B11</f>
        <v>2.33416149068323</v>
      </c>
      <c r="C12" s="51" t="s">
        <v>57</v>
      </c>
      <c r="D12" s="61">
        <f>I16/G10</f>
        <v>4.5769026077700906E-2</v>
      </c>
      <c r="E12" s="34" t="s">
        <v>73</v>
      </c>
      <c r="F12" s="16"/>
      <c r="G12" s="16"/>
      <c r="H12" s="52" t="s">
        <v>11</v>
      </c>
      <c r="I12" s="53">
        <f>I10-I11</f>
        <v>110</v>
      </c>
    </row>
    <row r="13" spans="1:9" x14ac:dyDescent="0.45">
      <c r="A13" s="16" t="s">
        <v>45</v>
      </c>
      <c r="B13" s="61">
        <f>G17/(G17+G18)</f>
        <v>0.42044636429085674</v>
      </c>
      <c r="C13" s="51" t="s">
        <v>58</v>
      </c>
      <c r="D13" s="61">
        <f>I16/G18</f>
        <v>0.10683229813664596</v>
      </c>
      <c r="E13" s="44" t="s">
        <v>74</v>
      </c>
      <c r="F13" s="40">
        <v>455</v>
      </c>
      <c r="G13" s="41">
        <v>490</v>
      </c>
      <c r="H13" s="52" t="s">
        <v>12</v>
      </c>
      <c r="I13" s="53">
        <f>ROUNDUP(I12*0.21,0)</f>
        <v>24</v>
      </c>
    </row>
    <row r="14" spans="1:9" x14ac:dyDescent="0.45">
      <c r="A14" s="16" t="s">
        <v>46</v>
      </c>
      <c r="B14" s="50">
        <f>I10/I11</f>
        <v>3.2448979591836733</v>
      </c>
      <c r="C14" s="60" t="s">
        <v>41</v>
      </c>
      <c r="D14" s="58"/>
      <c r="E14" s="36" t="s">
        <v>75</v>
      </c>
      <c r="F14" s="42">
        <v>0</v>
      </c>
      <c r="G14" s="35">
        <v>0</v>
      </c>
      <c r="H14" s="52" t="s">
        <v>15</v>
      </c>
      <c r="I14" s="53">
        <v>15</v>
      </c>
    </row>
    <row r="15" spans="1:9" x14ac:dyDescent="0.45">
      <c r="A15" s="16" t="s">
        <v>47</v>
      </c>
      <c r="B15" s="50">
        <f>(I10+I7)/I11</f>
        <v>5.0816326530612246</v>
      </c>
      <c r="C15" s="51" t="s">
        <v>59</v>
      </c>
      <c r="D15" s="50">
        <f>I20/I22</f>
        <v>7.9749999999999988</v>
      </c>
      <c r="E15" s="36" t="s">
        <v>76</v>
      </c>
      <c r="F15" s="42">
        <v>0</v>
      </c>
      <c r="G15" s="42">
        <v>0</v>
      </c>
      <c r="H15" s="52" t="s">
        <v>16</v>
      </c>
      <c r="I15" s="53">
        <f>I13-I14</f>
        <v>9</v>
      </c>
    </row>
    <row r="16" spans="1:9" x14ac:dyDescent="0.45">
      <c r="A16" s="16"/>
      <c r="B16" s="50"/>
      <c r="C16" s="59" t="s">
        <v>60</v>
      </c>
      <c r="D16" s="50">
        <f>I20/(G18/I21)</f>
        <v>0.85198757763975153</v>
      </c>
      <c r="E16" s="36" t="s">
        <v>22</v>
      </c>
      <c r="F16" s="35">
        <f>SUM(F13:F15)</f>
        <v>455</v>
      </c>
      <c r="G16" s="35">
        <f>SUM(G13:G15)</f>
        <v>490</v>
      </c>
      <c r="H16" s="52" t="s">
        <v>2</v>
      </c>
      <c r="I16" s="53">
        <f>I12-I13</f>
        <v>86</v>
      </c>
    </row>
    <row r="17" spans="1:9" x14ac:dyDescent="0.45">
      <c r="A17" s="16"/>
      <c r="B17" s="50"/>
      <c r="C17" s="59" t="s">
        <v>61</v>
      </c>
      <c r="D17" s="54">
        <f>I20*I21+G22-G4</f>
        <v>1561.85</v>
      </c>
      <c r="E17" s="36" t="s">
        <v>77</v>
      </c>
      <c r="F17" s="35">
        <v>562</v>
      </c>
      <c r="G17" s="42">
        <v>584</v>
      </c>
      <c r="H17" s="52" t="s">
        <v>14</v>
      </c>
      <c r="I17" s="53">
        <v>43</v>
      </c>
    </row>
    <row r="18" spans="1:9" x14ac:dyDescent="0.45">
      <c r="A18" s="16"/>
      <c r="B18" s="16"/>
      <c r="C18" s="59" t="s">
        <v>62</v>
      </c>
      <c r="D18" s="50">
        <f>D17/I23</f>
        <v>6.2724899598393566</v>
      </c>
      <c r="E18" s="34" t="s">
        <v>78</v>
      </c>
      <c r="F18" s="42">
        <v>725</v>
      </c>
      <c r="G18" s="42">
        <v>805</v>
      </c>
      <c r="H18" s="52" t="s">
        <v>13</v>
      </c>
      <c r="I18" s="53">
        <v>43</v>
      </c>
    </row>
    <row r="19" spans="1:9" x14ac:dyDescent="0.45">
      <c r="A19" s="16"/>
      <c r="B19" s="16"/>
      <c r="C19" s="16"/>
      <c r="D19" s="16"/>
      <c r="E19" s="36" t="s">
        <v>67</v>
      </c>
      <c r="F19" s="42">
        <f>F16+F17+F18</f>
        <v>1742</v>
      </c>
      <c r="G19" s="42">
        <f>G16+G17+G18</f>
        <v>1879</v>
      </c>
      <c r="H19" s="52"/>
      <c r="I19" s="62"/>
    </row>
    <row r="20" spans="1:9" x14ac:dyDescent="0.45">
      <c r="A20" s="16"/>
      <c r="B20" s="16"/>
      <c r="C20" s="16"/>
      <c r="D20" s="16"/>
      <c r="E20" s="34"/>
      <c r="F20" s="62"/>
      <c r="G20" s="62"/>
      <c r="H20" s="34" t="s">
        <v>80</v>
      </c>
      <c r="I20" s="50">
        <v>23.65</v>
      </c>
    </row>
    <row r="21" spans="1:9" x14ac:dyDescent="0.45">
      <c r="A21" s="16"/>
      <c r="B21" s="16"/>
      <c r="C21" s="16"/>
      <c r="D21" s="16"/>
      <c r="E21" s="37" t="s">
        <v>69</v>
      </c>
      <c r="F21" s="32"/>
      <c r="G21" s="63">
        <f>G8-G16</f>
        <v>271</v>
      </c>
      <c r="H21" s="52" t="s">
        <v>64</v>
      </c>
      <c r="I21" s="64">
        <v>29</v>
      </c>
    </row>
    <row r="22" spans="1:9" x14ac:dyDescent="0.45">
      <c r="A22" s="16"/>
      <c r="B22" s="16"/>
      <c r="C22" s="16"/>
      <c r="D22" s="16"/>
      <c r="E22" s="37" t="s">
        <v>70</v>
      </c>
      <c r="F22" s="32"/>
      <c r="G22" s="63">
        <f>G16+G17</f>
        <v>1074</v>
      </c>
      <c r="H22" s="52" t="s">
        <v>65</v>
      </c>
      <c r="I22" s="64">
        <f>I16/I21</f>
        <v>2.9655172413793105</v>
      </c>
    </row>
    <row r="23" spans="1:9" x14ac:dyDescent="0.45">
      <c r="A23" s="16"/>
      <c r="B23" s="16"/>
      <c r="C23" s="16"/>
      <c r="D23" s="16"/>
      <c r="E23" s="16"/>
      <c r="F23" s="65"/>
      <c r="G23" s="65"/>
      <c r="H23" s="52" t="s">
        <v>66</v>
      </c>
      <c r="I23" s="64">
        <f>I10+I7</f>
        <v>249</v>
      </c>
    </row>
    <row r="24" spans="1:9" x14ac:dyDescent="0.45">
      <c r="A24" s="16"/>
      <c r="B24" s="16"/>
      <c r="C24" s="16"/>
      <c r="D24" s="16"/>
      <c r="E24" s="16"/>
      <c r="F24" s="65"/>
      <c r="G24" s="65"/>
    </row>
  </sheetData>
  <mergeCells count="3">
    <mergeCell ref="A1:D1"/>
    <mergeCell ref="H1:I1"/>
    <mergeCell ref="E11:G11"/>
  </mergeCells>
  <phoneticPr fontId="1" type="noConversion"/>
  <pageMargins left="0.7" right="0.7" top="0.75" bottom="0.75" header="0.3" footer="0.3"/>
  <ignoredErrors>
    <ignoredError sqref="D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Common-size BS 2.1</vt:lpstr>
      <vt:lpstr>Common-size IS 2.1</vt:lpstr>
      <vt:lpstr>Ratio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Jung-Soon Hyun현정순</dc:creator>
  <cp:lastModifiedBy>Jung-Soon Hyun현정순</cp:lastModifiedBy>
  <dcterms:created xsi:type="dcterms:W3CDTF">2023-02-23T05:48:58Z</dcterms:created>
  <dcterms:modified xsi:type="dcterms:W3CDTF">2024-03-01T19:15:07Z</dcterms:modified>
</cp:coreProperties>
</file>