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SCodeProjects\KAIST_MFE\BAF510채권\"/>
    </mc:Choice>
  </mc:AlternateContent>
  <xr:revisionPtr revIDLastSave="0" documentId="13_ncr:1_{05CFFF87-018E-47E6-A0DB-4D9C8299BA94}" xr6:coauthVersionLast="47" xr6:coauthVersionMax="47" xr10:uidLastSave="{00000000-0000-0000-0000-000000000000}"/>
  <bookViews>
    <workbookView xWindow="-120" yWindow="-120" windowWidth="29040" windowHeight="15840" activeTab="1" xr2:uid="{C3082CC5-84DE-479A-9159-2F50C75C6A87}"/>
  </bookViews>
  <sheets>
    <sheet name="price" sheetId="1" r:id="rId1"/>
    <sheet name="accrued_interest" sheetId="2" r:id="rId2"/>
    <sheet name="yield" sheetId="3" r:id="rId3"/>
    <sheet name="volatility" sheetId="4" r:id="rId4"/>
  </sheets>
  <definedNames>
    <definedName name="solver_adj" localSheetId="2" hidden="1">yield!$B$123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yield!$D$162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/>
  <c r="L4" i="2"/>
  <c r="L3" i="2"/>
  <c r="G31" i="2"/>
  <c r="G26" i="2"/>
  <c r="G18" i="2"/>
  <c r="B14" i="2"/>
  <c r="B32" i="4"/>
  <c r="B31" i="4"/>
  <c r="C30" i="4"/>
  <c r="C14" i="4"/>
  <c r="C15" i="4"/>
  <c r="C16" i="4"/>
  <c r="C17" i="4"/>
  <c r="C18" i="4"/>
  <c r="C19" i="4"/>
  <c r="C20" i="4"/>
  <c r="C21" i="4"/>
  <c r="C22" i="4"/>
  <c r="C23" i="4"/>
  <c r="C13" i="4"/>
  <c r="B14" i="4"/>
  <c r="B15" i="4"/>
  <c r="B16" i="4"/>
  <c r="B17" i="4"/>
  <c r="B18" i="4"/>
  <c r="B19" i="4"/>
  <c r="B20" i="4"/>
  <c r="B21" i="4"/>
  <c r="B22" i="4"/>
  <c r="B23" i="4"/>
  <c r="B13" i="4"/>
  <c r="H129" i="3" l="1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28" i="3"/>
  <c r="F130" i="3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29" i="3"/>
  <c r="F128" i="3"/>
  <c r="D157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28" i="3"/>
  <c r="C160" i="3"/>
  <c r="C159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28" i="3"/>
  <c r="A128" i="3" a="1"/>
  <c r="A128" i="3" s="1"/>
  <c r="D159" i="3" l="1"/>
  <c r="D162" i="3" s="1"/>
  <c r="E102" i="3"/>
  <c r="F102" i="3" s="1"/>
  <c r="E104" i="3"/>
  <c r="F104" i="3" s="1"/>
  <c r="E105" i="3"/>
  <c r="F105" i="3" s="1"/>
  <c r="E94" i="3"/>
  <c r="F94" i="3" s="1"/>
  <c r="B103" i="3"/>
  <c r="C107" i="3"/>
  <c r="E107" i="3" s="1"/>
  <c r="F107" i="3" s="1"/>
  <c r="D99" i="3"/>
  <c r="D95" i="3"/>
  <c r="D96" i="3"/>
  <c r="D97" i="3"/>
  <c r="D98" i="3"/>
  <c r="D94" i="3"/>
  <c r="C95" i="3"/>
  <c r="C96" i="3"/>
  <c r="C97" i="3"/>
  <c r="C98" i="3"/>
  <c r="C99" i="3"/>
  <c r="C100" i="3"/>
  <c r="C101" i="3"/>
  <c r="C102" i="3"/>
  <c r="C103" i="3"/>
  <c r="C104" i="3"/>
  <c r="C105" i="3"/>
  <c r="C106" i="3"/>
  <c r="E106" i="3" s="1"/>
  <c r="F106" i="3" s="1"/>
  <c r="C94" i="3"/>
  <c r="B95" i="3"/>
  <c r="B96" i="3"/>
  <c r="B97" i="3"/>
  <c r="E97" i="3" s="1"/>
  <c r="F97" i="3" s="1"/>
  <c r="B98" i="3"/>
  <c r="B99" i="3"/>
  <c r="B100" i="3"/>
  <c r="B101" i="3"/>
  <c r="B102" i="3"/>
  <c r="B94" i="3"/>
  <c r="E87" i="3"/>
  <c r="E88" i="3"/>
  <c r="E86" i="3"/>
  <c r="B82" i="3"/>
  <c r="G87" i="3"/>
  <c r="H87" i="3" s="1"/>
  <c r="G88" i="3"/>
  <c r="H88" i="3" s="1"/>
  <c r="G86" i="3"/>
  <c r="H86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33" i="3"/>
  <c r="H33" i="3" s="1"/>
  <c r="B67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38" i="3"/>
  <c r="A38" i="3" a="1"/>
  <c r="A38" i="3" s="1"/>
  <c r="C5" i="3"/>
  <c r="C6" i="3"/>
  <c r="C7" i="3"/>
  <c r="C4" i="3"/>
  <c r="C66" i="3" l="1"/>
  <c r="C54" i="3"/>
  <c r="C42" i="3"/>
  <c r="C64" i="3"/>
  <c r="C52" i="3"/>
  <c r="C40" i="3"/>
  <c r="C67" i="3"/>
  <c r="C53" i="3"/>
  <c r="C65" i="3"/>
  <c r="C41" i="3"/>
  <c r="E96" i="3"/>
  <c r="F96" i="3" s="1"/>
  <c r="C46" i="3"/>
  <c r="C44" i="3"/>
  <c r="E101" i="3"/>
  <c r="F101" i="3" s="1"/>
  <c r="C56" i="3"/>
  <c r="C63" i="3"/>
  <c r="C51" i="3"/>
  <c r="C39" i="3"/>
  <c r="C62" i="3"/>
  <c r="C50" i="3"/>
  <c r="C48" i="3"/>
  <c r="C60" i="3"/>
  <c r="C47" i="3"/>
  <c r="C59" i="3"/>
  <c r="C58" i="3"/>
  <c r="C45" i="3"/>
  <c r="C57" i="3"/>
  <c r="E100" i="3"/>
  <c r="F100" i="3" s="1"/>
  <c r="H91" i="3"/>
  <c r="E95" i="3"/>
  <c r="F95" i="3" s="1"/>
  <c r="C61" i="3"/>
  <c r="C49" i="3"/>
  <c r="E99" i="3"/>
  <c r="F99" i="3" s="1"/>
  <c r="C38" i="3"/>
  <c r="C55" i="3"/>
  <c r="C43" i="3"/>
  <c r="E98" i="3"/>
  <c r="F98" i="3" s="1"/>
  <c r="E103" i="3"/>
  <c r="F103" i="3" s="1"/>
  <c r="H90" i="3"/>
  <c r="C8" i="3"/>
  <c r="F5" i="3" s="1"/>
  <c r="J3" i="3" s="1"/>
  <c r="C69" i="3" l="1"/>
  <c r="F32" i="3" s="1"/>
  <c r="F109" i="3"/>
  <c r="F110" i="3" s="1"/>
  <c r="H19" i="2" l="1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8" i="2"/>
  <c r="B19" i="2"/>
  <c r="B20" i="2"/>
  <c r="B21" i="2"/>
  <c r="B22" i="2"/>
  <c r="B23" i="2"/>
  <c r="B24" i="2"/>
  <c r="B25" i="2"/>
  <c r="B26" i="2"/>
  <c r="B27" i="2"/>
  <c r="B28" i="2"/>
  <c r="B29" i="2"/>
  <c r="B30" i="2"/>
  <c r="G30" i="2" s="1"/>
  <c r="B31" i="2"/>
  <c r="B32" i="2"/>
  <c r="B33" i="2"/>
  <c r="B34" i="2"/>
  <c r="B35" i="2"/>
  <c r="B36" i="2"/>
  <c r="B37" i="2"/>
  <c r="B38" i="2"/>
  <c r="B39" i="2"/>
  <c r="B40" i="2"/>
  <c r="B41" i="2"/>
  <c r="B42" i="2"/>
  <c r="G42" i="2" s="1"/>
  <c r="B43" i="2"/>
  <c r="B44" i="2"/>
  <c r="B45" i="2"/>
  <c r="B46" i="2"/>
  <c r="B47" i="2"/>
  <c r="B48" i="2"/>
  <c r="B49" i="2"/>
  <c r="B50" i="2"/>
  <c r="B51" i="2"/>
  <c r="B52" i="2"/>
  <c r="B53" i="2"/>
  <c r="B54" i="2"/>
  <c r="G54" i="2" s="1"/>
  <c r="B55" i="2"/>
  <c r="B56" i="2"/>
  <c r="B57" i="2"/>
  <c r="B58" i="2"/>
  <c r="B59" i="2"/>
  <c r="B60" i="2"/>
  <c r="B61" i="2"/>
  <c r="B62" i="2"/>
  <c r="B63" i="2"/>
  <c r="B64" i="2"/>
  <c r="B65" i="2"/>
  <c r="B66" i="2"/>
  <c r="C66" i="2" s="1"/>
  <c r="D66" i="2" s="1"/>
  <c r="B67" i="2"/>
  <c r="B68" i="2"/>
  <c r="B69" i="2"/>
  <c r="B70" i="2"/>
  <c r="B71" i="2"/>
  <c r="B72" i="2"/>
  <c r="B73" i="2"/>
  <c r="B74" i="2"/>
  <c r="B75" i="2"/>
  <c r="B76" i="2"/>
  <c r="B77" i="2"/>
  <c r="B78" i="2"/>
  <c r="G78" i="2" s="1"/>
  <c r="B79" i="2"/>
  <c r="B80" i="2"/>
  <c r="B81" i="2"/>
  <c r="B82" i="2"/>
  <c r="B83" i="2"/>
  <c r="B84" i="2"/>
  <c r="B85" i="2"/>
  <c r="B86" i="2"/>
  <c r="B87" i="2"/>
  <c r="B88" i="2"/>
  <c r="B89" i="2"/>
  <c r="B90" i="2"/>
  <c r="G90" i="2" s="1"/>
  <c r="B91" i="2"/>
  <c r="B92" i="2"/>
  <c r="B93" i="2"/>
  <c r="B94" i="2"/>
  <c r="B95" i="2"/>
  <c r="B96" i="2"/>
  <c r="B97" i="2"/>
  <c r="B98" i="2"/>
  <c r="B99" i="2"/>
  <c r="B100" i="2"/>
  <c r="B101" i="2"/>
  <c r="B102" i="2"/>
  <c r="G102" i="2" s="1"/>
  <c r="B103" i="2"/>
  <c r="B104" i="2"/>
  <c r="B105" i="2"/>
  <c r="B106" i="2"/>
  <c r="B107" i="2"/>
  <c r="B108" i="2"/>
  <c r="B109" i="2"/>
  <c r="B110" i="2"/>
  <c r="B111" i="2"/>
  <c r="B112" i="2"/>
  <c r="B113" i="2"/>
  <c r="B114" i="2"/>
  <c r="C114" i="2" s="1"/>
  <c r="D114" i="2" s="1"/>
  <c r="B115" i="2"/>
  <c r="B116" i="2"/>
  <c r="B18" i="2"/>
  <c r="C18" i="2" s="1"/>
  <c r="G19" i="2"/>
  <c r="G20" i="2"/>
  <c r="G21" i="2"/>
  <c r="G22" i="2"/>
  <c r="G23" i="2"/>
  <c r="G24" i="2"/>
  <c r="G25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3" i="2"/>
  <c r="G44" i="2"/>
  <c r="G45" i="2"/>
  <c r="G46" i="2"/>
  <c r="G47" i="2"/>
  <c r="G48" i="2"/>
  <c r="G49" i="2"/>
  <c r="G50" i="2"/>
  <c r="G51" i="2"/>
  <c r="G52" i="2"/>
  <c r="G53" i="2"/>
  <c r="G55" i="2"/>
  <c r="G56" i="2"/>
  <c r="G57" i="2"/>
  <c r="G58" i="2"/>
  <c r="G59" i="2"/>
  <c r="G60" i="2"/>
  <c r="G61" i="2"/>
  <c r="G62" i="2"/>
  <c r="G63" i="2"/>
  <c r="G64" i="2"/>
  <c r="G65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G81" i="2"/>
  <c r="G82" i="2"/>
  <c r="G83" i="2"/>
  <c r="G84" i="2"/>
  <c r="G85" i="2"/>
  <c r="G86" i="2"/>
  <c r="G87" i="2"/>
  <c r="G88" i="2"/>
  <c r="G89" i="2"/>
  <c r="G91" i="2"/>
  <c r="G92" i="2"/>
  <c r="G93" i="2"/>
  <c r="G94" i="2"/>
  <c r="G95" i="2"/>
  <c r="G96" i="2"/>
  <c r="G97" i="2"/>
  <c r="G98" i="2"/>
  <c r="G99" i="2"/>
  <c r="G100" i="2"/>
  <c r="G101" i="2"/>
  <c r="G103" i="2"/>
  <c r="G104" i="2"/>
  <c r="G105" i="2"/>
  <c r="G106" i="2"/>
  <c r="G107" i="2"/>
  <c r="G108" i="2"/>
  <c r="G109" i="2"/>
  <c r="G110" i="2"/>
  <c r="G111" i="2"/>
  <c r="G112" i="2"/>
  <c r="G113" i="2"/>
  <c r="G115" i="2"/>
  <c r="G116" i="2"/>
  <c r="E24" i="2"/>
  <c r="E34" i="2"/>
  <c r="E35" i="2"/>
  <c r="E36" i="2"/>
  <c r="E46" i="2"/>
  <c r="E47" i="2"/>
  <c r="E48" i="2"/>
  <c r="E58" i="2"/>
  <c r="E59" i="2"/>
  <c r="E60" i="2"/>
  <c r="E70" i="2"/>
  <c r="E71" i="2"/>
  <c r="E72" i="2"/>
  <c r="E82" i="2"/>
  <c r="E83" i="2"/>
  <c r="E84" i="2"/>
  <c r="E94" i="2"/>
  <c r="E95" i="2"/>
  <c r="E96" i="2"/>
  <c r="E106" i="2"/>
  <c r="E107" i="2"/>
  <c r="E108" i="2"/>
  <c r="D21" i="2"/>
  <c r="D22" i="2"/>
  <c r="D33" i="2"/>
  <c r="D34" i="2"/>
  <c r="D45" i="2"/>
  <c r="D46" i="2"/>
  <c r="D57" i="2"/>
  <c r="D58" i="2"/>
  <c r="D69" i="2"/>
  <c r="D70" i="2"/>
  <c r="D81" i="2"/>
  <c r="D82" i="2"/>
  <c r="D93" i="2"/>
  <c r="D94" i="2"/>
  <c r="D105" i="2"/>
  <c r="D106" i="2"/>
  <c r="C19" i="2"/>
  <c r="E19" i="2" s="1"/>
  <c r="C20" i="2"/>
  <c r="D20" i="2" s="1"/>
  <c r="C21" i="2"/>
  <c r="E21" i="2" s="1"/>
  <c r="C22" i="2"/>
  <c r="E22" i="2" s="1"/>
  <c r="C23" i="2"/>
  <c r="D23" i="2" s="1"/>
  <c r="C24" i="2"/>
  <c r="D24" i="2" s="1"/>
  <c r="C25" i="2"/>
  <c r="E25" i="2" s="1"/>
  <c r="C26" i="2"/>
  <c r="E26" i="2" s="1"/>
  <c r="C27" i="2"/>
  <c r="E27" i="2" s="1"/>
  <c r="C28" i="2"/>
  <c r="E28" i="2" s="1"/>
  <c r="C29" i="2"/>
  <c r="E29" i="2" s="1"/>
  <c r="C31" i="2"/>
  <c r="E31" i="2" s="1"/>
  <c r="C32" i="2"/>
  <c r="D32" i="2" s="1"/>
  <c r="C33" i="2"/>
  <c r="E33" i="2" s="1"/>
  <c r="C34" i="2"/>
  <c r="C35" i="2"/>
  <c r="D35" i="2" s="1"/>
  <c r="C36" i="2"/>
  <c r="D36" i="2" s="1"/>
  <c r="C37" i="2"/>
  <c r="E37" i="2" s="1"/>
  <c r="C38" i="2"/>
  <c r="E38" i="2" s="1"/>
  <c r="C39" i="2"/>
  <c r="E39" i="2" s="1"/>
  <c r="C40" i="2"/>
  <c r="E40" i="2" s="1"/>
  <c r="C41" i="2"/>
  <c r="E41" i="2" s="1"/>
  <c r="C43" i="2"/>
  <c r="E43" i="2" s="1"/>
  <c r="C44" i="2"/>
  <c r="D44" i="2" s="1"/>
  <c r="C45" i="2"/>
  <c r="E45" i="2" s="1"/>
  <c r="C46" i="2"/>
  <c r="C47" i="2"/>
  <c r="D47" i="2" s="1"/>
  <c r="C48" i="2"/>
  <c r="D48" i="2" s="1"/>
  <c r="C49" i="2"/>
  <c r="E49" i="2" s="1"/>
  <c r="C50" i="2"/>
  <c r="E50" i="2" s="1"/>
  <c r="C51" i="2"/>
  <c r="E51" i="2" s="1"/>
  <c r="C52" i="2"/>
  <c r="E52" i="2" s="1"/>
  <c r="C53" i="2"/>
  <c r="E53" i="2" s="1"/>
  <c r="C55" i="2"/>
  <c r="E55" i="2" s="1"/>
  <c r="C56" i="2"/>
  <c r="D56" i="2" s="1"/>
  <c r="C57" i="2"/>
  <c r="E57" i="2" s="1"/>
  <c r="C58" i="2"/>
  <c r="C59" i="2"/>
  <c r="D59" i="2" s="1"/>
  <c r="C60" i="2"/>
  <c r="D60" i="2" s="1"/>
  <c r="C61" i="2"/>
  <c r="E61" i="2" s="1"/>
  <c r="C62" i="2"/>
  <c r="E62" i="2" s="1"/>
  <c r="C63" i="2"/>
  <c r="E63" i="2" s="1"/>
  <c r="C64" i="2"/>
  <c r="E64" i="2" s="1"/>
  <c r="C65" i="2"/>
  <c r="E65" i="2" s="1"/>
  <c r="C67" i="2"/>
  <c r="E67" i="2" s="1"/>
  <c r="C68" i="2"/>
  <c r="E68" i="2" s="1"/>
  <c r="C69" i="2"/>
  <c r="E69" i="2" s="1"/>
  <c r="C70" i="2"/>
  <c r="C71" i="2"/>
  <c r="D71" i="2" s="1"/>
  <c r="C72" i="2"/>
  <c r="D72" i="2" s="1"/>
  <c r="C73" i="2"/>
  <c r="E73" i="2" s="1"/>
  <c r="C74" i="2"/>
  <c r="E74" i="2" s="1"/>
  <c r="C75" i="2"/>
  <c r="E75" i="2" s="1"/>
  <c r="C76" i="2"/>
  <c r="E76" i="2" s="1"/>
  <c r="C77" i="2"/>
  <c r="E77" i="2" s="1"/>
  <c r="C79" i="2"/>
  <c r="E79" i="2" s="1"/>
  <c r="C80" i="2"/>
  <c r="D80" i="2" s="1"/>
  <c r="C81" i="2"/>
  <c r="E81" i="2" s="1"/>
  <c r="C82" i="2"/>
  <c r="C83" i="2"/>
  <c r="D83" i="2" s="1"/>
  <c r="C84" i="2"/>
  <c r="D84" i="2" s="1"/>
  <c r="C85" i="2"/>
  <c r="E85" i="2" s="1"/>
  <c r="C86" i="2"/>
  <c r="E86" i="2" s="1"/>
  <c r="C87" i="2"/>
  <c r="E87" i="2" s="1"/>
  <c r="C88" i="2"/>
  <c r="E88" i="2" s="1"/>
  <c r="C89" i="2"/>
  <c r="E89" i="2" s="1"/>
  <c r="C91" i="2"/>
  <c r="E91" i="2" s="1"/>
  <c r="C92" i="2"/>
  <c r="D92" i="2" s="1"/>
  <c r="C93" i="2"/>
  <c r="E93" i="2" s="1"/>
  <c r="C94" i="2"/>
  <c r="C95" i="2"/>
  <c r="D95" i="2" s="1"/>
  <c r="C96" i="2"/>
  <c r="D96" i="2" s="1"/>
  <c r="C97" i="2"/>
  <c r="E97" i="2" s="1"/>
  <c r="C98" i="2"/>
  <c r="E98" i="2" s="1"/>
  <c r="C99" i="2"/>
  <c r="E99" i="2" s="1"/>
  <c r="C100" i="2"/>
  <c r="E100" i="2" s="1"/>
  <c r="C101" i="2"/>
  <c r="E101" i="2" s="1"/>
  <c r="C103" i="2"/>
  <c r="E103" i="2" s="1"/>
  <c r="C104" i="2"/>
  <c r="D104" i="2" s="1"/>
  <c r="C105" i="2"/>
  <c r="E105" i="2" s="1"/>
  <c r="C106" i="2"/>
  <c r="C107" i="2"/>
  <c r="D107" i="2" s="1"/>
  <c r="C108" i="2"/>
  <c r="D108" i="2" s="1"/>
  <c r="C109" i="2"/>
  <c r="E109" i="2" s="1"/>
  <c r="C110" i="2"/>
  <c r="E110" i="2" s="1"/>
  <c r="C111" i="2"/>
  <c r="E111" i="2" s="1"/>
  <c r="C112" i="2"/>
  <c r="E112" i="2" s="1"/>
  <c r="C113" i="2"/>
  <c r="E113" i="2" s="1"/>
  <c r="C115" i="2"/>
  <c r="E115" i="2" s="1"/>
  <c r="C116" i="2"/>
  <c r="D116" i="2" s="1"/>
  <c r="A116" i="2"/>
  <c r="A112" i="2"/>
  <c r="A113" i="2" s="1"/>
  <c r="A114" i="2" s="1"/>
  <c r="A115" i="2" s="1"/>
  <c r="A105" i="2"/>
  <c r="A106" i="2"/>
  <c r="A107" i="2" s="1"/>
  <c r="A108" i="2" s="1"/>
  <c r="A109" i="2" s="1"/>
  <c r="A110" i="2" s="1"/>
  <c r="A111" i="2" s="1"/>
  <c r="A90" i="2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68" i="2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59" i="2"/>
  <c r="A60" i="2" s="1"/>
  <c r="A61" i="2" s="1"/>
  <c r="A62" i="2" s="1"/>
  <c r="A63" i="2" s="1"/>
  <c r="A64" i="2" s="1"/>
  <c r="A65" i="2" s="1"/>
  <c r="A66" i="2" s="1"/>
  <c r="A67" i="2" s="1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19" i="2"/>
  <c r="B11" i="2"/>
  <c r="B13" i="2" s="1"/>
  <c r="B10" i="2"/>
  <c r="B9" i="2"/>
  <c r="B12" i="2" s="1"/>
  <c r="B94" i="1"/>
  <c r="B93" i="1"/>
  <c r="B92" i="1"/>
  <c r="B47" i="1"/>
  <c r="B46" i="1"/>
  <c r="B45" i="1"/>
  <c r="B28" i="1"/>
  <c r="C28" i="1" s="1"/>
  <c r="B10" i="1"/>
  <c r="D10" i="1" s="1"/>
  <c r="B11" i="1"/>
  <c r="D11" i="1" s="1"/>
  <c r="B6" i="1"/>
  <c r="B12" i="1" s="1"/>
  <c r="E23" i="2" l="1"/>
  <c r="C42" i="2"/>
  <c r="D42" i="2" s="1"/>
  <c r="D115" i="2"/>
  <c r="D103" i="2"/>
  <c r="D91" i="2"/>
  <c r="D79" i="2"/>
  <c r="D67" i="2"/>
  <c r="D55" i="2"/>
  <c r="D43" i="2"/>
  <c r="D31" i="2"/>
  <c r="D19" i="2"/>
  <c r="C78" i="2"/>
  <c r="D78" i="2" s="1"/>
  <c r="D68" i="2"/>
  <c r="E116" i="2"/>
  <c r="E104" i="2"/>
  <c r="E92" i="2"/>
  <c r="E80" i="2"/>
  <c r="E56" i="2"/>
  <c r="E44" i="2"/>
  <c r="E32" i="2"/>
  <c r="E20" i="2"/>
  <c r="D113" i="2"/>
  <c r="D101" i="2"/>
  <c r="D89" i="2"/>
  <c r="D77" i="2"/>
  <c r="D65" i="2"/>
  <c r="D53" i="2"/>
  <c r="D41" i="2"/>
  <c r="D29" i="2"/>
  <c r="C102" i="2"/>
  <c r="D102" i="2" s="1"/>
  <c r="D112" i="2"/>
  <c r="D100" i="2"/>
  <c r="D88" i="2"/>
  <c r="D76" i="2"/>
  <c r="D64" i="2"/>
  <c r="D52" i="2"/>
  <c r="D40" i="2"/>
  <c r="D28" i="2"/>
  <c r="E114" i="2"/>
  <c r="E66" i="2"/>
  <c r="E54" i="2"/>
  <c r="E42" i="2"/>
  <c r="E30" i="2"/>
  <c r="D111" i="2"/>
  <c r="D99" i="2"/>
  <c r="D87" i="2"/>
  <c r="D75" i="2"/>
  <c r="D63" i="2"/>
  <c r="D51" i="2"/>
  <c r="D39" i="2"/>
  <c r="D27" i="2"/>
  <c r="C54" i="2"/>
  <c r="D54" i="2" s="1"/>
  <c r="D110" i="2"/>
  <c r="D98" i="2"/>
  <c r="D86" i="2"/>
  <c r="D74" i="2"/>
  <c r="D62" i="2"/>
  <c r="D50" i="2"/>
  <c r="D38" i="2"/>
  <c r="D26" i="2"/>
  <c r="C90" i="2"/>
  <c r="D90" i="2" s="1"/>
  <c r="C30" i="2"/>
  <c r="D30" i="2" s="1"/>
  <c r="D109" i="2"/>
  <c r="D97" i="2"/>
  <c r="D85" i="2"/>
  <c r="D73" i="2"/>
  <c r="D61" i="2"/>
  <c r="D49" i="2"/>
  <c r="D37" i="2"/>
  <c r="D25" i="2"/>
  <c r="G114" i="2"/>
  <c r="G66" i="2"/>
  <c r="D18" i="2"/>
  <c r="E18" i="2"/>
  <c r="B96" i="1"/>
  <c r="B95" i="1"/>
  <c r="B97" i="1" s="1"/>
  <c r="E86" i="1" s="1"/>
  <c r="B49" i="1"/>
  <c r="B48" i="1"/>
  <c r="B50" i="1" s="1"/>
  <c r="E39" i="1" s="1"/>
  <c r="D12" i="1"/>
  <c r="C12" i="1"/>
  <c r="C11" i="1"/>
  <c r="C10" i="1"/>
  <c r="D28" i="1"/>
  <c r="B9" i="1"/>
  <c r="E90" i="2" l="1"/>
  <c r="E102" i="2"/>
  <c r="E78" i="2"/>
  <c r="C9" i="1"/>
  <c r="C31" i="1" s="1"/>
  <c r="D9" i="1"/>
  <c r="D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F17" authorId="0" shapeId="0" xr:uid="{605FA663-2CAD-485D-86B9-25AC4D66939E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PV of coupon + PV of Principal 했기에 불연속적임. coupon 받거나 안받거나 0과 1이니까. </t>
        </r>
      </text>
    </comment>
    <comment ref="D18" authorId="0" shapeId="0" xr:uid="{64BC9406-4B69-4768-A829-F96CCD3C3F46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PV of coupons나 principal이나 1-time_to_next_coupon 의 기간을 쳐줌. 즉, (1+r)^기간 곱해줌. 
"현 시점" 자체가 저번 coupon payment 받고나서 좀 지난 시점이기 때문에, 그걸 보정해주는 것.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F3" authorId="0" shapeId="0" xr:uid="{E1988906-73C1-4B5E-AD6C-790E2F209856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solver로 품. 
given price와 f(y)가 같아지도록 설정. </t>
        </r>
      </text>
    </comment>
    <comment ref="F31" authorId="0" shapeId="0" xr:uid="{85511400-555B-40AE-9D0B-344D75F62F28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YTM 7% 고정 bond가 prevailing rate가 달라졌을 때 얼마인지.</t>
        </r>
      </text>
    </comment>
    <comment ref="G33" authorId="0" shapeId="0" xr:uid="{414BADAB-53DE-4BD4-BCCF-FA4DD94DD517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채권 현재 가격에 쿠폰율 적용해서 나온 쿠폰금액
즉, FV말고 PV 기준 coupon</t>
        </r>
      </text>
    </comment>
    <comment ref="A38" authorId="0" shapeId="0" xr:uid="{9138BCDA-0504-4E94-B7EC-95F4F9B4D504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Array formula 사용하였음. </t>
        </r>
      </text>
    </comment>
    <comment ref="H45" authorId="0" shapeId="0" xr:uid="{560176C8-2792-4F6C-B6E5-68B290C30000}">
      <text>
        <r>
          <rPr>
            <b/>
            <sz val="9"/>
            <color indexed="81"/>
            <rFont val="Tahoma"/>
            <family val="2"/>
          </rPr>
          <t xml:space="preserve">Jaepil Choi:
</t>
        </r>
        <r>
          <rPr>
            <sz val="9"/>
            <color indexed="81"/>
            <rFont val="Tahoma"/>
            <family val="2"/>
          </rPr>
          <t>현재가에 비해 얼마나 coupon 금액이 나오냐니까, 현재가=시장가일 땐 current yield = YTM이고 현재가가 바뀌며 괴리 생김.</t>
        </r>
      </text>
    </comment>
    <comment ref="E46" authorId="0" shapeId="0" xr:uid="{8ED8CB96-B19C-465F-8187-6D93D9116E1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coupon rate &lt; current yield인 상황. bond is traded at discount</t>
        </r>
      </text>
    </comment>
    <comment ref="E86" authorId="0" shapeId="0" xr:uid="{726AD0B6-15A2-40FA-96D7-4B1778A25FB1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Par 기준 weight</t>
        </r>
      </text>
    </comment>
    <comment ref="H86" authorId="0" shapeId="0" xr:uid="{3B4CFC59-1B3D-408F-88FC-5283DADB196E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YIELD 함수는 정확한 settlement date와 maturity date를 넣어줘야 함. EDATE를 써서 간단화.</t>
        </r>
      </text>
    </comment>
    <comment ref="B124" authorId="0" shapeId="0" xr:uid="{D2326D84-0C7F-4BC1-9ACD-3CE663875DF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Notice, yield와 다르다. 
할인은 yield로, 
재투자는 reinv rate로</t>
        </r>
      </text>
    </comment>
    <comment ref="F128" authorId="0" shapeId="0" xr:uid="{A2C21609-0A55-49A9-9DD1-455DCC60B83D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coupon은 쌓이는 족족 (1+y)로 계속 불려주는데, par은 제외. 
즉, 여기서의 total dollar return은 해당 period에 끝내고 그 동안의 coupon과 par을 받았을 때의 가치이다. </t>
        </r>
      </text>
    </comment>
    <comment ref="G128" authorId="0" shapeId="0" xr:uid="{51ACCB72-332F-4E6E-95B1-8A106BDD6434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이자가 이자를 얼마나 벌었지? 
를 알기 위해 이자가 번 이자만 남기기 위해 par 및 coupon 받은 원래 금액들을 다 빼줌. </t>
        </r>
      </text>
    </comment>
    <comment ref="H128" authorId="0" shapeId="0" xr:uid="{88498E9D-9D31-4061-9466-A7A1D5DD49C0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매 period에 여태까지 번 total dollar 중 int-on-int로 번 돈의 비율을 찍는다.</t>
        </r>
      </text>
    </comment>
    <comment ref="D157" authorId="0" shapeId="0" xr:uid="{BF1019B7-C34F-4161-9595-BD7193D3B1E9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채권 현금흐름의 pv 구하는 것이므로 여기선 par도 더해줌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<sst xmlns="http://schemas.openxmlformats.org/spreadsheetml/2006/main" count="169" uniqueCount="116">
  <si>
    <t>PV/FV calculator</t>
  </si>
  <si>
    <t>discount_rate</t>
  </si>
  <si>
    <t>year</t>
  </si>
  <si>
    <t>payment</t>
  </si>
  <si>
    <t>pv</t>
  </si>
  <si>
    <t>fv</t>
  </si>
  <si>
    <t>C_r</t>
  </si>
  <si>
    <t>FV</t>
  </si>
  <si>
    <t>C</t>
  </si>
  <si>
    <t>sum</t>
  </si>
  <si>
    <t>Bond Price &amp; Maturity</t>
  </si>
  <si>
    <t>premium bond</t>
  </si>
  <si>
    <t>pv &gt; f</t>
  </si>
  <si>
    <t>c &gt; r(prevailing r)</t>
  </si>
  <si>
    <t>par</t>
  </si>
  <si>
    <t>maturity</t>
  </si>
  <si>
    <t>frequency</t>
  </si>
  <si>
    <t>coupon</t>
  </si>
  <si>
    <t>annual required yield</t>
  </si>
  <si>
    <t>coupon per period</t>
  </si>
  <si>
    <t># of periods</t>
  </si>
  <si>
    <t>required yield per period</t>
  </si>
  <si>
    <t>PV of coupons</t>
  </si>
  <si>
    <t>PV of principal(FV)</t>
  </si>
  <si>
    <t>Bond Price</t>
  </si>
  <si>
    <t>Bond Price(PV)</t>
  </si>
  <si>
    <t>discount bond</t>
  </si>
  <si>
    <t>pv &lt; f</t>
  </si>
  <si>
    <t>c &lt; r(prevailing r)</t>
  </si>
  <si>
    <t>maturity_whatif</t>
  </si>
  <si>
    <t>Accrued Interest</t>
  </si>
  <si>
    <t>freq</t>
  </si>
  <si>
    <t>annual required rate</t>
  </si>
  <si>
    <t>payment per period</t>
  </si>
  <si>
    <t>PV of principal</t>
  </si>
  <si>
    <t>tau</t>
  </si>
  <si>
    <t>time-to-maturity</t>
  </si>
  <si>
    <t>delta</t>
  </si>
  <si>
    <t>time to next coupon (per period)</t>
  </si>
  <si>
    <t>Full Price</t>
  </si>
  <si>
    <t>Clean Price</t>
  </si>
  <si>
    <t>Finding Yields (= IRR)</t>
  </si>
  <si>
    <t>period</t>
  </si>
  <si>
    <t>cashflow</t>
  </si>
  <si>
    <t>present value</t>
  </si>
  <si>
    <t>yield per period (IRR)</t>
  </si>
  <si>
    <t>price</t>
  </si>
  <si>
    <t>price --&gt; given</t>
  </si>
  <si>
    <t>y_whatif</t>
  </si>
  <si>
    <t>price - f(y)</t>
  </si>
  <si>
    <t>price-f(y)</t>
  </si>
  <si>
    <t>f(y) (=PV)</t>
  </si>
  <si>
    <t xml:space="preserve">Bond Equivalent Yield </t>
  </si>
  <si>
    <t>current period = 0</t>
  </si>
  <si>
    <t>coupon rate</t>
  </si>
  <si>
    <t>maturity (yr)</t>
  </si>
  <si>
    <t>yield per annum</t>
  </si>
  <si>
    <t>ytm_whatif</t>
  </si>
  <si>
    <t>bondprice</t>
  </si>
  <si>
    <t>current yield</t>
  </si>
  <si>
    <t>ytm - current_yield</t>
  </si>
  <si>
    <t>Yield to Call</t>
  </si>
  <si>
    <t>nper</t>
  </si>
  <si>
    <t xml:space="preserve">Yield for a Bond Portfolio </t>
  </si>
  <si>
    <t>bond name</t>
  </si>
  <si>
    <t>price per $100</t>
  </si>
  <si>
    <t>YTM</t>
  </si>
  <si>
    <t>A</t>
  </si>
  <si>
    <t>B</t>
  </si>
  <si>
    <t>settlement</t>
  </si>
  <si>
    <t>coupon payment dates are the same</t>
  </si>
  <si>
    <t>portfolio price</t>
  </si>
  <si>
    <t>yield</t>
  </si>
  <si>
    <t>average(WRONG)</t>
  </si>
  <si>
    <t>weighted avg</t>
  </si>
  <si>
    <t>par_weight</t>
  </si>
  <si>
    <t>Bond A</t>
  </si>
  <si>
    <t>Bond B</t>
  </si>
  <si>
    <t>Bond C</t>
  </si>
  <si>
    <t>Portfolio</t>
  </si>
  <si>
    <t>PV</t>
  </si>
  <si>
    <t>target diff</t>
  </si>
  <si>
    <t>Discount Margin for Floating Rate Security</t>
  </si>
  <si>
    <t>생략</t>
  </si>
  <si>
    <t>Annualizing Yield</t>
  </si>
  <si>
    <t>Example Revenue Bond</t>
  </si>
  <si>
    <t>Interest on Interest</t>
  </si>
  <si>
    <t>reinvestment rate</t>
  </si>
  <si>
    <t>reinvestment frequency</t>
  </si>
  <si>
    <t>value at maturity</t>
  </si>
  <si>
    <t>int-on-int</t>
  </si>
  <si>
    <t>target_diff</t>
  </si>
  <si>
    <t>total dollar return</t>
  </si>
  <si>
    <t>int-on-int for r=y</t>
  </si>
  <si>
    <t>ratio</t>
  </si>
  <si>
    <t xml:space="preserve">total return </t>
  </si>
  <si>
    <t>DV01</t>
  </si>
  <si>
    <t>Modified Duration</t>
  </si>
  <si>
    <t>principal</t>
  </si>
  <si>
    <t>per period</t>
  </si>
  <si>
    <t>periods</t>
  </si>
  <si>
    <t>dollar coupon</t>
  </si>
  <si>
    <t xml:space="preserve">price </t>
  </si>
  <si>
    <t>duration in periods</t>
  </si>
  <si>
    <t xml:space="preserve">그냥 이 부분은 T2 &gt; volatility 참고. </t>
  </si>
  <si>
    <t xml:space="preserve">아래와 같이 closed form solution을 함수화 시킨 것. </t>
  </si>
  <si>
    <t>zero coupon bond</t>
  </si>
  <si>
    <t>modified duration</t>
  </si>
  <si>
    <t>macaulay duration</t>
  </si>
  <si>
    <t>First Order Approximation</t>
  </si>
  <si>
    <t xml:space="preserve">엑셀에 있음. </t>
  </si>
  <si>
    <t>coupon date t-1</t>
  </si>
  <si>
    <t>coupon date t</t>
  </si>
  <si>
    <t>today</t>
  </si>
  <si>
    <t>t-1 diff</t>
  </si>
  <si>
    <t>[t-1~today] / [t-1 ~ 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</si>
</sst>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00%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5" borderId="1" xfId="0" applyFill="1" applyBorder="1"/>
    <xf numFmtId="165" fontId="0" fillId="5" borderId="1" xfId="0" applyNumberFormat="1" applyFill="1" applyBorder="1"/>
    <xf numFmtId="0" fontId="0" fillId="4" borderId="1" xfId="0" applyFill="1" applyBorder="1"/>
    <xf numFmtId="2" fontId="0" fillId="5" borderId="1" xfId="0" applyNumberFormat="1" applyFill="1" applyBorder="1"/>
    <xf numFmtId="0" fontId="2" fillId="0" borderId="1" xfId="0" applyFont="1" applyBorder="1"/>
    <xf numFmtId="0" fontId="6" fillId="0" borderId="1" xfId="0" applyFont="1" applyBorder="1"/>
    <xf numFmtId="164" fontId="0" fillId="0" borderId="1" xfId="1" applyNumberFormat="1" applyFont="1" applyBorder="1"/>
    <xf numFmtId="10" fontId="0" fillId="0" borderId="1" xfId="1" applyNumberFormat="1" applyFont="1" applyBorder="1"/>
    <xf numFmtId="0" fontId="0" fillId="3" borderId="1" xfId="0" applyFill="1" applyBorder="1"/>
    <xf numFmtId="0" fontId="5" fillId="0" borderId="1" xfId="0" applyFont="1" applyBorder="1"/>
    <xf numFmtId="14" fontId="0" fillId="0" borderId="0" xfId="0" applyNumberFormat="1"/>
    <xf numFmtId="14" fontId="0" fillId="0" borderId="1" xfId="0" applyNumberFormat="1" applyBorder="1"/>
    <xf numFmtId="9" fontId="0" fillId="0" borderId="1" xfId="0" applyNumberFormat="1" applyBorder="1"/>
    <xf numFmtId="2" fontId="0" fillId="5" borderId="0" xfId="0" applyNumberFormat="1" applyFill="1"/>
    <xf numFmtId="0" fontId="0" fillId="6" borderId="1" xfId="0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7" borderId="0" xfId="0" applyFill="1"/>
    <xf numFmtId="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Bond</a:t>
            </a:r>
            <a:r>
              <a:rPr lang="en-US" baseline="0"/>
              <a:t> Price &amp; Maturity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Discount Bond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price!$D$40:$D$80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price!$E$40:$E$80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C-4D9E-BDAE-A8840912FA4E}"/>
            </c:ext>
          </c:extLst>
        </c:ser>
        <c:ser>
          <c:idx val="1"/>
          <c:order val="1"/>
          <c:tx>
            <c:v>Premium Bond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price!$D$87:$D$127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price!$E$87:$E$127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DC-4D9E-BDAE-A8840912F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015455"/>
        <c:axId val="867011135"/>
      </c:scatterChart>
      <c:valAx>
        <c:axId val="86701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1135"/>
        <c:crosses val="autoZero"/>
        <c:crossBetween val="midCat"/>
      </c:valAx>
      <c:valAx>
        <c:axId val="867011135"/>
        <c:scaling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5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Price vs Clean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accrued_interest!$F$17</c:f>
              <c:strCache>
                <c:ptCount val="1"/>
                <c:pt idx="0">
                  <c:v>Full Price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accrued_interest!$A$18:$A$116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cat>
          <c:val>
            <c:numRef>
              <c:f>accrued_interest!$F$18:$F$116</c:f>
              <c:numCache>
                <c:formatCode>General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970.94344600496299</c:v>
                </c:pt>
                <c:pt idx="3">
                  <c:v>981.39632297749324</c:v>
                </c:pt>
                <c:pt idx="4">
                  <c:v>941.96173239200323</c:v>
                </c:pt>
                <c:pt idx="5">
                  <c:v>952.10260119547274</c:v>
                </c:pt>
                <c:pt idx="6">
                  <c:v>962.35264345743099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953.92995971872301</c:v>
                </c:pt>
                <c:pt idx="11">
                  <c:v>964.19967475761473</c:v>
                </c:pt>
                <c:pt idx="12">
                  <c:v>974.57995037373303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955.85782296075217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987.06277713320128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978.62747064878351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970.37294536579225</c:v>
                </c:pt>
                <c:pt idx="27">
                  <c:v>980.81968050481146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972.66109327093591</c:v>
                </c:pt>
                <c:pt idx="32">
                  <c:v>983.13246190292114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964.68953995744494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996.18281454484008</c:v>
                </c:pt>
                <c:pt idx="39">
                  <c:v>956.90741075632184</c:v>
                </c:pt>
                <c:pt idx="40">
                  <c:v>967.2091801126038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998.78471092439179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1004.4256873226691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996.75023680093068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982.04494992854359</c:v>
                </c:pt>
                <c:pt idx="66">
                  <c:v>992.61734226028534</c:v>
                </c:pt>
                <c:pt idx="67">
                  <c:v>1003.3035536994155</c:v>
                </c:pt>
                <c:pt idx="68">
                  <c:v>1014.1048095872573</c:v>
                </c:pt>
                <c:pt idx="69">
                  <c:v>975.0223484567814</c:v>
                </c:pt>
                <c:pt idx="70">
                  <c:v>985.51913763211326</c:v>
                </c:pt>
                <c:pt idx="71">
                  <c:v>996.12893199462656</c:v>
                </c:pt>
                <c:pt idx="72">
                  <c:v>1006.8529481232288</c:v>
                </c:pt>
                <c:pt idx="73">
                  <c:v>1017.692415694142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999.83365916435662</c:v>
                </c:pt>
                <c:pt idx="77">
                  <c:v>1010.5975592403518</c:v>
                </c:pt>
                <c:pt idx="78">
                  <c:v>1021.4773401369055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1003.7421463284215</c:v>
                </c:pt>
                <c:pt idx="82">
                  <c:v>1014.5481239689162</c:v>
                </c:pt>
                <c:pt idx="83">
                  <c:v>1025.4704354240207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1029.6831509519275</c:v>
                </c:pt>
                <c:pt idx="89">
                  <c:v>990.76840142853928</c:v>
                </c:pt>
                <c:pt idx="90">
                  <c:v>1001.4347077422728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1016.8053515539955</c:v>
                </c:pt>
                <c:pt idx="97">
                  <c:v>1027.7519636234588</c:v>
                </c:pt>
                <c:pt idx="98">
                  <c:v>1038.8164235343172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E5-4780-9733-9F1FF84DCC81}"/>
            </c:ext>
          </c:extLst>
        </c:ser>
        <c:ser>
          <c:idx val="6"/>
          <c:order val="1"/>
          <c:tx>
            <c:strRef>
              <c:f>accrued_interest!$H$17</c:f>
              <c:strCache>
                <c:ptCount val="1"/>
                <c:pt idx="0">
                  <c:v>Clean Price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accrued_interest!$A$18:$A$116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cat>
          <c:val>
            <c:numRef>
              <c:f>accrued_interest!$H$18:$H$116</c:f>
              <c:numCache>
                <c:formatCode>General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940.94344600496311</c:v>
                </c:pt>
                <c:pt idx="3">
                  <c:v>941.39632297749336</c:v>
                </c:pt>
                <c:pt idx="4">
                  <c:v>941.96173239200323</c:v>
                </c:pt>
                <c:pt idx="5">
                  <c:v>942.10260119547297</c:v>
                </c:pt>
                <c:pt idx="6">
                  <c:v>942.35264345743121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943.92995971872335</c:v>
                </c:pt>
                <c:pt idx="11">
                  <c:v>944.19967475761518</c:v>
                </c:pt>
                <c:pt idx="12">
                  <c:v>944.57995037373348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945.85782296075274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947.06277713320196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948.62747064878431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950.37294536579316</c:v>
                </c:pt>
                <c:pt idx="27">
                  <c:v>950.81968050481248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952.66109327093704</c:v>
                </c:pt>
                <c:pt idx="32">
                  <c:v>953.13246190292227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954.68953995744619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956.18281454484145</c:v>
                </c:pt>
                <c:pt idx="39">
                  <c:v>956.90741075632184</c:v>
                </c:pt>
                <c:pt idx="40">
                  <c:v>957.20918011260528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958.78471092439338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964.42568732267102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966.75023680093273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972.04494992854563</c:v>
                </c:pt>
                <c:pt idx="66">
                  <c:v>972.61734226028739</c:v>
                </c:pt>
                <c:pt idx="67">
                  <c:v>973.30355369941753</c:v>
                </c:pt>
                <c:pt idx="68">
                  <c:v>974.1048095872593</c:v>
                </c:pt>
                <c:pt idx="69">
                  <c:v>975.0223484567814</c:v>
                </c:pt>
                <c:pt idx="70">
                  <c:v>975.5191376321153</c:v>
                </c:pt>
                <c:pt idx="71">
                  <c:v>976.1289319946286</c:v>
                </c:pt>
                <c:pt idx="72">
                  <c:v>976.85294812323082</c:v>
                </c:pt>
                <c:pt idx="73">
                  <c:v>977.69241569414407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979.83365916435855</c:v>
                </c:pt>
                <c:pt idx="77">
                  <c:v>980.59755924035369</c:v>
                </c:pt>
                <c:pt idx="78">
                  <c:v>981.4773401369074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983.74214632842347</c:v>
                </c:pt>
                <c:pt idx="82">
                  <c:v>984.54812396891816</c:v>
                </c:pt>
                <c:pt idx="83">
                  <c:v>985.47043542402264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989.68315095192929</c:v>
                </c:pt>
                <c:pt idx="89">
                  <c:v>990.76840142853928</c:v>
                </c:pt>
                <c:pt idx="90">
                  <c:v>991.43470774227467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996.80535155399741</c:v>
                </c:pt>
                <c:pt idx="97">
                  <c:v>997.75196362346071</c:v>
                </c:pt>
                <c:pt idx="98">
                  <c:v>998.81642353431914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E5-4780-9733-9F1FF84DC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7017855"/>
        <c:axId val="867018815"/>
      </c:lineChart>
      <c:catAx>
        <c:axId val="86701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8815"/>
        <c:crosses val="autoZero"/>
        <c:auto val="1"/>
        <c:lblAlgn val="ctr"/>
        <c:lblOffset val="100"/>
        <c:noMultiLvlLbl val="0"/>
      </c:catAx>
      <c:valAx>
        <c:axId val="8670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- PV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yield!$J$4:$J$23</c:f>
              <c:strCache>
                <c:ptCount val="20"/>
                <c:pt idx="0">
                  <c:v>351.98</c:v>
                </c:pt>
                <c:pt idx="1">
                  <c:v>309.13</c:v>
                </c:pt>
                <c:pt idx="2">
                  <c:v>268.25</c:v>
                </c:pt>
                <c:pt idx="3">
                  <c:v>229.21</c:v>
                </c:pt>
                <c:pt idx="4">
                  <c:v>191.93</c:v>
                </c:pt>
                <c:pt idx="5">
                  <c:v>156.29</c:v>
                </c:pt>
                <c:pt idx="6">
                  <c:v>122.23</c:v>
                </c:pt>
                <c:pt idx="7">
                  <c:v>89.64</c:v>
                </c:pt>
                <c:pt idx="8">
                  <c:v>58.45</c:v>
                </c:pt>
                <c:pt idx="9">
                  <c:v>28.60</c:v>
                </c:pt>
                <c:pt idx="10">
                  <c:v>0.00</c:v>
                </c:pt>
                <c:pt idx="11">
                  <c:v>-27.40</c:v>
                </c:pt>
                <c:pt idx="12">
                  <c:v>-53.67</c:v>
                </c:pt>
                <c:pt idx="13">
                  <c:v>-78.86</c:v>
                </c:pt>
                <c:pt idx="14">
                  <c:v>-103.02</c:v>
                </c:pt>
                <c:pt idx="15">
                  <c:v>-126.22</c:v>
                </c:pt>
                <c:pt idx="16">
                  <c:v>-148.49</c:v>
                </c:pt>
                <c:pt idx="17">
                  <c:v>-169.88</c:v>
                </c:pt>
                <c:pt idx="18">
                  <c:v>-190.44</c:v>
                </c:pt>
                <c:pt idx="19">
                  <c:v>-210.20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yield!$I$3:$I$23</c15:sqref>
                  </c15:fullRef>
                </c:ext>
              </c:extLst>
              <c:f>yield!$I$4:$I$23</c:f>
              <c:strCach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yield!$J$4:$J$23</c15:sqref>
                  </c15:fullRef>
                </c:ext>
              </c:extLst>
              <c:f>yield!$J$5:$J$23</c:f>
              <c:numCache>
                <c:formatCode>0.00</c:formatCode>
                <c:ptCount val="19"/>
                <c:pt idx="0">
                  <c:v>309.13375329129178</c:v>
                </c:pt>
                <c:pt idx="1">
                  <c:v>268.24818340515719</c:v>
                </c:pt>
                <c:pt idx="2">
                  <c:v>229.21329435243831</c:v>
                </c:pt>
                <c:pt idx="3">
                  <c:v>191.92727772892965</c:v>
                </c:pt>
                <c:pt idx="4">
                  <c:v>156.29485818418414</c:v>
                </c:pt>
                <c:pt idx="5">
                  <c:v>122.22681648916512</c:v>
                </c:pt>
                <c:pt idx="6">
                  <c:v>89.63955152124106</c:v>
                </c:pt>
                <c:pt idx="7">
                  <c:v>58.454677664013843</c:v>
                </c:pt>
                <c:pt idx="8">
                  <c:v>28.598654463492721</c:v>
                </c:pt>
                <c:pt idx="9">
                  <c:v>2.445689590672373E-3</c:v>
                </c:pt>
                <c:pt idx="10">
                  <c:v>-27.398794773011446</c:v>
                </c:pt>
                <c:pt idx="11">
                  <c:v>-53.666012534235051</c:v>
                </c:pt>
                <c:pt idx="12">
                  <c:v>-78.856519916965112</c:v>
                </c:pt>
                <c:pt idx="13">
                  <c:v>-103.02424269495873</c:v>
                </c:pt>
                <c:pt idx="14">
                  <c:v>-126.21994808286934</c:v>
                </c:pt>
                <c:pt idx="15">
                  <c:v>-148.49145555083851</c:v>
                </c:pt>
                <c:pt idx="16">
                  <c:v>-169.88383189210913</c:v>
                </c:pt>
                <c:pt idx="17">
                  <c:v>-190.43957184231192</c:v>
                </c:pt>
                <c:pt idx="18">
                  <c:v>-210.19876543209875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C-4731-A944-E7E5A2662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281871"/>
        <c:axId val="1618296751"/>
      </c:lineChart>
      <c:catAx>
        <c:axId val="161828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96751"/>
        <c:crosses val="autoZero"/>
        <c:auto val="1"/>
        <c:lblAlgn val="ctr"/>
        <c:lblOffset val="100"/>
        <c:noMultiLvlLbl val="0"/>
      </c:catAx>
      <c:valAx>
        <c:axId val="161829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8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int-on-int / total dollar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yield!$H$127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yield!$H$128:$H$157</c:f>
              <c:numCache>
                <c:formatCode>General</c:formatCode>
                <c:ptCount val="30"/>
                <c:pt idx="0">
                  <c:v>0</c:v>
                </c:pt>
                <c:pt idx="1">
                  <c:v>1.63287734065189E-3</c:v>
                </c:pt>
                <c:pt idx="2">
                  <c:v>4.8071979383408799E-3</c:v>
                </c:pt>
                <c:pt idx="3">
                  <c:v>9.4317803769967366E-3</c:v>
                </c:pt>
                <c:pt idx="4">
                  <c:v>1.5416066357058096E-2</c:v>
                </c:pt>
                <c:pt idx="5">
                  <c:v>2.2670467461765827E-2</c:v>
                </c:pt>
                <c:pt idx="6">
                  <c:v>3.1106686641078251E-2</c:v>
                </c:pt>
                <c:pt idx="7">
                  <c:v>4.0638013223662485E-2</c:v>
                </c:pt>
                <c:pt idx="8">
                  <c:v>5.1179590661895875E-2</c:v>
                </c:pt>
                <c:pt idx="9">
                  <c:v>6.2648656587786969E-2</c:v>
                </c:pt>
                <c:pt idx="10">
                  <c:v>7.4964755104453176E-2</c:v>
                </c:pt>
                <c:pt idx="11">
                  <c:v>8.8049921554582619E-2</c:v>
                </c:pt>
                <c:pt idx="12">
                  <c:v>0.10182884029154343</c:v>
                </c:pt>
                <c:pt idx="13">
                  <c:v>0.11622897622883752</c:v>
                </c:pt>
                <c:pt idx="14">
                  <c:v>0.13118068115869816</c:v>
                </c:pt>
                <c:pt idx="15">
                  <c:v>0.14661727601089675</c:v>
                </c:pt>
                <c:pt idx="16">
                  <c:v>0.16247511036903431</c:v>
                </c:pt>
                <c:pt idx="17">
                  <c:v>0.17869360067516102</c:v>
                </c:pt>
                <c:pt idx="18">
                  <c:v>0.19521524863634898</c:v>
                </c:pt>
                <c:pt idx="19">
                  <c:v>0.21198564140110573</c:v>
                </c:pt>
                <c:pt idx="20">
                  <c:v>0.22895343510176897</c:v>
                </c:pt>
                <c:pt idx="21">
                  <c:v>0.24607032336396273</c:v>
                </c:pt>
                <c:pt idx="22">
                  <c:v>0.26329099236860132</c:v>
                </c:pt>
                <c:pt idx="23">
                  <c:v>0.28057306401858401</c:v>
                </c:pt>
                <c:pt idx="24">
                  <c:v>0.29787702871398031</c:v>
                </c:pt>
                <c:pt idx="25">
                  <c:v>0.31516616917877993</c:v>
                </c:pt>
                <c:pt idx="26">
                  <c:v>0.33240647671167867</c:v>
                </c:pt>
                <c:pt idx="27">
                  <c:v>0.34956656115518586</c:v>
                </c:pt>
                <c:pt idx="28">
                  <c:v>0.36661755579370092</c:v>
                </c:pt>
                <c:pt idx="29">
                  <c:v>0.38353301830400366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6-4BEA-A114-4D0E0BE50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16623"/>
        <c:axId val="1795223343"/>
      </c:scatterChart>
      <c:valAx>
        <c:axId val="179521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23343"/>
        <c:crosses val="autoZero"/>
        <c:crossBetween val="midCat"/>
      </c:valAx>
      <c:valAx>
        <c:axId val="17952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1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50</xdr:row>
      <xdr:rowOff>95251</xdr:rowOff>
    </xdr:from>
    <xdr:to>
      <xdr:col>1</xdr:col>
      <xdr:colOff>611523</xdr:colOff>
      <xdr:row>53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AF47C-8B1F-B2B0-E659-39636AB52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715501"/>
          <a:ext cx="2421272" cy="533399"/>
        </a:xfrm>
        <a:prstGeom prst="rect">
          <a:avLst/>
        </a:prstGeom>
      </xdr:spPr>
    </xdr:pic>
    <xdr:clientData/>
  </xdr:twoCellAnchor>
  <xdr:twoCellAnchor>
    <xdr:from>
      <xdr:col>6</xdr:col>
      <xdr:colOff>20409</xdr:colOff>
      <xdr:row>39</xdr:row>
      <xdr:rowOff>29935</xdr:rowOff>
    </xdr:from>
    <xdr:to>
      <xdr:col>16</xdr:col>
      <xdr:colOff>326571</xdr:colOff>
      <xdr:row>61</xdr:row>
      <xdr:rowOff>13606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94DCAA-9E2E-45A1-19DD-C257B19F7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119062</xdr:rowOff>
    </xdr:from>
    <xdr:to>
      <xdr:col>7</xdr:col>
      <xdr:colOff>685800</xdr:colOff>
      <xdr:row>14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4C56C-E649-1C59-969C-7E9EA1607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9</xdr:row>
      <xdr:rowOff>4761</xdr:rowOff>
    </xdr:from>
    <xdr:to>
      <xdr:col>8</xdr:col>
      <xdr:colOff>0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9B153-4705-ABE3-5F62-F5991FE74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66675</xdr:colOff>
      <xdr:row>9</xdr:row>
      <xdr:rowOff>9525</xdr:rowOff>
    </xdr:from>
    <xdr:to>
      <xdr:col>0</xdr:col>
      <xdr:colOff>3158938</xdr:colOff>
      <xdr:row>15</xdr:row>
      <xdr:rowOff>29119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94F2C8-CB43-3F0E-71B6-E83219F3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1771650"/>
          <a:ext cx="3095625" cy="1162594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61</xdr:row>
      <xdr:rowOff>153716</xdr:rowOff>
    </xdr:from>
    <xdr:to>
      <xdr:col>7</xdr:col>
      <xdr:colOff>630975</xdr:colOff>
      <xdr:row>68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26B9A4-9F52-B0C0-3EA9-6BEFA668D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11297966"/>
          <a:ext cx="4592254" cy="1198833"/>
        </a:xfrm>
        <a:prstGeom prst="rect">
          <a:avLst/>
        </a:prstGeom>
      </xdr:spPr>
    </xdr:pic>
    <xdr:clientData/>
  </xdr:twoCellAnchor>
  <xdr:twoCellAnchor>
    <xdr:from>
      <xdr:col>4</xdr:col>
      <xdr:colOff>885264</xdr:colOff>
      <xdr:row>116</xdr:row>
      <xdr:rowOff>33618</xdr:rowOff>
    </xdr:from>
    <xdr:to>
      <xdr:col>7</xdr:col>
      <xdr:colOff>1187824</xdr:colOff>
      <xdr:row>125</xdr:row>
      <xdr:rowOff>22412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6DC6A6-EB77-E567-3987-AC37E130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538369</xdr:colOff>
      <xdr:row>14</xdr:row>
      <xdr:rowOff>8283</xdr:rowOff>
    </xdr:from>
    <xdr:to>
      <xdr:col>8</xdr:col>
      <xdr:colOff>416041</xdr:colOff>
      <xdr:row>27</xdr:row>
      <xdr:rowOff>120342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C5EF6C-F639-6F5F-DE22-FBA1B465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7782" y="2774674"/>
          <a:ext cx="3538585" cy="2588559"/>
        </a:xfrm>
        <a:prstGeom prst="rect">
          <a:avLst/>
        </a:prstGeom>
      </xdr:spPr>
    </xdr:pic>
    <xdr:clientData/>
  </xdr:twoCellAnchor>
  <xdr:twoCellAnchor editAs="oneCell">
    <xdr:from>
      <xdr:col>3</xdr:col>
      <xdr:colOff>488674</xdr:colOff>
      <xdr:row>28</xdr:row>
      <xdr:rowOff>91931</xdr:rowOff>
    </xdr:from>
    <xdr:to>
      <xdr:col>8</xdr:col>
      <xdr:colOff>546653</xdr:colOff>
      <xdr:row>38</xdr:row>
      <xdr:rowOff>39289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44455C-00FF-911F-C94F-804D4743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8087" y="5525322"/>
          <a:ext cx="3718892" cy="1852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366D-5791-47AB-B541-2E355EC87872}">
  <sheetPr codeName="Sheet1"/>
  <dimension ref="A1:F127"/>
  <sheetViews>
    <sheetView topLeftCell="A7" zoomScale="85" zoomScaleNormal="85" workbookViewId="0">
      <selection activeCell="C92" sqref="C92"/>
    </sheetView>
  </sheetViews>
  <sheetFormatPr defaultRowHeight="15" x14ac:dyDescent="0.25"/>
  <cols>
    <col min="1" max="1" width="27.140625" bestFit="1" customWidth="1"/>
    <col min="2" max="2" width="12" bestFit="1" customWidth="1"/>
    <col min="3" max="3" width="9.5703125" bestFit="1" customWidth="1"/>
    <col min="4" max="4" width="23.7109375" bestFit="1" customWidth="1"/>
    <col min="5" max="5" width="12" bestFit="1" customWidth="1"/>
  </cols>
  <sheetData>
    <row r="1" spans="1:4" ht="18.75" x14ac:dyDescent="0.3">
      <c r="A1" s="2" t="s">
        <v>0</v>
      </c>
    </row>
    <row r="3" spans="1:4" x14ac:dyDescent="0.25">
      <c r="A3" s="3" t="s">
        <v>1</v>
      </c>
      <c r="B3" s="13">
        <v>6.25E-2</v>
      </c>
    </row>
    <row r="4" spans="1:4" x14ac:dyDescent="0.25">
      <c r="A4" s="3" t="s">
        <v>7</v>
      </c>
      <c r="B4" s="3">
        <v>1000</v>
      </c>
    </row>
    <row r="5" spans="1:4" x14ac:dyDescent="0.25">
      <c r="A5" s="3" t="s">
        <v>6</v>
      </c>
      <c r="B5" s="14">
        <v>0.1</v>
      </c>
    </row>
    <row r="6" spans="1:4" x14ac:dyDescent="0.25">
      <c r="A6" s="3" t="s">
        <v>8</v>
      </c>
      <c r="B6" s="7">
        <f>B4*B5</f>
        <v>100</v>
      </c>
    </row>
    <row r="8" spans="1:4" x14ac:dyDescent="0.25">
      <c r="A8" s="4" t="s">
        <v>2</v>
      </c>
      <c r="B8" s="4" t="s">
        <v>3</v>
      </c>
      <c r="C8" s="4" t="s">
        <v>4</v>
      </c>
      <c r="D8" s="4" t="s">
        <v>5</v>
      </c>
    </row>
    <row r="9" spans="1:4" x14ac:dyDescent="0.25">
      <c r="A9" s="3">
        <v>1</v>
      </c>
      <c r="B9" s="7">
        <f>B$6</f>
        <v>100</v>
      </c>
      <c r="C9" s="8">
        <f>B9/(1+B$3)^A9</f>
        <v>94.117647058823536</v>
      </c>
      <c r="D9" s="8">
        <f t="shared" ref="D9:D12" si="0">B9*(1+B$3)^(A$13-A9)</f>
        <v>127.44293212890625</v>
      </c>
    </row>
    <row r="10" spans="1:4" x14ac:dyDescent="0.25">
      <c r="A10" s="3">
        <v>2</v>
      </c>
      <c r="B10" s="7">
        <f t="shared" ref="B10:B12" si="1">B$6</f>
        <v>100</v>
      </c>
      <c r="C10" s="8">
        <f t="shared" ref="C10:C12" si="2">B10/(1+B$3)^A10</f>
        <v>88.581314878892726</v>
      </c>
      <c r="D10" s="8">
        <f t="shared" si="0"/>
        <v>119.9462890625</v>
      </c>
    </row>
    <row r="11" spans="1:4" x14ac:dyDescent="0.25">
      <c r="A11" s="3">
        <v>3</v>
      </c>
      <c r="B11" s="7">
        <f t="shared" si="1"/>
        <v>100</v>
      </c>
      <c r="C11" s="8">
        <f t="shared" si="2"/>
        <v>83.370649297781398</v>
      </c>
      <c r="D11" s="8">
        <f t="shared" si="0"/>
        <v>112.890625</v>
      </c>
    </row>
    <row r="12" spans="1:4" x14ac:dyDescent="0.25">
      <c r="A12" s="3">
        <v>4</v>
      </c>
      <c r="B12" s="7">
        <f t="shared" si="1"/>
        <v>100</v>
      </c>
      <c r="C12" s="8">
        <f t="shared" si="2"/>
        <v>78.466493456735435</v>
      </c>
      <c r="D12" s="8">
        <f t="shared" si="0"/>
        <v>106.25</v>
      </c>
    </row>
    <row r="13" spans="1:4" x14ac:dyDescent="0.25">
      <c r="A13" s="3">
        <v>5</v>
      </c>
    </row>
    <row r="14" spans="1:4" x14ac:dyDescent="0.25">
      <c r="A14" s="3">
        <v>6</v>
      </c>
    </row>
    <row r="15" spans="1:4" x14ac:dyDescent="0.25">
      <c r="A15" s="3">
        <v>7</v>
      </c>
    </row>
    <row r="16" spans="1:4" x14ac:dyDescent="0.25">
      <c r="A16" s="3">
        <v>8</v>
      </c>
    </row>
    <row r="17" spans="1:4" x14ac:dyDescent="0.25">
      <c r="A17" s="3">
        <v>9</v>
      </c>
    </row>
    <row r="18" spans="1:4" x14ac:dyDescent="0.25">
      <c r="A18" s="3">
        <v>10</v>
      </c>
    </row>
    <row r="19" spans="1:4" x14ac:dyDescent="0.25">
      <c r="A19" s="3">
        <v>11</v>
      </c>
    </row>
    <row r="20" spans="1:4" x14ac:dyDescent="0.25">
      <c r="A20" s="3">
        <v>12</v>
      </c>
    </row>
    <row r="21" spans="1:4" x14ac:dyDescent="0.25">
      <c r="A21" s="3">
        <v>13</v>
      </c>
    </row>
    <row r="22" spans="1:4" x14ac:dyDescent="0.25">
      <c r="A22" s="3">
        <v>14</v>
      </c>
    </row>
    <row r="23" spans="1:4" x14ac:dyDescent="0.25">
      <c r="A23" s="3">
        <v>15</v>
      </c>
    </row>
    <row r="24" spans="1:4" x14ac:dyDescent="0.25">
      <c r="A24" s="3">
        <v>16</v>
      </c>
    </row>
    <row r="25" spans="1:4" x14ac:dyDescent="0.25">
      <c r="A25" s="3">
        <v>17</v>
      </c>
    </row>
    <row r="26" spans="1:4" x14ac:dyDescent="0.25">
      <c r="A26" s="3">
        <v>18</v>
      </c>
    </row>
    <row r="27" spans="1:4" x14ac:dyDescent="0.25">
      <c r="A27" s="3">
        <v>19</v>
      </c>
    </row>
    <row r="28" spans="1:4" x14ac:dyDescent="0.25">
      <c r="A28" s="3">
        <v>20</v>
      </c>
      <c r="B28" s="7">
        <f>B$6 + B4</f>
        <v>1100</v>
      </c>
      <c r="C28" s="8">
        <f>B28/(1+B$3)^A13</f>
        <v>812.35899108149624</v>
      </c>
      <c r="D28" s="8">
        <f>B28*(1+B$3)^(A$13-A13)</f>
        <v>1100</v>
      </c>
    </row>
    <row r="29" spans="1:4" x14ac:dyDescent="0.25">
      <c r="A29" s="3"/>
    </row>
    <row r="30" spans="1:4" x14ac:dyDescent="0.25">
      <c r="A30" s="3"/>
    </row>
    <row r="31" spans="1:4" x14ac:dyDescent="0.25">
      <c r="B31" s="3" t="s">
        <v>9</v>
      </c>
      <c r="C31" s="8">
        <f>SUM(C9:C28)</f>
        <v>1156.8950957737293</v>
      </c>
      <c r="D31" s="8">
        <f>SUM(D9:D28)</f>
        <v>1566.5298461914063</v>
      </c>
    </row>
    <row r="33" spans="1:6" ht="18.75" x14ac:dyDescent="0.3">
      <c r="A33" s="2" t="s">
        <v>10</v>
      </c>
    </row>
    <row r="35" spans="1:6" x14ac:dyDescent="0.25">
      <c r="A35" s="1" t="s">
        <v>26</v>
      </c>
      <c r="F35" s="1"/>
    </row>
    <row r="36" spans="1:6" x14ac:dyDescent="0.25">
      <c r="A36" t="s">
        <v>27</v>
      </c>
    </row>
    <row r="37" spans="1:6" x14ac:dyDescent="0.25">
      <c r="A37" t="s">
        <v>28</v>
      </c>
    </row>
    <row r="39" spans="1:6" x14ac:dyDescent="0.25">
      <c r="A39" s="3" t="s">
        <v>14</v>
      </c>
      <c r="B39" s="3">
        <v>1000</v>
      </c>
      <c r="D39" s="15" t="s">
        <v>29</v>
      </c>
      <c r="E39" s="8">
        <f>B50</f>
        <v>885.30078781434736</v>
      </c>
    </row>
    <row r="40" spans="1:6" x14ac:dyDescent="0.25">
      <c r="A40" s="15" t="s">
        <v>15</v>
      </c>
      <c r="B40" s="3">
        <v>10</v>
      </c>
      <c r="D40" s="3">
        <v>20</v>
      </c>
      <c r="E40" s="10">
        <f t="dataTable" ref="E40:E80" dt2D="0" dtr="0" r1="B40"/>
        <v>849.53703128475104</v>
      </c>
    </row>
    <row r="41" spans="1:6" x14ac:dyDescent="0.25">
      <c r="A41" s="3" t="s">
        <v>16</v>
      </c>
      <c r="B41" s="3">
        <v>2</v>
      </c>
      <c r="D41" s="3">
        <v>19.5</v>
      </c>
      <c r="E41" s="10">
        <v>850.509253161836</v>
      </c>
    </row>
    <row r="42" spans="1:6" x14ac:dyDescent="0.25">
      <c r="A42" s="3" t="s">
        <v>17</v>
      </c>
      <c r="B42" s="11">
        <v>0.1</v>
      </c>
      <c r="D42" s="3">
        <v>19</v>
      </c>
      <c r="E42" s="10">
        <v>851.53980835154618</v>
      </c>
    </row>
    <row r="43" spans="1:6" x14ac:dyDescent="0.25">
      <c r="A43" s="3" t="s">
        <v>18</v>
      </c>
      <c r="B43" s="12">
        <v>0.12</v>
      </c>
      <c r="D43" s="3">
        <v>18.5</v>
      </c>
      <c r="E43" s="10">
        <v>852.63219685263891</v>
      </c>
    </row>
    <row r="44" spans="1:6" x14ac:dyDescent="0.25">
      <c r="D44" s="3">
        <v>18</v>
      </c>
      <c r="E44" s="10">
        <v>853.7901286637973</v>
      </c>
    </row>
    <row r="45" spans="1:6" x14ac:dyDescent="0.25">
      <c r="A45" s="3" t="s">
        <v>19</v>
      </c>
      <c r="B45" s="7">
        <f>B42/B41 * B39</f>
        <v>50</v>
      </c>
      <c r="D45" s="3">
        <v>17.5</v>
      </c>
      <c r="E45" s="10">
        <v>855.01753638362493</v>
      </c>
    </row>
    <row r="46" spans="1:6" x14ac:dyDescent="0.25">
      <c r="A46" s="3" t="s">
        <v>20</v>
      </c>
      <c r="B46" s="7">
        <f>B40*B41</f>
        <v>20</v>
      </c>
      <c r="D46" s="3">
        <v>17</v>
      </c>
      <c r="E46" s="10">
        <v>856.31858856664269</v>
      </c>
    </row>
    <row r="47" spans="1:6" x14ac:dyDescent="0.25">
      <c r="A47" s="3" t="s">
        <v>21</v>
      </c>
      <c r="B47" s="7">
        <f>B43/B41</f>
        <v>0.06</v>
      </c>
      <c r="D47" s="3">
        <v>16.5</v>
      </c>
      <c r="E47" s="10">
        <v>857.69770388064126</v>
      </c>
    </row>
    <row r="48" spans="1:6" x14ac:dyDescent="0.25">
      <c r="A48" s="3" t="s">
        <v>22</v>
      </c>
      <c r="B48" s="8">
        <f>B45*(1-1/(1+B47)^B46) / B47</f>
        <v>573.49606092826309</v>
      </c>
      <c r="D48" s="3">
        <v>16</v>
      </c>
      <c r="E48" s="10">
        <v>859.15956611347974</v>
      </c>
    </row>
    <row r="49" spans="1:5" x14ac:dyDescent="0.25">
      <c r="A49" s="3" t="s">
        <v>23</v>
      </c>
      <c r="B49" s="8">
        <f>B39/(1+B47)^B46</f>
        <v>311.80472688608427</v>
      </c>
      <c r="D49" s="3">
        <v>15.5</v>
      </c>
      <c r="E49" s="10">
        <v>860.70914008028842</v>
      </c>
    </row>
    <row r="50" spans="1:5" x14ac:dyDescent="0.25">
      <c r="A50" s="3" t="s">
        <v>25</v>
      </c>
      <c r="B50" s="8">
        <f>B48+B49</f>
        <v>885.30078781434736</v>
      </c>
      <c r="D50" s="3">
        <v>15</v>
      </c>
      <c r="E50" s="10">
        <v>862.35168848510557</v>
      </c>
    </row>
    <row r="51" spans="1:5" x14ac:dyDescent="0.25">
      <c r="D51" s="3">
        <v>14.5</v>
      </c>
      <c r="E51" s="10">
        <v>864.09278979421219</v>
      </c>
    </row>
    <row r="52" spans="1:5" x14ac:dyDescent="0.25">
      <c r="D52" s="3">
        <v>14</v>
      </c>
      <c r="E52" s="10">
        <v>865.93835718186483</v>
      </c>
    </row>
    <row r="53" spans="1:5" x14ac:dyDescent="0.25">
      <c r="D53" s="3">
        <v>13.5</v>
      </c>
      <c r="E53" s="10">
        <v>867.89465861277665</v>
      </c>
    </row>
    <row r="54" spans="1:5" x14ac:dyDescent="0.25">
      <c r="D54" s="3">
        <v>13</v>
      </c>
      <c r="E54" s="10">
        <v>869.96833812954333</v>
      </c>
    </row>
    <row r="55" spans="1:5" x14ac:dyDescent="0.25">
      <c r="D55" s="3">
        <v>12.5</v>
      </c>
      <c r="E55" s="10">
        <v>872.16643841731593</v>
      </c>
    </row>
    <row r="56" spans="1:5" x14ac:dyDescent="0.25">
      <c r="D56" s="3">
        <v>12</v>
      </c>
      <c r="E56" s="10">
        <v>874.49642472235485</v>
      </c>
    </row>
    <row r="57" spans="1:5" x14ac:dyDescent="0.25">
      <c r="D57" s="3">
        <v>11.5</v>
      </c>
      <c r="E57" s="10">
        <v>876.96621020569614</v>
      </c>
    </row>
    <row r="58" spans="1:5" x14ac:dyDescent="0.25">
      <c r="D58" s="3">
        <v>11</v>
      </c>
      <c r="E58" s="10">
        <v>879.58418281803779</v>
      </c>
    </row>
    <row r="59" spans="1:5" x14ac:dyDescent="0.25">
      <c r="D59" s="3">
        <v>10.5</v>
      </c>
      <c r="E59" s="10">
        <v>882.35923378712016</v>
      </c>
    </row>
    <row r="60" spans="1:5" x14ac:dyDescent="0.25">
      <c r="D60" s="3">
        <v>10</v>
      </c>
      <c r="E60" s="10">
        <v>885.30078781434736</v>
      </c>
    </row>
    <row r="61" spans="1:5" x14ac:dyDescent="0.25">
      <c r="D61" s="3">
        <v>9.5</v>
      </c>
      <c r="E61" s="10">
        <v>888.41883508320825</v>
      </c>
    </row>
    <row r="62" spans="1:5" x14ac:dyDescent="0.25">
      <c r="D62" s="3">
        <v>9</v>
      </c>
      <c r="E62" s="10">
        <v>891.72396518820074</v>
      </c>
    </row>
    <row r="63" spans="1:5" x14ac:dyDescent="0.25">
      <c r="D63" s="3">
        <v>8.5</v>
      </c>
      <c r="E63" s="10">
        <v>895.22740309949268</v>
      </c>
    </row>
    <row r="64" spans="1:5" x14ac:dyDescent="0.25">
      <c r="D64" s="3">
        <v>8</v>
      </c>
      <c r="E64" s="10">
        <v>898.94104728546222</v>
      </c>
    </row>
    <row r="65" spans="4:5" x14ac:dyDescent="0.25">
      <c r="D65" s="3">
        <v>7.5</v>
      </c>
      <c r="E65" s="10">
        <v>902.87751012259014</v>
      </c>
    </row>
    <row r="66" spans="4:5" x14ac:dyDescent="0.25">
      <c r="D66" s="3">
        <v>7</v>
      </c>
      <c r="E66" s="10">
        <v>907.05016072994545</v>
      </c>
    </row>
    <row r="67" spans="4:5" x14ac:dyDescent="0.25">
      <c r="D67" s="3">
        <v>6.5</v>
      </c>
      <c r="E67" s="10">
        <v>911.47317037374228</v>
      </c>
    </row>
    <row r="68" spans="4:5" x14ac:dyDescent="0.25">
      <c r="D68" s="3">
        <v>6</v>
      </c>
      <c r="E68" s="10">
        <v>916.16156059616674</v>
      </c>
    </row>
    <row r="69" spans="4:5" x14ac:dyDescent="0.25">
      <c r="D69" s="3">
        <v>5.5</v>
      </c>
      <c r="E69" s="10">
        <v>921.13125423193674</v>
      </c>
    </row>
    <row r="70" spans="4:5" x14ac:dyDescent="0.25">
      <c r="D70" s="3">
        <v>5</v>
      </c>
      <c r="E70" s="10">
        <v>926.39912948585288</v>
      </c>
    </row>
    <row r="71" spans="4:5" x14ac:dyDescent="0.25">
      <c r="D71" s="3">
        <v>4.5</v>
      </c>
      <c r="E71" s="10">
        <v>931.98307725500422</v>
      </c>
    </row>
    <row r="72" spans="4:5" x14ac:dyDescent="0.25">
      <c r="D72" s="3">
        <v>4</v>
      </c>
      <c r="E72" s="10">
        <v>937.90206189030448</v>
      </c>
    </row>
    <row r="73" spans="4:5" x14ac:dyDescent="0.25">
      <c r="D73" s="3">
        <v>3.5</v>
      </c>
      <c r="E73" s="10">
        <v>944.17618560372273</v>
      </c>
    </row>
    <row r="74" spans="4:5" x14ac:dyDescent="0.25">
      <c r="D74" s="3">
        <v>3</v>
      </c>
      <c r="E74" s="10">
        <v>950.82675673994606</v>
      </c>
    </row>
    <row r="75" spans="4:5" x14ac:dyDescent="0.25">
      <c r="D75" s="3">
        <v>2.5</v>
      </c>
      <c r="E75" s="10">
        <v>957.87636214434281</v>
      </c>
    </row>
    <row r="76" spans="4:5" x14ac:dyDescent="0.25">
      <c r="D76" s="3">
        <v>2</v>
      </c>
      <c r="E76" s="10">
        <v>965.34894387300346</v>
      </c>
    </row>
    <row r="77" spans="4:5" x14ac:dyDescent="0.25">
      <c r="D77" s="3">
        <v>1.5</v>
      </c>
      <c r="E77" s="10">
        <v>973.26988050538364</v>
      </c>
    </row>
    <row r="78" spans="4:5" x14ac:dyDescent="0.25">
      <c r="D78" s="3">
        <v>1</v>
      </c>
      <c r="E78" s="10">
        <v>981.66607333570664</v>
      </c>
    </row>
    <row r="79" spans="4:5" x14ac:dyDescent="0.25">
      <c r="D79" s="3">
        <v>0.5</v>
      </c>
      <c r="E79" s="10">
        <v>990.56603773584902</v>
      </c>
    </row>
    <row r="80" spans="4:5" x14ac:dyDescent="0.25">
      <c r="D80" s="3">
        <v>0</v>
      </c>
      <c r="E80" s="10">
        <v>1000</v>
      </c>
    </row>
    <row r="82" spans="1:5" x14ac:dyDescent="0.25">
      <c r="A82" s="1" t="s">
        <v>11</v>
      </c>
    </row>
    <row r="83" spans="1:5" x14ac:dyDescent="0.25">
      <c r="A83" t="s">
        <v>12</v>
      </c>
    </row>
    <row r="84" spans="1:5" x14ac:dyDescent="0.25">
      <c r="A84" t="s">
        <v>13</v>
      </c>
    </row>
    <row r="86" spans="1:5" x14ac:dyDescent="0.25">
      <c r="A86" s="3" t="s">
        <v>14</v>
      </c>
      <c r="B86" s="3">
        <v>1000</v>
      </c>
      <c r="D86" s="15" t="s">
        <v>29</v>
      </c>
      <c r="E86" s="8">
        <f>B97</f>
        <v>1150.8261172101793</v>
      </c>
    </row>
    <row r="87" spans="1:5" x14ac:dyDescent="0.25">
      <c r="A87" s="15" t="s">
        <v>15</v>
      </c>
      <c r="B87" s="3">
        <v>10</v>
      </c>
      <c r="D87" s="3">
        <v>20</v>
      </c>
      <c r="E87" s="10">
        <f t="dataTable" ref="E87:E127" dt2D="0" dtr="0" r1="B87"/>
        <v>1220.9983991771542</v>
      </c>
    </row>
    <row r="88" spans="1:5" x14ac:dyDescent="0.25">
      <c r="A88" s="3" t="s">
        <v>16</v>
      </c>
      <c r="B88" s="3">
        <v>2</v>
      </c>
      <c r="D88" s="3">
        <v>19.5</v>
      </c>
      <c r="E88" s="10">
        <v>1218.6173367450629</v>
      </c>
    </row>
    <row r="89" spans="1:5" x14ac:dyDescent="0.25">
      <c r="A89" s="3" t="s">
        <v>17</v>
      </c>
      <c r="B89" s="16">
        <v>0.1</v>
      </c>
      <c r="D89" s="3">
        <v>19</v>
      </c>
      <c r="E89" s="10">
        <v>1216.1434128781204</v>
      </c>
    </row>
    <row r="90" spans="1:5" x14ac:dyDescent="0.25">
      <c r="A90" s="3" t="s">
        <v>18</v>
      </c>
      <c r="B90" s="12">
        <v>7.8E-2</v>
      </c>
      <c r="D90" s="3">
        <v>18.5</v>
      </c>
      <c r="E90" s="10">
        <v>1213.573005980367</v>
      </c>
    </row>
    <row r="91" spans="1:5" x14ac:dyDescent="0.25">
      <c r="D91" s="3">
        <v>18</v>
      </c>
      <c r="E91" s="10">
        <v>1210.9023532136014</v>
      </c>
    </row>
    <row r="92" spans="1:5" x14ac:dyDescent="0.25">
      <c r="A92" s="3" t="s">
        <v>19</v>
      </c>
      <c r="B92" s="7">
        <f>B89/B88 * B86</f>
        <v>50</v>
      </c>
      <c r="D92" s="3">
        <v>17.5</v>
      </c>
      <c r="E92" s="10">
        <v>1208.127544988932</v>
      </c>
    </row>
    <row r="93" spans="1:5" x14ac:dyDescent="0.25">
      <c r="A93" s="3" t="s">
        <v>20</v>
      </c>
      <c r="B93" s="7">
        <f>B87*B88</f>
        <v>20</v>
      </c>
      <c r="D93" s="3">
        <v>17</v>
      </c>
      <c r="E93" s="10">
        <v>1205.2445192435002</v>
      </c>
    </row>
    <row r="94" spans="1:5" x14ac:dyDescent="0.25">
      <c r="A94" s="3" t="s">
        <v>21</v>
      </c>
      <c r="B94" s="7">
        <f>B90/B88</f>
        <v>3.9E-2</v>
      </c>
      <c r="D94" s="3">
        <v>16.5</v>
      </c>
      <c r="E94" s="10">
        <v>1202.2490554939968</v>
      </c>
    </row>
    <row r="95" spans="1:5" x14ac:dyDescent="0.25">
      <c r="A95" s="3" t="s">
        <v>22</v>
      </c>
      <c r="B95" s="8">
        <f>B92*(1-1/(1+B94)^B93) / B94</f>
        <v>685.57326004626941</v>
      </c>
      <c r="D95" s="3">
        <v>16</v>
      </c>
      <c r="E95" s="10">
        <v>1199.1367686582626</v>
      </c>
    </row>
    <row r="96" spans="1:5" x14ac:dyDescent="0.25">
      <c r="A96" s="3" t="s">
        <v>23</v>
      </c>
      <c r="B96" s="8">
        <f>B86/(1+B94)^B93</f>
        <v>465.25285716390994</v>
      </c>
      <c r="D96" s="3">
        <v>15.5</v>
      </c>
      <c r="E96" s="10">
        <v>1195.9031026359348</v>
      </c>
    </row>
    <row r="97" spans="1:5" x14ac:dyDescent="0.25">
      <c r="A97" s="3" t="s">
        <v>25</v>
      </c>
      <c r="B97" s="8">
        <f>B95+B96</f>
        <v>1150.8261172101793</v>
      </c>
      <c r="D97" s="3">
        <v>15</v>
      </c>
      <c r="E97" s="10">
        <v>1192.5433236387362</v>
      </c>
    </row>
    <row r="98" spans="1:5" x14ac:dyDescent="0.25">
      <c r="D98" s="3">
        <v>14.5</v>
      </c>
      <c r="E98" s="10">
        <v>1189.0525132606472</v>
      </c>
    </row>
    <row r="99" spans="1:5" x14ac:dyDescent="0.25">
      <c r="D99" s="3">
        <v>14</v>
      </c>
      <c r="E99" s="10">
        <v>1185.4255612778124</v>
      </c>
    </row>
    <row r="100" spans="1:5" x14ac:dyDescent="0.25">
      <c r="D100" s="3">
        <v>13.5</v>
      </c>
      <c r="E100" s="10">
        <v>1181.6571581676471</v>
      </c>
    </row>
    <row r="101" spans="1:5" x14ac:dyDescent="0.25">
      <c r="D101" s="3">
        <v>13</v>
      </c>
      <c r="E101" s="10">
        <v>1177.7417873361853</v>
      </c>
    </row>
    <row r="102" spans="1:5" x14ac:dyDescent="0.25">
      <c r="D102" s="3">
        <v>12.5</v>
      </c>
      <c r="E102" s="10">
        <v>1173.6737170422964</v>
      </c>
    </row>
    <row r="103" spans="1:5" x14ac:dyDescent="0.25">
      <c r="D103" s="3">
        <v>12</v>
      </c>
      <c r="E103" s="10">
        <v>1169.4469920069462</v>
      </c>
    </row>
    <row r="104" spans="1:5" x14ac:dyDescent="0.25">
      <c r="D104" s="3">
        <v>11.5</v>
      </c>
      <c r="E104" s="10">
        <v>1165.055424695217</v>
      </c>
    </row>
    <row r="105" spans="1:5" x14ac:dyDescent="0.25">
      <c r="D105" s="3">
        <v>11</v>
      </c>
      <c r="E105" s="10">
        <v>1160.4925862583304</v>
      </c>
    </row>
    <row r="106" spans="1:5" x14ac:dyDescent="0.25">
      <c r="D106" s="3">
        <v>10.5</v>
      </c>
      <c r="E106" s="10">
        <v>1155.7517971224054</v>
      </c>
    </row>
    <row r="107" spans="1:5" x14ac:dyDescent="0.25">
      <c r="D107" s="3">
        <v>10</v>
      </c>
      <c r="E107" s="10">
        <v>1150.8261172101793</v>
      </c>
    </row>
    <row r="108" spans="1:5" x14ac:dyDescent="0.25">
      <c r="D108" s="3">
        <v>9.5</v>
      </c>
      <c r="E108" s="10">
        <v>1145.7083357813763</v>
      </c>
    </row>
    <row r="109" spans="1:5" x14ac:dyDescent="0.25">
      <c r="D109" s="3">
        <v>9</v>
      </c>
      <c r="E109" s="10">
        <v>1140.3909608768499</v>
      </c>
    </row>
    <row r="110" spans="1:5" x14ac:dyDescent="0.25">
      <c r="D110" s="3">
        <v>8.5</v>
      </c>
      <c r="E110" s="10">
        <v>1134.8662083510471</v>
      </c>
    </row>
    <row r="111" spans="1:5" x14ac:dyDescent="0.25">
      <c r="D111" s="3">
        <v>8</v>
      </c>
      <c r="E111" s="10">
        <v>1129.125990476738</v>
      </c>
    </row>
    <row r="112" spans="1:5" x14ac:dyDescent="0.25">
      <c r="D112" s="3">
        <v>7.5</v>
      </c>
      <c r="E112" s="10">
        <v>1123.1619041053309</v>
      </c>
    </row>
    <row r="113" spans="4:5" x14ac:dyDescent="0.25">
      <c r="D113" s="3">
        <v>7</v>
      </c>
      <c r="E113" s="10">
        <v>1116.9652183654387</v>
      </c>
    </row>
    <row r="114" spans="4:5" x14ac:dyDescent="0.25">
      <c r="D114" s="3">
        <v>6.5</v>
      </c>
      <c r="E114" s="10">
        <v>1110.5268618816908</v>
      </c>
    </row>
    <row r="115" spans="4:5" x14ac:dyDescent="0.25">
      <c r="D115" s="3">
        <v>6</v>
      </c>
      <c r="E115" s="10">
        <v>1103.8374094950768</v>
      </c>
    </row>
    <row r="116" spans="4:5" x14ac:dyDescent="0.25">
      <c r="D116" s="3">
        <v>5.5</v>
      </c>
      <c r="E116" s="10">
        <v>1096.8870684653848</v>
      </c>
    </row>
    <row r="117" spans="4:5" x14ac:dyDescent="0.25">
      <c r="D117" s="3">
        <v>5</v>
      </c>
      <c r="E117" s="10">
        <v>1089.6656641355348</v>
      </c>
    </row>
    <row r="118" spans="4:5" x14ac:dyDescent="0.25">
      <c r="D118" s="3">
        <v>4.5</v>
      </c>
      <c r="E118" s="10">
        <v>1082.1626250368208</v>
      </c>
    </row>
    <row r="119" spans="4:5" x14ac:dyDescent="0.25">
      <c r="D119" s="3">
        <v>4</v>
      </c>
      <c r="E119" s="10">
        <v>1074.366967413257</v>
      </c>
    </row>
    <row r="120" spans="4:5" x14ac:dyDescent="0.25">
      <c r="D120" s="3">
        <v>3.5</v>
      </c>
      <c r="E120" s="10">
        <v>1066.2672791423738</v>
      </c>
    </row>
    <row r="121" spans="4:5" x14ac:dyDescent="0.25">
      <c r="D121" s="3">
        <v>3</v>
      </c>
      <c r="E121" s="10">
        <v>1057.8517030289265</v>
      </c>
    </row>
    <row r="122" spans="4:5" x14ac:dyDescent="0.25">
      <c r="D122" s="3">
        <v>2.5</v>
      </c>
      <c r="E122" s="10">
        <v>1049.1079194470547</v>
      </c>
    </row>
    <row r="123" spans="4:5" x14ac:dyDescent="0.25">
      <c r="D123" s="3">
        <v>2</v>
      </c>
      <c r="E123" s="10">
        <v>1040.0231283054898</v>
      </c>
    </row>
    <row r="124" spans="4:5" x14ac:dyDescent="0.25">
      <c r="D124" s="3">
        <v>1.5</v>
      </c>
      <c r="E124" s="10">
        <v>1030.5840303094039</v>
      </c>
    </row>
    <row r="125" spans="4:5" x14ac:dyDescent="0.25">
      <c r="D125" s="3">
        <v>1</v>
      </c>
      <c r="E125" s="10">
        <v>1020.7768074914707</v>
      </c>
    </row>
    <row r="126" spans="4:5" x14ac:dyDescent="0.25">
      <c r="D126" s="3">
        <v>0.5</v>
      </c>
      <c r="E126" s="10">
        <v>1010.5871029836381</v>
      </c>
    </row>
    <row r="127" spans="4:5" x14ac:dyDescent="0.25">
      <c r="D127" s="3">
        <v>0</v>
      </c>
      <c r="E127" s="10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40D6-5A21-4368-AD7B-2B859CA61B98}">
  <dimension ref="A1:L116"/>
  <sheetViews>
    <sheetView tabSelected="1" workbookViewId="0">
      <selection activeCell="K13" sqref="K13"/>
    </sheetView>
  </sheetViews>
  <sheetFormatPr defaultRowHeight="15" x14ac:dyDescent="0.25"/>
  <cols>
    <col min="1" max="1" width="23.7109375" bestFit="1" customWidth="1"/>
    <col min="2" max="2" width="30.7109375" bestFit="1" customWidth="1"/>
    <col min="3" max="3" width="11.42578125" bestFit="1" customWidth="1"/>
    <col min="4" max="4" width="13.7109375" bestFit="1" customWidth="1"/>
    <col min="5" max="5" width="14" bestFit="1" customWidth="1"/>
    <col min="7" max="7" width="15.7109375" bestFit="1" customWidth="1"/>
    <col min="8" max="8" width="10.85546875" bestFit="1" customWidth="1"/>
    <col min="10" max="10" width="19.28515625" bestFit="1" customWidth="1"/>
    <col min="11" max="11" width="13.28515625" bestFit="1" customWidth="1"/>
  </cols>
  <sheetData>
    <row r="1" spans="1:12" ht="18.75" x14ac:dyDescent="0.3">
      <c r="A1" s="2" t="s">
        <v>30</v>
      </c>
      <c r="L1" t="s">
        <v>114</v>
      </c>
    </row>
    <row r="2" spans="1:12" x14ac:dyDescent="0.25">
      <c r="J2" t="s">
        <v>111</v>
      </c>
      <c r="K2" s="17">
        <v>45214</v>
      </c>
    </row>
    <row r="3" spans="1:12" x14ac:dyDescent="0.25">
      <c r="A3" s="3" t="s">
        <v>14</v>
      </c>
      <c r="B3" s="3">
        <v>1000</v>
      </c>
      <c r="J3" t="s">
        <v>113</v>
      </c>
      <c r="K3" s="17">
        <v>45327</v>
      </c>
      <c r="L3">
        <f>K3-$K$2</f>
        <v>113</v>
      </c>
    </row>
    <row r="4" spans="1:12" x14ac:dyDescent="0.25">
      <c r="A4" s="3" t="s">
        <v>15</v>
      </c>
      <c r="B4" s="3">
        <v>10</v>
      </c>
      <c r="J4" t="s">
        <v>112</v>
      </c>
      <c r="K4" s="17">
        <v>45397</v>
      </c>
      <c r="L4">
        <f>K4-$K$2</f>
        <v>183</v>
      </c>
    </row>
    <row r="5" spans="1:12" x14ac:dyDescent="0.25">
      <c r="A5" s="3" t="s">
        <v>31</v>
      </c>
      <c r="B5" s="3">
        <v>2</v>
      </c>
    </row>
    <row r="6" spans="1:12" x14ac:dyDescent="0.25">
      <c r="A6" s="3" t="s">
        <v>17</v>
      </c>
      <c r="B6" s="11">
        <v>0.1</v>
      </c>
    </row>
    <row r="7" spans="1:12" x14ac:dyDescent="0.25">
      <c r="A7" s="3" t="s">
        <v>32</v>
      </c>
      <c r="B7" s="12">
        <v>0.11</v>
      </c>
    </row>
    <row r="8" spans="1:12" x14ac:dyDescent="0.25">
      <c r="J8" t="s">
        <v>115</v>
      </c>
      <c r="K8">
        <f>$L$3/$L$4</f>
        <v>0.61748633879781423</v>
      </c>
    </row>
    <row r="9" spans="1:12" x14ac:dyDescent="0.25">
      <c r="A9" s="3" t="s">
        <v>33</v>
      </c>
      <c r="B9" s="7">
        <f>B6/B5 * B3</f>
        <v>50</v>
      </c>
    </row>
    <row r="10" spans="1:12" x14ac:dyDescent="0.25">
      <c r="A10" s="3" t="s">
        <v>20</v>
      </c>
      <c r="B10" s="7">
        <f>B4*B5</f>
        <v>20</v>
      </c>
    </row>
    <row r="11" spans="1:12" x14ac:dyDescent="0.25">
      <c r="A11" s="3" t="s">
        <v>21</v>
      </c>
      <c r="B11" s="7">
        <f>B7/B5</f>
        <v>5.5E-2</v>
      </c>
    </row>
    <row r="12" spans="1:12" x14ac:dyDescent="0.25">
      <c r="A12" s="3" t="s">
        <v>22</v>
      </c>
      <c r="B12" s="8">
        <f>B9*(1-1/(1+B11)^B10) / B11</f>
        <v>597.51912424641466</v>
      </c>
    </row>
    <row r="13" spans="1:12" x14ac:dyDescent="0.25">
      <c r="A13" s="3" t="s">
        <v>34</v>
      </c>
      <c r="B13" s="8">
        <f>B3/(1+B11)^B10</f>
        <v>342.72896332894379</v>
      </c>
    </row>
    <row r="14" spans="1:12" x14ac:dyDescent="0.25">
      <c r="A14" s="3" t="s">
        <v>24</v>
      </c>
      <c r="B14" s="8">
        <f>B12+B13</f>
        <v>940.24808757535845</v>
      </c>
    </row>
    <row r="16" spans="1:12" x14ac:dyDescent="0.25">
      <c r="A16" s="5" t="s">
        <v>35</v>
      </c>
      <c r="B16" s="5" t="s">
        <v>37</v>
      </c>
    </row>
    <row r="17" spans="1:8" x14ac:dyDescent="0.25">
      <c r="A17" s="4" t="s">
        <v>36</v>
      </c>
      <c r="B17" s="4" t="s">
        <v>38</v>
      </c>
      <c r="C17" s="4" t="s">
        <v>20</v>
      </c>
      <c r="D17" s="4" t="s">
        <v>22</v>
      </c>
      <c r="E17" s="4" t="s">
        <v>34</v>
      </c>
      <c r="F17" s="4" t="s">
        <v>39</v>
      </c>
      <c r="G17" s="4" t="s">
        <v>30</v>
      </c>
      <c r="H17" s="4" t="s">
        <v>40</v>
      </c>
    </row>
    <row r="18" spans="1:8" x14ac:dyDescent="0.25">
      <c r="A18" s="3">
        <v>9.9</v>
      </c>
      <c r="B18" s="7">
        <f>IF(MOD(MOD(A18, 1), 1/$B$5) / (1/$B$5) &lt; 0.1, 1, MOD(MOD(A18, 1), 1/$B$5) / (1/$B$5))</f>
        <v>0.80000000000000071</v>
      </c>
      <c r="C18" s="7">
        <f>$B$5*A18-B18+1</f>
        <v>20</v>
      </c>
      <c r="D18" s="7">
        <f>$B$9*(1-1/(1+$B$11)^C18)/$B$11 * (1+$B$11)^(1-B18)</f>
        <v>603.95183041501866</v>
      </c>
      <c r="E18" s="7">
        <f>(1+$B$11)^(1-B18) * $B$3/(1+$B$11)^C18</f>
        <v>346.41867739348669</v>
      </c>
      <c r="F18" s="7">
        <f>D18+E18</f>
        <v>950.37050780850541</v>
      </c>
      <c r="G18" s="7">
        <f>$B$9*(1-B18)</f>
        <v>9.9999999999999645</v>
      </c>
      <c r="H18" s="7">
        <f>F18-G18</f>
        <v>940.37050780850541</v>
      </c>
    </row>
    <row r="19" spans="1:8" x14ac:dyDescent="0.25">
      <c r="A19" s="7">
        <f>A18-0.1</f>
        <v>9.8000000000000007</v>
      </c>
      <c r="B19" s="7">
        <f t="shared" ref="B19:B82" si="0">IF(MOD(MOD(A19, 1), 1/$B$5) / (1/$B$5) &lt; 0.1, 1, MOD(MOD(A19, 1), 1/$B$5) / (1/$B$5))</f>
        <v>0.60000000000000142</v>
      </c>
      <c r="C19" s="7">
        <f t="shared" ref="C19:C82" si="1">$B$5*A19-B19+1</f>
        <v>20</v>
      </c>
      <c r="D19" s="7">
        <f t="shared" ref="D19:D82" si="2">$B$9*(1-1/(1+$B$11)^C19)/$B$11 * (1+$B$11)^(1-B19)</f>
        <v>610.45378910956288</v>
      </c>
      <c r="E19" s="7">
        <f t="shared" ref="E19:E82" si="3">(1+$B$11)^(1-B19) * $B$3/(1+$B$11)^C19</f>
        <v>350.14811377897342</v>
      </c>
      <c r="F19" s="7">
        <f t="shared" ref="F19:F82" si="4">D19+E19</f>
        <v>960.6019028885363</v>
      </c>
      <c r="G19" s="7">
        <f t="shared" ref="G19:G82" si="5">$B$9*(1-B19)</f>
        <v>19.999999999999929</v>
      </c>
      <c r="H19" s="7">
        <f t="shared" ref="H19:H82" si="6">F19-G19</f>
        <v>940.60190288853642</v>
      </c>
    </row>
    <row r="20" spans="1:8" x14ac:dyDescent="0.25">
      <c r="A20" s="7">
        <f t="shared" ref="A20:A83" si="7">A19-0.1</f>
        <v>9.7000000000000011</v>
      </c>
      <c r="B20" s="7">
        <f t="shared" si="0"/>
        <v>0.40000000000000213</v>
      </c>
      <c r="C20" s="7">
        <f t="shared" si="1"/>
        <v>20</v>
      </c>
      <c r="D20" s="7">
        <f t="shared" si="2"/>
        <v>617.025745881332</v>
      </c>
      <c r="E20" s="7">
        <f t="shared" si="3"/>
        <v>353.91770012363099</v>
      </c>
      <c r="F20" s="7">
        <f t="shared" si="4"/>
        <v>970.94344600496299</v>
      </c>
      <c r="G20" s="7">
        <f t="shared" si="5"/>
        <v>29.999999999999893</v>
      </c>
      <c r="H20" s="7">
        <f t="shared" si="6"/>
        <v>940.94344600496311</v>
      </c>
    </row>
    <row r="21" spans="1:8" x14ac:dyDescent="0.25">
      <c r="A21" s="7">
        <f t="shared" si="7"/>
        <v>9.6000000000000014</v>
      </c>
      <c r="B21" s="7">
        <f t="shared" si="0"/>
        <v>0.20000000000000284</v>
      </c>
      <c r="C21" s="7">
        <f t="shared" si="1"/>
        <v>20</v>
      </c>
      <c r="D21" s="7">
        <f t="shared" si="2"/>
        <v>623.6684543079856</v>
      </c>
      <c r="E21" s="7">
        <f t="shared" si="3"/>
        <v>357.72786866950764</v>
      </c>
      <c r="F21" s="7">
        <f t="shared" si="4"/>
        <v>981.39632297749324</v>
      </c>
      <c r="G21" s="7">
        <f t="shared" si="5"/>
        <v>39.999999999999858</v>
      </c>
      <c r="H21" s="7">
        <f t="shared" si="6"/>
        <v>941.39632297749336</v>
      </c>
    </row>
    <row r="22" spans="1:8" x14ac:dyDescent="0.25">
      <c r="A22" s="7">
        <f t="shared" si="7"/>
        <v>9.5000000000000018</v>
      </c>
      <c r="B22" s="7">
        <f t="shared" si="0"/>
        <v>1</v>
      </c>
      <c r="C22" s="7">
        <f t="shared" si="1"/>
        <v>19.000000000000004</v>
      </c>
      <c r="D22" s="7">
        <f t="shared" si="2"/>
        <v>580.3826760799675</v>
      </c>
      <c r="E22" s="7">
        <f t="shared" si="3"/>
        <v>361.57905631203573</v>
      </c>
      <c r="F22" s="7">
        <f t="shared" si="4"/>
        <v>941.96173239200323</v>
      </c>
      <c r="G22" s="7">
        <f t="shared" si="5"/>
        <v>0</v>
      </c>
      <c r="H22" s="7">
        <f t="shared" si="6"/>
        <v>941.96173239200323</v>
      </c>
    </row>
    <row r="23" spans="1:8" x14ac:dyDescent="0.25">
      <c r="A23" s="7">
        <f t="shared" si="7"/>
        <v>9.4000000000000021</v>
      </c>
      <c r="B23" s="7">
        <f t="shared" si="0"/>
        <v>0.80000000000000426</v>
      </c>
      <c r="C23" s="7">
        <f t="shared" si="1"/>
        <v>19</v>
      </c>
      <c r="D23" s="7">
        <f t="shared" si="2"/>
        <v>586.63089654534429</v>
      </c>
      <c r="E23" s="7">
        <f t="shared" si="3"/>
        <v>365.4717046501284</v>
      </c>
      <c r="F23" s="7">
        <f t="shared" si="4"/>
        <v>952.10260119547274</v>
      </c>
      <c r="G23" s="7">
        <f t="shared" si="5"/>
        <v>9.9999999999997868</v>
      </c>
      <c r="H23" s="7">
        <f t="shared" si="6"/>
        <v>942.10260119547297</v>
      </c>
    </row>
    <row r="24" spans="1:8" x14ac:dyDescent="0.25">
      <c r="A24" s="7">
        <f t="shared" si="7"/>
        <v>9.3000000000000025</v>
      </c>
      <c r="B24" s="7">
        <f t="shared" si="0"/>
        <v>0.60000000000000497</v>
      </c>
      <c r="C24" s="7">
        <f t="shared" si="1"/>
        <v>19</v>
      </c>
      <c r="D24" s="7">
        <f t="shared" si="2"/>
        <v>592.9463834206141</v>
      </c>
      <c r="E24" s="7">
        <f t="shared" si="3"/>
        <v>369.40626003681689</v>
      </c>
      <c r="F24" s="7">
        <f t="shared" si="4"/>
        <v>962.35264345743099</v>
      </c>
      <c r="G24" s="7">
        <f t="shared" si="5"/>
        <v>19.999999999999751</v>
      </c>
      <c r="H24" s="7">
        <f t="shared" si="6"/>
        <v>942.35264345743121</v>
      </c>
    </row>
    <row r="25" spans="1:8" x14ac:dyDescent="0.25">
      <c r="A25" s="7">
        <f t="shared" si="7"/>
        <v>9.2000000000000028</v>
      </c>
      <c r="B25" s="7">
        <f t="shared" si="0"/>
        <v>0.40000000000000568</v>
      </c>
      <c r="C25" s="7">
        <f t="shared" si="1"/>
        <v>19</v>
      </c>
      <c r="D25" s="7">
        <f t="shared" si="2"/>
        <v>599.3298608751503</v>
      </c>
      <c r="E25" s="7">
        <f t="shared" si="3"/>
        <v>373.38317363043069</v>
      </c>
      <c r="F25" s="7">
        <f t="shared" si="4"/>
        <v>972.71303450558094</v>
      </c>
      <c r="G25" s="7">
        <f t="shared" si="5"/>
        <v>29.999999999999716</v>
      </c>
      <c r="H25" s="7">
        <f t="shared" si="6"/>
        <v>942.71303450558116</v>
      </c>
    </row>
    <row r="26" spans="1:8" x14ac:dyDescent="0.25">
      <c r="A26" s="7">
        <f t="shared" si="7"/>
        <v>9.1000000000000032</v>
      </c>
      <c r="B26" s="7">
        <f t="shared" si="0"/>
        <v>0.20000000000000639</v>
      </c>
      <c r="C26" s="7">
        <f t="shared" si="1"/>
        <v>19</v>
      </c>
      <c r="D26" s="7">
        <f t="shared" si="2"/>
        <v>605.78206087451019</v>
      </c>
      <c r="E26" s="7">
        <f t="shared" si="3"/>
        <v>377.40290144633053</v>
      </c>
      <c r="F26" s="7">
        <f t="shared" si="4"/>
        <v>983.18496232084067</v>
      </c>
      <c r="G26" s="7">
        <f>$B$9*(1-B26)</f>
        <v>39.99999999999968</v>
      </c>
      <c r="H26" s="7">
        <f t="shared" si="6"/>
        <v>943.18496232084101</v>
      </c>
    </row>
    <row r="27" spans="1:8" x14ac:dyDescent="0.25">
      <c r="A27" s="7">
        <f t="shared" si="7"/>
        <v>9.0000000000000036</v>
      </c>
      <c r="B27" s="7">
        <f t="shared" si="0"/>
        <v>1</v>
      </c>
      <c r="C27" s="7">
        <f t="shared" si="1"/>
        <v>18.000000000000007</v>
      </c>
      <c r="D27" s="7">
        <f t="shared" si="2"/>
        <v>562.30372326436577</v>
      </c>
      <c r="E27" s="7">
        <f t="shared" si="3"/>
        <v>381.46590440919766</v>
      </c>
      <c r="F27" s="7">
        <f t="shared" si="4"/>
        <v>943.76962767356349</v>
      </c>
      <c r="G27" s="7">
        <f t="shared" si="5"/>
        <v>0</v>
      </c>
      <c r="H27" s="7">
        <f t="shared" si="6"/>
        <v>943.76962767356349</v>
      </c>
    </row>
    <row r="28" spans="1:8" x14ac:dyDescent="0.25">
      <c r="A28" s="7">
        <f t="shared" si="7"/>
        <v>8.9000000000000039</v>
      </c>
      <c r="B28" s="7">
        <f t="shared" si="0"/>
        <v>0.80000000000000782</v>
      </c>
      <c r="C28" s="7">
        <f t="shared" si="1"/>
        <v>18</v>
      </c>
      <c r="D28" s="7">
        <f t="shared" si="2"/>
        <v>568.35731131283774</v>
      </c>
      <c r="E28" s="7">
        <f t="shared" si="3"/>
        <v>385.57264840588533</v>
      </c>
      <c r="F28" s="7">
        <f t="shared" si="4"/>
        <v>953.92995971872301</v>
      </c>
      <c r="G28" s="7">
        <f t="shared" si="5"/>
        <v>9.9999999999996092</v>
      </c>
      <c r="H28" s="7">
        <f t="shared" si="6"/>
        <v>943.92995971872335</v>
      </c>
    </row>
    <row r="29" spans="1:8" x14ac:dyDescent="0.25">
      <c r="A29" s="7">
        <f t="shared" si="7"/>
        <v>8.8000000000000043</v>
      </c>
      <c r="B29" s="7">
        <f t="shared" si="0"/>
        <v>0.60000000000000853</v>
      </c>
      <c r="C29" s="7">
        <f t="shared" si="1"/>
        <v>18</v>
      </c>
      <c r="D29" s="7">
        <f t="shared" si="2"/>
        <v>574.47607041877313</v>
      </c>
      <c r="E29" s="7">
        <f t="shared" si="3"/>
        <v>389.72360433884165</v>
      </c>
      <c r="F29" s="7">
        <f t="shared" si="4"/>
        <v>964.19967475761473</v>
      </c>
      <c r="G29" s="7">
        <f t="shared" si="5"/>
        <v>19.999999999999574</v>
      </c>
      <c r="H29" s="7">
        <f t="shared" si="6"/>
        <v>944.19967475761518</v>
      </c>
    </row>
    <row r="30" spans="1:8" x14ac:dyDescent="0.25">
      <c r="A30" s="7">
        <f t="shared" si="7"/>
        <v>8.7000000000000046</v>
      </c>
      <c r="B30" s="7">
        <f t="shared" si="0"/>
        <v>0.40000000000000924</v>
      </c>
      <c r="C30" s="7">
        <f t="shared" si="1"/>
        <v>18</v>
      </c>
      <c r="D30" s="7">
        <f t="shared" si="2"/>
        <v>580.66070219362871</v>
      </c>
      <c r="E30" s="7">
        <f t="shared" si="3"/>
        <v>393.91924818010426</v>
      </c>
      <c r="F30" s="7">
        <f t="shared" si="4"/>
        <v>974.57995037373303</v>
      </c>
      <c r="G30" s="7">
        <f t="shared" si="5"/>
        <v>29.999999999999538</v>
      </c>
      <c r="H30" s="7">
        <f t="shared" si="6"/>
        <v>944.57995037373348</v>
      </c>
    </row>
    <row r="31" spans="1:8" x14ac:dyDescent="0.25">
      <c r="A31" s="7">
        <f t="shared" si="7"/>
        <v>8.600000000000005</v>
      </c>
      <c r="B31" s="7">
        <f t="shared" si="0"/>
        <v>0.20000000000000995</v>
      </c>
      <c r="C31" s="7">
        <f t="shared" si="1"/>
        <v>18</v>
      </c>
      <c r="D31" s="7">
        <f t="shared" si="2"/>
        <v>586.91191580219356</v>
      </c>
      <c r="E31" s="7">
        <f t="shared" si="3"/>
        <v>398.16006102587858</v>
      </c>
      <c r="F31" s="7">
        <f t="shared" si="4"/>
        <v>985.07197682807214</v>
      </c>
      <c r="G31" s="7">
        <f>$B$9*(1-B31)</f>
        <v>39.999999999999503</v>
      </c>
      <c r="H31" s="7">
        <f t="shared" si="6"/>
        <v>945.07197682807259</v>
      </c>
    </row>
    <row r="32" spans="1:8" x14ac:dyDescent="0.25">
      <c r="A32" s="7">
        <f t="shared" si="7"/>
        <v>8.5000000000000053</v>
      </c>
      <c r="B32" s="7">
        <f t="shared" si="0"/>
        <v>1</v>
      </c>
      <c r="C32" s="7">
        <f t="shared" si="1"/>
        <v>17.000000000000011</v>
      </c>
      <c r="D32" s="7">
        <f t="shared" si="2"/>
        <v>543.23042804390593</v>
      </c>
      <c r="E32" s="7">
        <f t="shared" si="3"/>
        <v>402.44652915170337</v>
      </c>
      <c r="F32" s="7">
        <f t="shared" si="4"/>
        <v>945.67695719560925</v>
      </c>
      <c r="G32" s="7">
        <f t="shared" si="5"/>
        <v>0</v>
      </c>
      <c r="H32" s="7">
        <f t="shared" si="6"/>
        <v>945.67695719560925</v>
      </c>
    </row>
    <row r="33" spans="1:8" x14ac:dyDescent="0.25">
      <c r="A33" s="7">
        <f t="shared" si="7"/>
        <v>8.4000000000000057</v>
      </c>
      <c r="B33" s="7">
        <f t="shared" si="0"/>
        <v>0.80000000000001137</v>
      </c>
      <c r="C33" s="7">
        <f t="shared" si="1"/>
        <v>17</v>
      </c>
      <c r="D33" s="7">
        <f t="shared" si="2"/>
        <v>549.07867889254328</v>
      </c>
      <c r="E33" s="7">
        <f t="shared" si="3"/>
        <v>406.77914406820895</v>
      </c>
      <c r="F33" s="7">
        <f t="shared" si="4"/>
        <v>955.85782296075217</v>
      </c>
      <c r="G33" s="7">
        <f t="shared" si="5"/>
        <v>9.9999999999994316</v>
      </c>
      <c r="H33" s="7">
        <f t="shared" si="6"/>
        <v>945.85782296075274</v>
      </c>
    </row>
    <row r="34" spans="1:8" x14ac:dyDescent="0.25">
      <c r="A34" s="7">
        <f t="shared" si="7"/>
        <v>8.300000000000006</v>
      </c>
      <c r="B34" s="7">
        <f t="shared" si="0"/>
        <v>0.60000000000001208</v>
      </c>
      <c r="C34" s="7">
        <f t="shared" si="1"/>
        <v>17</v>
      </c>
      <c r="D34" s="7">
        <f t="shared" si="2"/>
        <v>554.98989020183103</v>
      </c>
      <c r="E34" s="7">
        <f t="shared" si="3"/>
        <v>411.158402577478</v>
      </c>
      <c r="F34" s="7">
        <f t="shared" si="4"/>
        <v>966.14829277930903</v>
      </c>
      <c r="G34" s="7">
        <f t="shared" si="5"/>
        <v>19.999999999999396</v>
      </c>
      <c r="H34" s="7">
        <f t="shared" si="6"/>
        <v>946.1482927793096</v>
      </c>
    </row>
    <row r="35" spans="1:8" x14ac:dyDescent="0.25">
      <c r="A35" s="7">
        <f t="shared" si="7"/>
        <v>8.2000000000000064</v>
      </c>
      <c r="B35" s="7">
        <f t="shared" si="0"/>
        <v>0.40000000000001279</v>
      </c>
      <c r="C35" s="7">
        <f t="shared" si="1"/>
        <v>17</v>
      </c>
      <c r="D35" s="7">
        <f t="shared" si="2"/>
        <v>560.96473978462336</v>
      </c>
      <c r="E35" s="7">
        <f t="shared" si="3"/>
        <v>415.58480683000994</v>
      </c>
      <c r="F35" s="7">
        <f t="shared" si="4"/>
        <v>976.5495466146333</v>
      </c>
      <c r="G35" s="7">
        <f t="shared" si="5"/>
        <v>29.999999999999361</v>
      </c>
      <c r="H35" s="7">
        <f t="shared" si="6"/>
        <v>946.54954661463398</v>
      </c>
    </row>
    <row r="36" spans="1:8" x14ac:dyDescent="0.25">
      <c r="A36" s="7">
        <f t="shared" si="7"/>
        <v>8.1000000000000068</v>
      </c>
      <c r="B36" s="7">
        <f t="shared" si="0"/>
        <v>0.2000000000000135</v>
      </c>
      <c r="C36" s="7">
        <f t="shared" si="1"/>
        <v>17</v>
      </c>
      <c r="D36" s="7">
        <f t="shared" si="2"/>
        <v>567.00391275089942</v>
      </c>
      <c r="E36" s="7">
        <f t="shared" si="3"/>
        <v>420.05886438230181</v>
      </c>
      <c r="F36" s="7">
        <f t="shared" si="4"/>
        <v>987.06277713320128</v>
      </c>
      <c r="G36" s="7">
        <f t="shared" si="5"/>
        <v>39.999999999999325</v>
      </c>
      <c r="H36" s="7">
        <f t="shared" si="6"/>
        <v>947.06277713320196</v>
      </c>
    </row>
    <row r="37" spans="1:8" x14ac:dyDescent="0.25">
      <c r="A37" s="7">
        <f t="shared" si="7"/>
        <v>8.0000000000000071</v>
      </c>
      <c r="B37" s="7">
        <f t="shared" si="0"/>
        <v>1</v>
      </c>
      <c r="C37" s="7">
        <f t="shared" si="1"/>
        <v>16.000000000000014</v>
      </c>
      <c r="D37" s="7">
        <f t="shared" si="2"/>
        <v>523.10810158632091</v>
      </c>
      <c r="E37" s="7">
        <f t="shared" si="3"/>
        <v>424.58108825504695</v>
      </c>
      <c r="F37" s="7">
        <f t="shared" si="4"/>
        <v>947.68918984136781</v>
      </c>
      <c r="G37" s="7">
        <f t="shared" si="5"/>
        <v>0</v>
      </c>
      <c r="H37" s="7">
        <f t="shared" si="6"/>
        <v>947.68918984136781</v>
      </c>
    </row>
    <row r="38" spans="1:8" x14ac:dyDescent="0.25">
      <c r="A38" s="7">
        <f t="shared" si="7"/>
        <v>7.9000000000000075</v>
      </c>
      <c r="B38" s="7">
        <f t="shared" si="0"/>
        <v>0.80000000000001492</v>
      </c>
      <c r="C38" s="7">
        <f t="shared" si="1"/>
        <v>16</v>
      </c>
      <c r="D38" s="7">
        <f t="shared" si="2"/>
        <v>528.73972168913303</v>
      </c>
      <c r="E38" s="7">
        <f t="shared" si="3"/>
        <v>429.1519969919604</v>
      </c>
      <c r="F38" s="7">
        <f t="shared" si="4"/>
        <v>957.89171868109338</v>
      </c>
      <c r="G38" s="7">
        <f t="shared" si="5"/>
        <v>9.9999999999992539</v>
      </c>
      <c r="H38" s="7">
        <f t="shared" si="6"/>
        <v>947.89171868109418</v>
      </c>
    </row>
    <row r="39" spans="1:8" x14ac:dyDescent="0.25">
      <c r="A39" s="7">
        <f t="shared" si="7"/>
        <v>7.8000000000000078</v>
      </c>
      <c r="B39" s="7">
        <f t="shared" si="0"/>
        <v>0.60000000000001563</v>
      </c>
      <c r="C39" s="7">
        <f t="shared" si="1"/>
        <v>16</v>
      </c>
      <c r="D39" s="7">
        <f t="shared" si="2"/>
        <v>534.43197007295714</v>
      </c>
      <c r="E39" s="7">
        <f t="shared" si="3"/>
        <v>433.77211471923914</v>
      </c>
      <c r="F39" s="7">
        <f t="shared" si="4"/>
        <v>968.20408479219623</v>
      </c>
      <c r="G39" s="7">
        <f t="shared" si="5"/>
        <v>19.999999999999218</v>
      </c>
      <c r="H39" s="7">
        <f t="shared" si="6"/>
        <v>948.20408479219702</v>
      </c>
    </row>
    <row r="40" spans="1:8" x14ac:dyDescent="0.25">
      <c r="A40" s="7">
        <f t="shared" si="7"/>
        <v>7.7000000000000082</v>
      </c>
      <c r="B40" s="7">
        <f t="shared" si="0"/>
        <v>0.40000000000001634</v>
      </c>
      <c r="C40" s="7">
        <f t="shared" si="1"/>
        <v>16</v>
      </c>
      <c r="D40" s="7">
        <f t="shared" si="2"/>
        <v>540.18549944312304</v>
      </c>
      <c r="E40" s="7">
        <f t="shared" si="3"/>
        <v>438.44197120566048</v>
      </c>
      <c r="F40" s="7">
        <f t="shared" si="4"/>
        <v>978.62747064878351</v>
      </c>
      <c r="G40" s="7">
        <f t="shared" si="5"/>
        <v>29.999999999999183</v>
      </c>
      <c r="H40" s="7">
        <f t="shared" si="6"/>
        <v>948.62747064878431</v>
      </c>
    </row>
    <row r="41" spans="1:8" x14ac:dyDescent="0.25">
      <c r="A41" s="7">
        <f t="shared" si="7"/>
        <v>7.6000000000000085</v>
      </c>
      <c r="B41" s="7">
        <f t="shared" si="0"/>
        <v>0.20000000000001705</v>
      </c>
      <c r="C41" s="7">
        <f t="shared" si="1"/>
        <v>16</v>
      </c>
      <c r="D41" s="7">
        <f t="shared" si="2"/>
        <v>546.00096953178445</v>
      </c>
      <c r="E41" s="7">
        <f t="shared" si="3"/>
        <v>443.16210192332829</v>
      </c>
      <c r="F41" s="7">
        <f t="shared" si="4"/>
        <v>989.16307145511269</v>
      </c>
      <c r="G41" s="7">
        <f t="shared" si="5"/>
        <v>39.999999999999147</v>
      </c>
      <c r="H41" s="7">
        <f t="shared" si="6"/>
        <v>949.1630714551136</v>
      </c>
    </row>
    <row r="42" spans="1:8" x14ac:dyDescent="0.25">
      <c r="A42" s="7">
        <f t="shared" si="7"/>
        <v>7.5000000000000089</v>
      </c>
      <c r="B42" s="7">
        <f t="shared" si="0"/>
        <v>1</v>
      </c>
      <c r="C42" s="7">
        <f t="shared" si="1"/>
        <v>15.000000000000018</v>
      </c>
      <c r="D42" s="7">
        <f t="shared" si="2"/>
        <v>501.87904717356872</v>
      </c>
      <c r="E42" s="7">
        <f t="shared" si="3"/>
        <v>447.93304810907443</v>
      </c>
      <c r="F42" s="7">
        <f t="shared" si="4"/>
        <v>949.81209528264321</v>
      </c>
      <c r="G42" s="7">
        <f t="shared" si="5"/>
        <v>0</v>
      </c>
      <c r="H42" s="7">
        <f t="shared" si="6"/>
        <v>949.81209528264321</v>
      </c>
    </row>
    <row r="43" spans="1:8" x14ac:dyDescent="0.25">
      <c r="A43" s="7">
        <f t="shared" si="7"/>
        <v>7.4000000000000092</v>
      </c>
      <c r="B43" s="7">
        <f t="shared" si="0"/>
        <v>0.80000000000001847</v>
      </c>
      <c r="C43" s="7">
        <f t="shared" si="1"/>
        <v>15</v>
      </c>
      <c r="D43" s="7">
        <f t="shared" si="2"/>
        <v>507.28212183953474</v>
      </c>
      <c r="E43" s="7">
        <f t="shared" si="3"/>
        <v>452.75535682651815</v>
      </c>
      <c r="F43" s="7">
        <f t="shared" si="4"/>
        <v>960.03747866605295</v>
      </c>
      <c r="G43" s="7">
        <f t="shared" si="5"/>
        <v>9.9999999999990763</v>
      </c>
      <c r="H43" s="7">
        <f t="shared" si="6"/>
        <v>950.03747866605386</v>
      </c>
    </row>
    <row r="44" spans="1:8" x14ac:dyDescent="0.25">
      <c r="A44" s="7">
        <f t="shared" si="7"/>
        <v>7.3000000000000096</v>
      </c>
      <c r="B44" s="7">
        <f t="shared" si="0"/>
        <v>0.60000000000001918</v>
      </c>
      <c r="C44" s="7">
        <f t="shared" si="1"/>
        <v>15</v>
      </c>
      <c r="D44" s="7">
        <f t="shared" si="2"/>
        <v>512.743364336995</v>
      </c>
      <c r="E44" s="7">
        <f t="shared" si="3"/>
        <v>457.62958102879719</v>
      </c>
      <c r="F44" s="7">
        <f t="shared" si="4"/>
        <v>970.37294536579225</v>
      </c>
      <c r="G44" s="7">
        <f t="shared" si="5"/>
        <v>19.999999999999041</v>
      </c>
      <c r="H44" s="7">
        <f t="shared" si="6"/>
        <v>950.37294536579316</v>
      </c>
    </row>
    <row r="45" spans="1:8" x14ac:dyDescent="0.25">
      <c r="A45" s="7">
        <f t="shared" si="7"/>
        <v>7.2000000000000099</v>
      </c>
      <c r="B45" s="7">
        <f t="shared" si="0"/>
        <v>0.4000000000000199</v>
      </c>
      <c r="C45" s="7">
        <f t="shared" si="1"/>
        <v>15</v>
      </c>
      <c r="D45" s="7">
        <f t="shared" si="2"/>
        <v>518.26340088283973</v>
      </c>
      <c r="E45" s="7">
        <f t="shared" si="3"/>
        <v>462.55627962197167</v>
      </c>
      <c r="F45" s="7">
        <f t="shared" si="4"/>
        <v>980.81968050481146</v>
      </c>
      <c r="G45" s="7">
        <f t="shared" si="5"/>
        <v>29.999999999999005</v>
      </c>
      <c r="H45" s="7">
        <f t="shared" si="6"/>
        <v>950.81968050481248</v>
      </c>
    </row>
    <row r="46" spans="1:8" x14ac:dyDescent="0.25">
      <c r="A46" s="7">
        <f t="shared" si="7"/>
        <v>7.1000000000000103</v>
      </c>
      <c r="B46" s="7">
        <f t="shared" si="0"/>
        <v>0.20000000000002061</v>
      </c>
      <c r="C46" s="7">
        <f t="shared" si="1"/>
        <v>15</v>
      </c>
      <c r="D46" s="7">
        <f t="shared" si="2"/>
        <v>523.8428644356178</v>
      </c>
      <c r="E46" s="7">
        <f t="shared" si="3"/>
        <v>467.53601752911123</v>
      </c>
      <c r="F46" s="7">
        <f t="shared" si="4"/>
        <v>991.37888196472909</v>
      </c>
      <c r="G46" s="7">
        <f t="shared" si="5"/>
        <v>39.99999999999897</v>
      </c>
      <c r="H46" s="7">
        <f t="shared" si="6"/>
        <v>951.37888196473011</v>
      </c>
    </row>
    <row r="47" spans="1:8" x14ac:dyDescent="0.25">
      <c r="A47" s="7">
        <f t="shared" si="7"/>
        <v>7.0000000000000107</v>
      </c>
      <c r="B47" s="7">
        <f t="shared" si="0"/>
        <v>1</v>
      </c>
      <c r="C47" s="7">
        <f t="shared" si="1"/>
        <v>14.000000000000021</v>
      </c>
      <c r="D47" s="7">
        <f t="shared" si="2"/>
        <v>479.48239476811506</v>
      </c>
      <c r="E47" s="7">
        <f t="shared" si="3"/>
        <v>472.56936575507342</v>
      </c>
      <c r="F47" s="7">
        <f t="shared" si="4"/>
        <v>952.05176052318848</v>
      </c>
      <c r="G47" s="7">
        <f t="shared" si="5"/>
        <v>0</v>
      </c>
      <c r="H47" s="7">
        <f t="shared" si="6"/>
        <v>952.05176052318848</v>
      </c>
    </row>
    <row r="48" spans="1:8" x14ac:dyDescent="0.25">
      <c r="A48" s="7">
        <f t="shared" si="7"/>
        <v>6.900000000000011</v>
      </c>
      <c r="B48" s="7">
        <f t="shared" si="0"/>
        <v>0.80000000000002203</v>
      </c>
      <c r="C48" s="7">
        <f t="shared" si="1"/>
        <v>14</v>
      </c>
      <c r="D48" s="7">
        <f t="shared" si="2"/>
        <v>484.64435399820889</v>
      </c>
      <c r="E48" s="7">
        <f t="shared" si="3"/>
        <v>477.65690145197647</v>
      </c>
      <c r="F48" s="7">
        <f t="shared" si="4"/>
        <v>962.30125545018541</v>
      </c>
      <c r="G48" s="7">
        <f t="shared" si="5"/>
        <v>9.9999999999988987</v>
      </c>
      <c r="H48" s="7">
        <f t="shared" si="6"/>
        <v>952.30125545018655</v>
      </c>
    </row>
    <row r="49" spans="1:8" x14ac:dyDescent="0.25">
      <c r="A49" s="7">
        <f t="shared" si="7"/>
        <v>6.8000000000000114</v>
      </c>
      <c r="B49" s="7">
        <f t="shared" si="0"/>
        <v>0.60000000000002274</v>
      </c>
      <c r="C49" s="7">
        <f t="shared" si="1"/>
        <v>14</v>
      </c>
      <c r="D49" s="7">
        <f t="shared" si="2"/>
        <v>489.8618852855551</v>
      </c>
      <c r="E49" s="7">
        <f t="shared" si="3"/>
        <v>482.79920798538086</v>
      </c>
      <c r="F49" s="7">
        <f t="shared" si="4"/>
        <v>972.66109327093591</v>
      </c>
      <c r="G49" s="7">
        <f t="shared" si="5"/>
        <v>19.999999999998863</v>
      </c>
      <c r="H49" s="7">
        <f t="shared" si="6"/>
        <v>952.66109327093704</v>
      </c>
    </row>
    <row r="50" spans="1:8" x14ac:dyDescent="0.25">
      <c r="A50" s="7">
        <f t="shared" si="7"/>
        <v>6.7000000000000117</v>
      </c>
      <c r="B50" s="7">
        <f t="shared" si="0"/>
        <v>0.40000000000002345</v>
      </c>
      <c r="C50" s="7">
        <f t="shared" si="1"/>
        <v>14</v>
      </c>
      <c r="D50" s="7">
        <f t="shared" si="2"/>
        <v>495.13558690174119</v>
      </c>
      <c r="E50" s="7">
        <f t="shared" si="3"/>
        <v>487.99687500117994</v>
      </c>
      <c r="F50" s="7">
        <f t="shared" si="4"/>
        <v>983.13246190292114</v>
      </c>
      <c r="G50" s="7">
        <f t="shared" si="5"/>
        <v>29.999999999998828</v>
      </c>
      <c r="H50" s="7">
        <f t="shared" si="6"/>
        <v>953.13246190292227</v>
      </c>
    </row>
    <row r="51" spans="1:8" x14ac:dyDescent="0.25">
      <c r="A51" s="7">
        <f t="shared" si="7"/>
        <v>6.6000000000000121</v>
      </c>
      <c r="B51" s="7">
        <f t="shared" si="0"/>
        <v>0.20000000000002416</v>
      </c>
      <c r="C51" s="7">
        <f t="shared" si="1"/>
        <v>14</v>
      </c>
      <c r="D51" s="7">
        <f t="shared" si="2"/>
        <v>500.46606355916219</v>
      </c>
      <c r="E51" s="7">
        <f t="shared" si="3"/>
        <v>493.25049849321221</v>
      </c>
      <c r="F51" s="7">
        <f t="shared" si="4"/>
        <v>993.71656205237446</v>
      </c>
      <c r="G51" s="7">
        <f t="shared" si="5"/>
        <v>39.999999999998792</v>
      </c>
      <c r="H51" s="7">
        <f t="shared" si="6"/>
        <v>953.71656205237571</v>
      </c>
    </row>
    <row r="52" spans="1:8" x14ac:dyDescent="0.25">
      <c r="A52" s="7">
        <f t="shared" si="7"/>
        <v>6.5000000000000124</v>
      </c>
      <c r="B52" s="7">
        <f t="shared" si="0"/>
        <v>1</v>
      </c>
      <c r="C52" s="7">
        <f t="shared" si="1"/>
        <v>13.000000000000025</v>
      </c>
      <c r="D52" s="7">
        <f t="shared" si="2"/>
        <v>455.85392648036151</v>
      </c>
      <c r="E52" s="7">
        <f t="shared" si="3"/>
        <v>498.56068087160236</v>
      </c>
      <c r="F52" s="7">
        <f t="shared" si="4"/>
        <v>954.41460735196392</v>
      </c>
      <c r="G52" s="7">
        <f t="shared" si="5"/>
        <v>0</v>
      </c>
      <c r="H52" s="7">
        <f t="shared" si="6"/>
        <v>954.41460735196392</v>
      </c>
    </row>
    <row r="53" spans="1:8" x14ac:dyDescent="0.25">
      <c r="A53" s="7">
        <f t="shared" si="7"/>
        <v>6.4000000000000128</v>
      </c>
      <c r="B53" s="7">
        <f t="shared" si="0"/>
        <v>0.80000000000002558</v>
      </c>
      <c r="C53" s="7">
        <f t="shared" si="1"/>
        <v>13</v>
      </c>
      <c r="D53" s="7">
        <f t="shared" si="2"/>
        <v>460.76150892560986</v>
      </c>
      <c r="E53" s="7">
        <f t="shared" si="3"/>
        <v>503.92803103183508</v>
      </c>
      <c r="F53" s="7">
        <f t="shared" si="4"/>
        <v>964.68953995744494</v>
      </c>
      <c r="G53" s="7">
        <f t="shared" si="5"/>
        <v>9.999999999998721</v>
      </c>
      <c r="H53" s="7">
        <f t="shared" si="6"/>
        <v>954.68953995744619</v>
      </c>
    </row>
    <row r="54" spans="1:8" x14ac:dyDescent="0.25">
      <c r="A54" s="7">
        <f t="shared" si="7"/>
        <v>6.3000000000000131</v>
      </c>
      <c r="B54" s="7">
        <f t="shared" si="0"/>
        <v>0.60000000000002629</v>
      </c>
      <c r="C54" s="7">
        <f t="shared" si="1"/>
        <v>13</v>
      </c>
      <c r="D54" s="7">
        <f t="shared" si="2"/>
        <v>465.72192488628588</v>
      </c>
      <c r="E54" s="7">
        <f t="shared" si="3"/>
        <v>509.35316442457673</v>
      </c>
      <c r="F54" s="7">
        <f t="shared" si="4"/>
        <v>975.07508931086261</v>
      </c>
      <c r="G54" s="7">
        <f t="shared" si="5"/>
        <v>19.999999999998685</v>
      </c>
      <c r="H54" s="7">
        <f t="shared" si="6"/>
        <v>955.07508931086397</v>
      </c>
    </row>
    <row r="55" spans="1:8" x14ac:dyDescent="0.25">
      <c r="A55" s="7">
        <f t="shared" si="7"/>
        <v>6.2000000000000135</v>
      </c>
      <c r="B55" s="7">
        <f t="shared" si="0"/>
        <v>0.400000000000027</v>
      </c>
      <c r="C55" s="7">
        <f t="shared" si="1"/>
        <v>13</v>
      </c>
      <c r="D55" s="7">
        <f t="shared" si="2"/>
        <v>470.73574315168202</v>
      </c>
      <c r="E55" s="7">
        <f t="shared" si="3"/>
        <v>514.83670312624474</v>
      </c>
      <c r="F55" s="7">
        <f t="shared" si="4"/>
        <v>985.5724462779267</v>
      </c>
      <c r="G55" s="7">
        <f t="shared" si="5"/>
        <v>29.99999999999865</v>
      </c>
      <c r="H55" s="7">
        <f t="shared" si="6"/>
        <v>955.57244627792807</v>
      </c>
    </row>
    <row r="56" spans="1:8" x14ac:dyDescent="0.25">
      <c r="A56" s="7">
        <f t="shared" si="7"/>
        <v>6.1000000000000139</v>
      </c>
      <c r="B56" s="7">
        <f t="shared" si="0"/>
        <v>0.20000000000002771</v>
      </c>
      <c r="C56" s="7">
        <f t="shared" si="1"/>
        <v>13</v>
      </c>
      <c r="D56" s="7">
        <f t="shared" si="2"/>
        <v>475.80353863450142</v>
      </c>
      <c r="E56" s="7">
        <f t="shared" si="3"/>
        <v>520.37927591033872</v>
      </c>
      <c r="F56" s="7">
        <f t="shared" si="4"/>
        <v>996.18281454484008</v>
      </c>
      <c r="G56" s="7">
        <f t="shared" si="5"/>
        <v>39.999999999998614</v>
      </c>
      <c r="H56" s="7">
        <f t="shared" si="6"/>
        <v>956.18281454484145</v>
      </c>
    </row>
    <row r="57" spans="1:8" x14ac:dyDescent="0.25">
      <c r="A57" s="7">
        <f t="shared" si="7"/>
        <v>6.0000000000000142</v>
      </c>
      <c r="B57" s="7">
        <f t="shared" si="0"/>
        <v>1</v>
      </c>
      <c r="C57" s="7">
        <f t="shared" si="1"/>
        <v>12.000000000000028</v>
      </c>
      <c r="D57" s="7">
        <f t="shared" si="2"/>
        <v>430.92589243678151</v>
      </c>
      <c r="E57" s="7">
        <f t="shared" si="3"/>
        <v>525.98151831954033</v>
      </c>
      <c r="F57" s="7">
        <f t="shared" si="4"/>
        <v>956.90741075632184</v>
      </c>
      <c r="G57" s="7">
        <f t="shared" si="5"/>
        <v>0</v>
      </c>
      <c r="H57" s="7">
        <f t="shared" si="6"/>
        <v>956.90741075632184</v>
      </c>
    </row>
    <row r="58" spans="1:8" x14ac:dyDescent="0.25">
      <c r="A58" s="7">
        <f t="shared" si="7"/>
        <v>5.9000000000000146</v>
      </c>
      <c r="B58" s="7">
        <f t="shared" si="0"/>
        <v>0.80000000000002913</v>
      </c>
      <c r="C58" s="7">
        <f t="shared" si="1"/>
        <v>12</v>
      </c>
      <c r="D58" s="7">
        <f t="shared" si="2"/>
        <v>435.565107374018</v>
      </c>
      <c r="E58" s="7">
        <f t="shared" si="3"/>
        <v>531.64407273858581</v>
      </c>
      <c r="F58" s="7">
        <f t="shared" si="4"/>
        <v>967.2091801126038</v>
      </c>
      <c r="G58" s="7">
        <f t="shared" si="5"/>
        <v>9.9999999999985434</v>
      </c>
      <c r="H58" s="7">
        <f t="shared" si="6"/>
        <v>957.20918011260528</v>
      </c>
    </row>
    <row r="59" spans="1:8" x14ac:dyDescent="0.25">
      <c r="A59" s="7">
        <f>A58-0.1</f>
        <v>5.8000000000000149</v>
      </c>
      <c r="B59" s="7">
        <f t="shared" si="0"/>
        <v>0.60000000000002984</v>
      </c>
      <c r="C59" s="7">
        <f t="shared" si="1"/>
        <v>12</v>
      </c>
      <c r="D59" s="7">
        <f t="shared" si="2"/>
        <v>440.25426666505695</v>
      </c>
      <c r="E59" s="7">
        <f t="shared" si="3"/>
        <v>537.36758846792827</v>
      </c>
      <c r="F59" s="7">
        <f t="shared" si="4"/>
        <v>977.62185513298527</v>
      </c>
      <c r="G59" s="7">
        <f t="shared" si="5"/>
        <v>19.999999999998508</v>
      </c>
      <c r="H59" s="7">
        <f t="shared" si="6"/>
        <v>957.62185513298675</v>
      </c>
    </row>
    <row r="60" spans="1:8" x14ac:dyDescent="0.25">
      <c r="A60" s="7">
        <f t="shared" si="7"/>
        <v>5.7000000000000153</v>
      </c>
      <c r="B60" s="7">
        <f t="shared" si="0"/>
        <v>0.40000000000003055</v>
      </c>
      <c r="C60" s="7">
        <f t="shared" si="1"/>
        <v>12</v>
      </c>
      <c r="D60" s="7">
        <f t="shared" si="2"/>
        <v>444.99390799536963</v>
      </c>
      <c r="E60" s="7">
        <f t="shared" si="3"/>
        <v>543.15272179818805</v>
      </c>
      <c r="F60" s="7">
        <f t="shared" si="4"/>
        <v>988.14662979355762</v>
      </c>
      <c r="G60" s="7">
        <f t="shared" si="5"/>
        <v>29.999999999998472</v>
      </c>
      <c r="H60" s="7">
        <f t="shared" si="6"/>
        <v>958.1466297935591</v>
      </c>
    </row>
    <row r="61" spans="1:8" x14ac:dyDescent="0.25">
      <c r="A61" s="7">
        <f t="shared" si="7"/>
        <v>5.6000000000000156</v>
      </c>
      <c r="B61" s="7">
        <f t="shared" si="0"/>
        <v>0.20000000000003126</v>
      </c>
      <c r="C61" s="7">
        <f t="shared" si="1"/>
        <v>12</v>
      </c>
      <c r="D61" s="7">
        <f t="shared" si="2"/>
        <v>449.78457483898444</v>
      </c>
      <c r="E61" s="7">
        <f t="shared" si="3"/>
        <v>549.00013608540735</v>
      </c>
      <c r="F61" s="7">
        <f t="shared" si="4"/>
        <v>998.78471092439179</v>
      </c>
      <c r="G61" s="7">
        <f t="shared" si="5"/>
        <v>39.999999999998437</v>
      </c>
      <c r="H61" s="7">
        <f t="shared" si="6"/>
        <v>958.78471092439338</v>
      </c>
    </row>
    <row r="62" spans="1:8" x14ac:dyDescent="0.25">
      <c r="A62" s="7">
        <f t="shared" si="7"/>
        <v>5.500000000000016</v>
      </c>
      <c r="B62" s="7">
        <f t="shared" si="0"/>
        <v>1</v>
      </c>
      <c r="C62" s="7">
        <f t="shared" si="1"/>
        <v>11.000000000000032</v>
      </c>
      <c r="D62" s="7">
        <f t="shared" si="2"/>
        <v>404.6268165208046</v>
      </c>
      <c r="E62" s="7">
        <f t="shared" si="3"/>
        <v>554.91050182711501</v>
      </c>
      <c r="F62" s="7">
        <f t="shared" si="4"/>
        <v>959.53731834791961</v>
      </c>
      <c r="G62" s="7">
        <f t="shared" si="5"/>
        <v>0</v>
      </c>
      <c r="H62" s="7">
        <f t="shared" si="6"/>
        <v>959.53731834791961</v>
      </c>
    </row>
    <row r="63" spans="1:8" x14ac:dyDescent="0.25">
      <c r="A63" s="7">
        <f t="shared" si="7"/>
        <v>5.4000000000000163</v>
      </c>
      <c r="B63" s="7">
        <f t="shared" si="0"/>
        <v>0.80000000000003268</v>
      </c>
      <c r="C63" s="7">
        <f t="shared" si="1"/>
        <v>11</v>
      </c>
      <c r="D63" s="7">
        <f t="shared" si="2"/>
        <v>408.98290373708875</v>
      </c>
      <c r="E63" s="7">
        <f t="shared" si="3"/>
        <v>560.88449673920798</v>
      </c>
      <c r="F63" s="7">
        <f t="shared" si="4"/>
        <v>969.86740047629678</v>
      </c>
      <c r="G63" s="7">
        <f t="shared" si="5"/>
        <v>9.9999999999983658</v>
      </c>
      <c r="H63" s="7">
        <f t="shared" si="6"/>
        <v>959.86740047629837</v>
      </c>
    </row>
    <row r="64" spans="1:8" x14ac:dyDescent="0.25">
      <c r="A64" s="7">
        <f t="shared" si="7"/>
        <v>5.3000000000000167</v>
      </c>
      <c r="B64" s="7">
        <f t="shared" si="0"/>
        <v>0.6000000000000334</v>
      </c>
      <c r="C64" s="7">
        <f t="shared" si="1"/>
        <v>11</v>
      </c>
      <c r="D64" s="7">
        <f t="shared" si="2"/>
        <v>413.38588724166055</v>
      </c>
      <c r="E64" s="7">
        <f t="shared" si="3"/>
        <v>566.92280583366426</v>
      </c>
      <c r="F64" s="7">
        <f t="shared" si="4"/>
        <v>980.30869307532475</v>
      </c>
      <c r="G64" s="7">
        <f t="shared" si="5"/>
        <v>19.99999999999833</v>
      </c>
      <c r="H64" s="7">
        <f t="shared" si="6"/>
        <v>960.30869307532646</v>
      </c>
    </row>
    <row r="65" spans="1:8" x14ac:dyDescent="0.25">
      <c r="A65" s="7">
        <f t="shared" si="7"/>
        <v>5.2000000000000171</v>
      </c>
      <c r="B65" s="7">
        <f t="shared" si="0"/>
        <v>0.40000000000003411</v>
      </c>
      <c r="C65" s="7">
        <f t="shared" si="1"/>
        <v>11</v>
      </c>
      <c r="D65" s="7">
        <f t="shared" si="2"/>
        <v>417.83627190546031</v>
      </c>
      <c r="E65" s="7">
        <f t="shared" si="3"/>
        <v>573.0261214970883</v>
      </c>
      <c r="F65" s="7">
        <f t="shared" si="4"/>
        <v>990.86239340254861</v>
      </c>
      <c r="G65" s="7">
        <f t="shared" si="5"/>
        <v>29.999999999998295</v>
      </c>
      <c r="H65" s="7">
        <f t="shared" si="6"/>
        <v>960.86239340255031</v>
      </c>
    </row>
    <row r="66" spans="1:8" x14ac:dyDescent="0.25">
      <c r="A66" s="7">
        <f t="shared" si="7"/>
        <v>5.1000000000000174</v>
      </c>
      <c r="B66" s="7">
        <f t="shared" si="0"/>
        <v>0.20000000000003482</v>
      </c>
      <c r="C66" s="7">
        <f t="shared" si="1"/>
        <v>11</v>
      </c>
      <c r="D66" s="7">
        <f t="shared" si="2"/>
        <v>422.33456803471415</v>
      </c>
      <c r="E66" s="7">
        <f t="shared" si="3"/>
        <v>579.19514357010473</v>
      </c>
      <c r="F66" s="7">
        <f t="shared" si="4"/>
        <v>1001.5297116048189</v>
      </c>
      <c r="G66" s="7">
        <f t="shared" si="5"/>
        <v>39.999999999998259</v>
      </c>
      <c r="H66" s="7">
        <f t="shared" si="6"/>
        <v>961.52971160482059</v>
      </c>
    </row>
    <row r="67" spans="1:8" x14ac:dyDescent="0.25">
      <c r="A67" s="7">
        <f t="shared" si="7"/>
        <v>5.0000000000000178</v>
      </c>
      <c r="B67" s="7">
        <f t="shared" si="0"/>
        <v>1</v>
      </c>
      <c r="C67" s="7">
        <f t="shared" si="1"/>
        <v>10.000000000000036</v>
      </c>
      <c r="D67" s="7">
        <f t="shared" si="2"/>
        <v>376.88129142944899</v>
      </c>
      <c r="E67" s="7">
        <f t="shared" si="3"/>
        <v>585.43057942760606</v>
      </c>
      <c r="F67" s="7">
        <f t="shared" si="4"/>
        <v>962.31187085705506</v>
      </c>
      <c r="G67" s="7">
        <f t="shared" si="5"/>
        <v>0</v>
      </c>
      <c r="H67" s="7">
        <f t="shared" si="6"/>
        <v>962.31187085705506</v>
      </c>
    </row>
    <row r="68" spans="1:8" x14ac:dyDescent="0.25">
      <c r="A68" s="7">
        <f>A67-0.1</f>
        <v>4.9000000000000181</v>
      </c>
      <c r="B68" s="7">
        <f t="shared" si="0"/>
        <v>0.80000000000003624</v>
      </c>
      <c r="C68" s="7">
        <f t="shared" si="1"/>
        <v>10</v>
      </c>
      <c r="D68" s="7">
        <f t="shared" si="2"/>
        <v>380.93867890012831</v>
      </c>
      <c r="E68" s="7">
        <f t="shared" si="3"/>
        <v>591.73314405986423</v>
      </c>
      <c r="F68" s="7">
        <f t="shared" si="4"/>
        <v>972.6718229599926</v>
      </c>
      <c r="G68" s="7">
        <f t="shared" si="5"/>
        <v>9.9999999999981881</v>
      </c>
      <c r="H68" s="7">
        <f t="shared" si="6"/>
        <v>962.67182295999442</v>
      </c>
    </row>
    <row r="69" spans="1:8" x14ac:dyDescent="0.25">
      <c r="A69" s="7">
        <f t="shared" si="7"/>
        <v>4.8000000000000185</v>
      </c>
      <c r="B69" s="7">
        <f t="shared" si="0"/>
        <v>0.60000000000003695</v>
      </c>
      <c r="C69" s="7">
        <f t="shared" si="1"/>
        <v>10</v>
      </c>
      <c r="D69" s="7">
        <f t="shared" si="2"/>
        <v>385.03974694997731</v>
      </c>
      <c r="E69" s="7">
        <f t="shared" si="3"/>
        <v>598.10356015451555</v>
      </c>
      <c r="F69" s="7">
        <f t="shared" si="4"/>
        <v>983.14330710449281</v>
      </c>
      <c r="G69" s="7">
        <f t="shared" si="5"/>
        <v>19.999999999998153</v>
      </c>
      <c r="H69" s="7">
        <f t="shared" si="6"/>
        <v>963.14330710449462</v>
      </c>
    </row>
    <row r="70" spans="1:8" x14ac:dyDescent="0.25">
      <c r="A70" s="7">
        <f t="shared" si="7"/>
        <v>4.7000000000000188</v>
      </c>
      <c r="B70" s="7">
        <f t="shared" si="0"/>
        <v>0.40000000000003766</v>
      </c>
      <c r="C70" s="7">
        <f t="shared" si="1"/>
        <v>10</v>
      </c>
      <c r="D70" s="7">
        <f t="shared" si="2"/>
        <v>389.18496583060579</v>
      </c>
      <c r="E70" s="7">
        <f t="shared" si="3"/>
        <v>604.54255817942794</v>
      </c>
      <c r="F70" s="7">
        <f t="shared" si="4"/>
        <v>993.72752401003368</v>
      </c>
      <c r="G70" s="7">
        <f t="shared" si="5"/>
        <v>29.999999999998117</v>
      </c>
      <c r="H70" s="7">
        <f t="shared" si="6"/>
        <v>963.72752401003561</v>
      </c>
    </row>
    <row r="71" spans="1:8" x14ac:dyDescent="0.25">
      <c r="A71" s="7">
        <f t="shared" si="7"/>
        <v>4.6000000000000192</v>
      </c>
      <c r="B71" s="7">
        <f t="shared" si="0"/>
        <v>0.20000000000003837</v>
      </c>
      <c r="C71" s="7">
        <f t="shared" si="1"/>
        <v>10</v>
      </c>
      <c r="D71" s="7">
        <f t="shared" si="2"/>
        <v>393.37481085620885</v>
      </c>
      <c r="E71" s="7">
        <f t="shared" si="3"/>
        <v>611.05087646646029</v>
      </c>
      <c r="F71" s="7">
        <f t="shared" si="4"/>
        <v>1004.4256873226691</v>
      </c>
      <c r="G71" s="7">
        <f t="shared" si="5"/>
        <v>39.999999999998082</v>
      </c>
      <c r="H71" s="7">
        <f t="shared" si="6"/>
        <v>964.42568732267102</v>
      </c>
    </row>
    <row r="72" spans="1:8" x14ac:dyDescent="0.25">
      <c r="A72" s="7">
        <f t="shared" si="7"/>
        <v>4.5000000000000195</v>
      </c>
      <c r="B72" s="7">
        <f t="shared" si="0"/>
        <v>1</v>
      </c>
      <c r="C72" s="7">
        <f t="shared" si="1"/>
        <v>9.0000000000000391</v>
      </c>
      <c r="D72" s="7">
        <f t="shared" si="2"/>
        <v>347.60976245806887</v>
      </c>
      <c r="E72" s="7">
        <f t="shared" si="3"/>
        <v>617.62926129612424</v>
      </c>
      <c r="F72" s="7">
        <f t="shared" si="4"/>
        <v>965.23902375419311</v>
      </c>
      <c r="G72" s="7">
        <f t="shared" si="5"/>
        <v>0</v>
      </c>
      <c r="H72" s="7">
        <f t="shared" si="6"/>
        <v>965.23902375419311</v>
      </c>
    </row>
    <row r="73" spans="1:8" x14ac:dyDescent="0.25">
      <c r="A73" s="7">
        <f t="shared" si="7"/>
        <v>4.4000000000000199</v>
      </c>
      <c r="B73" s="7">
        <f t="shared" si="0"/>
        <v>0.80000000000003979</v>
      </c>
      <c r="C73" s="7">
        <f t="shared" si="1"/>
        <v>9</v>
      </c>
      <c r="D73" s="7">
        <f t="shared" si="2"/>
        <v>351.35202169713506</v>
      </c>
      <c r="E73" s="7">
        <f t="shared" si="3"/>
        <v>624.2784669831567</v>
      </c>
      <c r="F73" s="7">
        <f t="shared" si="4"/>
        <v>975.63048868029182</v>
      </c>
      <c r="G73" s="7">
        <f t="shared" si="5"/>
        <v>9.9999999999980105</v>
      </c>
      <c r="H73" s="7">
        <f t="shared" si="6"/>
        <v>965.63048868029387</v>
      </c>
    </row>
    <row r="74" spans="1:8" x14ac:dyDescent="0.25">
      <c r="A74" s="7">
        <f t="shared" si="7"/>
        <v>4.3000000000000203</v>
      </c>
      <c r="B74" s="7">
        <f t="shared" si="0"/>
        <v>0.6000000000000405</v>
      </c>
      <c r="C74" s="7">
        <f t="shared" si="1"/>
        <v>9</v>
      </c>
      <c r="D74" s="7">
        <f t="shared" si="2"/>
        <v>355.13456894225152</v>
      </c>
      <c r="E74" s="7">
        <f t="shared" si="3"/>
        <v>630.99925596301398</v>
      </c>
      <c r="F74" s="7">
        <f t="shared" si="4"/>
        <v>986.13382490526556</v>
      </c>
      <c r="G74" s="7">
        <f t="shared" si="5"/>
        <v>19.999999999997975</v>
      </c>
      <c r="H74" s="7">
        <f t="shared" si="6"/>
        <v>966.1338249052676</v>
      </c>
    </row>
    <row r="75" spans="1:8" x14ac:dyDescent="0.25">
      <c r="A75" s="7">
        <f t="shared" si="7"/>
        <v>4.2000000000000206</v>
      </c>
      <c r="B75" s="7">
        <f t="shared" si="0"/>
        <v>0.40000000000004121</v>
      </c>
      <c r="C75" s="7">
        <f t="shared" si="1"/>
        <v>9</v>
      </c>
      <c r="D75" s="7">
        <f t="shared" si="2"/>
        <v>358.95783792163434</v>
      </c>
      <c r="E75" s="7">
        <f t="shared" si="3"/>
        <v>637.79239887929634</v>
      </c>
      <c r="F75" s="7">
        <f t="shared" si="4"/>
        <v>996.75023680093068</v>
      </c>
      <c r="G75" s="7">
        <f t="shared" si="5"/>
        <v>29.999999999997939</v>
      </c>
      <c r="H75" s="7">
        <f t="shared" si="6"/>
        <v>966.75023680093273</v>
      </c>
    </row>
    <row r="76" spans="1:8" x14ac:dyDescent="0.25">
      <c r="A76" s="7">
        <f t="shared" si="7"/>
        <v>4.100000000000021</v>
      </c>
      <c r="B76" s="7">
        <f t="shared" si="0"/>
        <v>0.20000000000004192</v>
      </c>
      <c r="C76" s="7">
        <f t="shared" si="1"/>
        <v>9</v>
      </c>
      <c r="D76" s="7">
        <f t="shared" si="2"/>
        <v>362.82226703288575</v>
      </c>
      <c r="E76" s="7">
        <f t="shared" si="3"/>
        <v>644.65867467211547</v>
      </c>
      <c r="F76" s="7">
        <f t="shared" si="4"/>
        <v>1007.4809417050012</v>
      </c>
      <c r="G76" s="7">
        <f t="shared" si="5"/>
        <v>39.999999999997904</v>
      </c>
      <c r="H76" s="7">
        <f t="shared" si="6"/>
        <v>967.48094170500326</v>
      </c>
    </row>
    <row r="77" spans="1:8" x14ac:dyDescent="0.25">
      <c r="A77" s="7">
        <f t="shared" si="7"/>
        <v>4.0000000000000213</v>
      </c>
      <c r="B77" s="7">
        <f t="shared" si="0"/>
        <v>1</v>
      </c>
      <c r="C77" s="7">
        <f t="shared" si="1"/>
        <v>8.0000000000000426</v>
      </c>
      <c r="D77" s="7">
        <f t="shared" si="2"/>
        <v>316.72829939326277</v>
      </c>
      <c r="E77" s="7">
        <f t="shared" si="3"/>
        <v>651.59887066741101</v>
      </c>
      <c r="F77" s="7">
        <f t="shared" si="4"/>
        <v>968.32717006067378</v>
      </c>
      <c r="G77" s="7">
        <f t="shared" si="5"/>
        <v>0</v>
      </c>
      <c r="H77" s="7">
        <f t="shared" si="6"/>
        <v>968.32717006067378</v>
      </c>
    </row>
    <row r="78" spans="1:8" x14ac:dyDescent="0.25">
      <c r="A78" s="7">
        <f t="shared" si="7"/>
        <v>3.9000000000000212</v>
      </c>
      <c r="B78" s="7">
        <f t="shared" si="0"/>
        <v>0.80000000000004245</v>
      </c>
      <c r="C78" s="7">
        <f t="shared" si="1"/>
        <v>8</v>
      </c>
      <c r="D78" s="7">
        <f t="shared" si="2"/>
        <v>320.13809834797718</v>
      </c>
      <c r="E78" s="7">
        <f t="shared" si="3"/>
        <v>658.61378266723023</v>
      </c>
      <c r="F78" s="7">
        <f t="shared" si="4"/>
        <v>978.75188101520735</v>
      </c>
      <c r="G78" s="7">
        <f t="shared" si="5"/>
        <v>9.9999999999978773</v>
      </c>
      <c r="H78" s="7">
        <f t="shared" si="6"/>
        <v>968.75188101520951</v>
      </c>
    </row>
    <row r="79" spans="1:8" x14ac:dyDescent="0.25">
      <c r="A79" s="7">
        <f t="shared" si="7"/>
        <v>3.8000000000000211</v>
      </c>
      <c r="B79" s="7">
        <f t="shared" si="0"/>
        <v>0.60000000000004228</v>
      </c>
      <c r="C79" s="7">
        <f t="shared" si="1"/>
        <v>8</v>
      </c>
      <c r="D79" s="7">
        <f t="shared" si="2"/>
        <v>323.58460614410075</v>
      </c>
      <c r="E79" s="7">
        <f t="shared" si="3"/>
        <v>665.70421504097953</v>
      </c>
      <c r="F79" s="7">
        <f t="shared" si="4"/>
        <v>989.28882118508022</v>
      </c>
      <c r="G79" s="7">
        <f t="shared" si="5"/>
        <v>19.999999999997886</v>
      </c>
      <c r="H79" s="7">
        <f t="shared" si="6"/>
        <v>969.28882118508238</v>
      </c>
    </row>
    <row r="80" spans="1:8" x14ac:dyDescent="0.25">
      <c r="A80" s="7">
        <f t="shared" si="7"/>
        <v>3.700000000000021</v>
      </c>
      <c r="B80" s="7">
        <f t="shared" si="0"/>
        <v>0.4000000000000421</v>
      </c>
      <c r="C80" s="7">
        <f t="shared" si="1"/>
        <v>8</v>
      </c>
      <c r="D80" s="7">
        <f t="shared" si="2"/>
        <v>327.06821797766952</v>
      </c>
      <c r="E80" s="7">
        <f t="shared" si="3"/>
        <v>672.8709808176576</v>
      </c>
      <c r="F80" s="7">
        <f t="shared" si="4"/>
        <v>999.93919879532712</v>
      </c>
      <c r="G80" s="7">
        <f t="shared" si="5"/>
        <v>29.999999999997897</v>
      </c>
      <c r="H80" s="7">
        <f t="shared" si="6"/>
        <v>969.93919879532928</v>
      </c>
    </row>
    <row r="81" spans="1:8" x14ac:dyDescent="0.25">
      <c r="A81" s="7">
        <f t="shared" si="7"/>
        <v>3.600000000000021</v>
      </c>
      <c r="B81" s="7">
        <f t="shared" si="0"/>
        <v>0.20000000000004192</v>
      </c>
      <c r="C81" s="7">
        <f t="shared" si="1"/>
        <v>8</v>
      </c>
      <c r="D81" s="7">
        <f t="shared" si="2"/>
        <v>330.58933329927999</v>
      </c>
      <c r="E81" s="7">
        <f t="shared" si="3"/>
        <v>680.11490177908183</v>
      </c>
      <c r="F81" s="7">
        <f t="shared" si="4"/>
        <v>1010.7042350783618</v>
      </c>
      <c r="G81" s="7">
        <f t="shared" si="5"/>
        <v>39.999999999997904</v>
      </c>
      <c r="H81" s="7">
        <f t="shared" si="6"/>
        <v>970.70423507836381</v>
      </c>
    </row>
    <row r="82" spans="1:8" x14ac:dyDescent="0.25">
      <c r="A82" s="7">
        <f t="shared" si="7"/>
        <v>3.5000000000000209</v>
      </c>
      <c r="B82" s="7">
        <f t="shared" si="0"/>
        <v>1</v>
      </c>
      <c r="C82" s="7">
        <f t="shared" si="1"/>
        <v>7.0000000000000417</v>
      </c>
      <c r="D82" s="7">
        <f t="shared" si="2"/>
        <v>284.14835585989221</v>
      </c>
      <c r="E82" s="7">
        <f t="shared" si="3"/>
        <v>687.43680855411856</v>
      </c>
      <c r="F82" s="7">
        <f t="shared" si="4"/>
        <v>971.58516441401071</v>
      </c>
      <c r="G82" s="7">
        <f t="shared" si="5"/>
        <v>0</v>
      </c>
      <c r="H82" s="7">
        <f t="shared" si="6"/>
        <v>971.58516441401071</v>
      </c>
    </row>
    <row r="83" spans="1:8" x14ac:dyDescent="0.25">
      <c r="A83" s="7">
        <f t="shared" si="7"/>
        <v>3.4000000000000208</v>
      </c>
      <c r="B83" s="7">
        <f t="shared" ref="B83:B116" si="8">IF(MOD(MOD(A83, 1), 1/$B$5) / (1/$B$5) &lt; 0.1, 1, MOD(MOD(A83, 1), 1/$B$5) / (1/$B$5))</f>
        <v>0.80000000000004157</v>
      </c>
      <c r="C83" s="7">
        <f t="shared" ref="C83:C116" si="9">$B$5*A83-B83+1</f>
        <v>7</v>
      </c>
      <c r="D83" s="7">
        <f t="shared" ref="D83:D116" si="10">$B$9*(1-1/(1+$B$11)^C83)/$B$11 * (1+$B$11)^(1-B83)</f>
        <v>287.20740921461572</v>
      </c>
      <c r="E83" s="7">
        <f t="shared" ref="E83:E116" si="11">(1+$B$11)^(1-B83) * $B$3/(1+$B$11)^C83</f>
        <v>694.83754071392786</v>
      </c>
      <c r="F83" s="7">
        <f t="shared" ref="F83:F116" si="12">D83+E83</f>
        <v>982.04494992854359</v>
      </c>
      <c r="G83" s="7">
        <f t="shared" ref="G83:G116" si="13">$B$9*(1-B83)</f>
        <v>9.9999999999979217</v>
      </c>
      <c r="H83" s="7">
        <f t="shared" ref="H83:H116" si="14">F83-G83</f>
        <v>972.04494992854563</v>
      </c>
    </row>
    <row r="84" spans="1:8" x14ac:dyDescent="0.25">
      <c r="A84" s="7">
        <f t="shared" ref="A84:A89" si="15">A83-0.1</f>
        <v>3.3000000000000207</v>
      </c>
      <c r="B84" s="7">
        <f t="shared" si="8"/>
        <v>0.60000000000004139</v>
      </c>
      <c r="C84" s="7">
        <f t="shared" si="9"/>
        <v>7</v>
      </c>
      <c r="D84" s="7">
        <f t="shared" si="10"/>
        <v>290.29939539205185</v>
      </c>
      <c r="E84" s="7">
        <f t="shared" si="11"/>
        <v>702.31794686823343</v>
      </c>
      <c r="F84" s="7">
        <f t="shared" si="12"/>
        <v>992.61734226028534</v>
      </c>
      <c r="G84" s="7">
        <f t="shared" si="13"/>
        <v>19.999999999997932</v>
      </c>
      <c r="H84" s="7">
        <f t="shared" si="14"/>
        <v>972.61734226028739</v>
      </c>
    </row>
    <row r="85" spans="1:8" x14ac:dyDescent="0.25">
      <c r="A85" s="7">
        <f t="shared" si="15"/>
        <v>3.2000000000000206</v>
      </c>
      <c r="B85" s="7">
        <f t="shared" si="8"/>
        <v>0.40000000000004121</v>
      </c>
      <c r="C85" s="7">
        <f t="shared" si="9"/>
        <v>7</v>
      </c>
      <c r="D85" s="7">
        <f t="shared" si="10"/>
        <v>293.4246689367867</v>
      </c>
      <c r="E85" s="7">
        <f t="shared" si="11"/>
        <v>709.87888476262879</v>
      </c>
      <c r="F85" s="7">
        <f t="shared" si="12"/>
        <v>1003.3035536994155</v>
      </c>
      <c r="G85" s="7">
        <f t="shared" si="13"/>
        <v>29.999999999997939</v>
      </c>
      <c r="H85" s="7">
        <f t="shared" si="14"/>
        <v>973.30355369941753</v>
      </c>
    </row>
    <row r="86" spans="1:8" x14ac:dyDescent="0.25">
      <c r="A86" s="7">
        <f t="shared" si="15"/>
        <v>3.1000000000000205</v>
      </c>
      <c r="B86" s="7">
        <f t="shared" si="8"/>
        <v>0.20000000000004103</v>
      </c>
      <c r="C86" s="7">
        <f t="shared" si="9"/>
        <v>7</v>
      </c>
      <c r="D86" s="7">
        <f t="shared" si="10"/>
        <v>296.58358821032596</v>
      </c>
      <c r="E86" s="7">
        <f t="shared" si="11"/>
        <v>717.52122137693129</v>
      </c>
      <c r="F86" s="7">
        <f t="shared" si="12"/>
        <v>1014.1048095872573</v>
      </c>
      <c r="G86" s="7">
        <f t="shared" si="13"/>
        <v>39.999999999997947</v>
      </c>
      <c r="H86" s="7">
        <f t="shared" si="14"/>
        <v>974.1048095872593</v>
      </c>
    </row>
    <row r="87" spans="1:8" x14ac:dyDescent="0.25">
      <c r="A87" s="7">
        <f t="shared" si="15"/>
        <v>3.0000000000000204</v>
      </c>
      <c r="B87" s="7">
        <f t="shared" si="8"/>
        <v>1</v>
      </c>
      <c r="C87" s="7">
        <f t="shared" si="9"/>
        <v>6.0000000000000409</v>
      </c>
      <c r="D87" s="7">
        <f t="shared" si="10"/>
        <v>249.77651543218627</v>
      </c>
      <c r="E87" s="7">
        <f t="shared" si="11"/>
        <v>725.24583302459507</v>
      </c>
      <c r="F87" s="7">
        <f t="shared" si="12"/>
        <v>975.0223484567814</v>
      </c>
      <c r="G87" s="7">
        <f t="shared" si="13"/>
        <v>0</v>
      </c>
      <c r="H87" s="7">
        <f t="shared" si="14"/>
        <v>975.0223484567814</v>
      </c>
    </row>
    <row r="88" spans="1:8" x14ac:dyDescent="0.25">
      <c r="A88" s="7">
        <f t="shared" si="15"/>
        <v>2.9000000000000203</v>
      </c>
      <c r="B88" s="7">
        <f t="shared" si="8"/>
        <v>0.80000000000004068</v>
      </c>
      <c r="C88" s="7">
        <f t="shared" si="9"/>
        <v>6</v>
      </c>
      <c r="D88" s="7">
        <f t="shared" si="10"/>
        <v>252.4655321789194</v>
      </c>
      <c r="E88" s="7">
        <f t="shared" si="11"/>
        <v>733.05360545319388</v>
      </c>
      <c r="F88" s="7">
        <f t="shared" si="12"/>
        <v>985.51913763211326</v>
      </c>
      <c r="G88" s="7">
        <f t="shared" si="13"/>
        <v>9.9999999999979661</v>
      </c>
      <c r="H88" s="7">
        <f t="shared" si="14"/>
        <v>975.5191376321153</v>
      </c>
    </row>
    <row r="89" spans="1:8" x14ac:dyDescent="0.25">
      <c r="A89" s="7">
        <f t="shared" si="15"/>
        <v>2.8000000000000203</v>
      </c>
      <c r="B89" s="7">
        <f t="shared" si="8"/>
        <v>0.6000000000000405</v>
      </c>
      <c r="C89" s="7">
        <f t="shared" si="9"/>
        <v>6</v>
      </c>
      <c r="D89" s="7">
        <f t="shared" si="10"/>
        <v>255.18349804864027</v>
      </c>
      <c r="E89" s="7">
        <f t="shared" si="11"/>
        <v>740.94543394598634</v>
      </c>
      <c r="F89" s="7">
        <f t="shared" si="12"/>
        <v>996.12893199462656</v>
      </c>
      <c r="G89" s="7">
        <f t="shared" si="13"/>
        <v>19.999999999997975</v>
      </c>
      <c r="H89" s="7">
        <f t="shared" si="14"/>
        <v>976.1289319946286</v>
      </c>
    </row>
    <row r="90" spans="1:8" x14ac:dyDescent="0.25">
      <c r="A90" s="7">
        <f>A89-0.1</f>
        <v>2.7000000000000202</v>
      </c>
      <c r="B90" s="7">
        <f t="shared" si="8"/>
        <v>0.40000000000004032</v>
      </c>
      <c r="C90" s="7">
        <f t="shared" si="9"/>
        <v>6</v>
      </c>
      <c r="D90" s="7">
        <f t="shared" si="10"/>
        <v>257.93072469865541</v>
      </c>
      <c r="E90" s="7">
        <f t="shared" si="11"/>
        <v>748.92222342457342</v>
      </c>
      <c r="F90" s="7">
        <f t="shared" si="12"/>
        <v>1006.8529481232288</v>
      </c>
      <c r="G90" s="7">
        <f t="shared" si="13"/>
        <v>29.999999999997982</v>
      </c>
      <c r="H90" s="7">
        <f t="shared" si="14"/>
        <v>976.85294812323082</v>
      </c>
    </row>
    <row r="91" spans="1:8" x14ac:dyDescent="0.25">
      <c r="A91" s="7">
        <f t="shared" ref="A91:A104" si="16">A90-0.1</f>
        <v>2.6000000000000201</v>
      </c>
      <c r="B91" s="7">
        <f t="shared" si="8"/>
        <v>0.20000000000004015</v>
      </c>
      <c r="C91" s="7">
        <f t="shared" si="9"/>
        <v>6</v>
      </c>
      <c r="D91" s="7">
        <f t="shared" si="10"/>
        <v>260.70752714147949</v>
      </c>
      <c r="E91" s="7">
        <f t="shared" si="11"/>
        <v>756.98488855266248</v>
      </c>
      <c r="F91" s="7">
        <f t="shared" si="12"/>
        <v>1017.692415694142</v>
      </c>
      <c r="G91" s="7">
        <f t="shared" si="13"/>
        <v>39.999999999997996</v>
      </c>
      <c r="H91" s="7">
        <f t="shared" si="14"/>
        <v>977.69241569414407</v>
      </c>
    </row>
    <row r="92" spans="1:8" x14ac:dyDescent="0.25">
      <c r="A92" s="7">
        <f t="shared" si="16"/>
        <v>2.50000000000002</v>
      </c>
      <c r="B92" s="7">
        <f t="shared" si="8"/>
        <v>1</v>
      </c>
      <c r="C92" s="7">
        <f t="shared" si="9"/>
        <v>5.00000000000004</v>
      </c>
      <c r="D92" s="7">
        <f t="shared" si="10"/>
        <v>213.51422378095651</v>
      </c>
      <c r="E92" s="7">
        <f t="shared" si="11"/>
        <v>765.13435384094782</v>
      </c>
      <c r="F92" s="7">
        <f t="shared" si="12"/>
        <v>978.64857762190434</v>
      </c>
      <c r="G92" s="7">
        <f t="shared" si="13"/>
        <v>0</v>
      </c>
      <c r="H92" s="7">
        <f t="shared" si="14"/>
        <v>978.64857762190434</v>
      </c>
    </row>
    <row r="93" spans="1:8" x14ac:dyDescent="0.25">
      <c r="A93" s="7">
        <f t="shared" si="16"/>
        <v>2.4000000000000199</v>
      </c>
      <c r="B93" s="7">
        <f t="shared" si="8"/>
        <v>0.80000000000003979</v>
      </c>
      <c r="C93" s="7">
        <f t="shared" si="9"/>
        <v>5</v>
      </c>
      <c r="D93" s="7">
        <f t="shared" si="10"/>
        <v>215.81285190625971</v>
      </c>
      <c r="E93" s="7">
        <f t="shared" si="11"/>
        <v>773.37155375311966</v>
      </c>
      <c r="F93" s="7">
        <f t="shared" si="12"/>
        <v>989.18440565937931</v>
      </c>
      <c r="G93" s="7">
        <f t="shared" si="13"/>
        <v>9.9999999999980105</v>
      </c>
      <c r="H93" s="7">
        <f t="shared" si="14"/>
        <v>979.18440565938135</v>
      </c>
    </row>
    <row r="94" spans="1:8" x14ac:dyDescent="0.25">
      <c r="A94" s="7">
        <f t="shared" si="16"/>
        <v>2.3000000000000198</v>
      </c>
      <c r="B94" s="7">
        <f t="shared" si="8"/>
        <v>0.60000000000003961</v>
      </c>
      <c r="C94" s="7">
        <f t="shared" si="9"/>
        <v>5</v>
      </c>
      <c r="D94" s="7">
        <f t="shared" si="10"/>
        <v>218.13622635134092</v>
      </c>
      <c r="E94" s="7">
        <f t="shared" si="11"/>
        <v>781.69743281301567</v>
      </c>
      <c r="F94" s="7">
        <f t="shared" si="12"/>
        <v>999.83365916435662</v>
      </c>
      <c r="G94" s="7">
        <f t="shared" si="13"/>
        <v>19.999999999998018</v>
      </c>
      <c r="H94" s="7">
        <f t="shared" si="14"/>
        <v>979.83365916435855</v>
      </c>
    </row>
    <row r="95" spans="1:8" x14ac:dyDescent="0.25">
      <c r="A95" s="7">
        <f t="shared" si="16"/>
        <v>2.2000000000000197</v>
      </c>
      <c r="B95" s="7">
        <f t="shared" si="8"/>
        <v>0.40000000000003944</v>
      </c>
      <c r="C95" s="7">
        <f t="shared" si="9"/>
        <v>5</v>
      </c>
      <c r="D95" s="7">
        <f t="shared" si="10"/>
        <v>220.48461352742669</v>
      </c>
      <c r="E95" s="7">
        <f t="shared" si="11"/>
        <v>790.11294571292501</v>
      </c>
      <c r="F95" s="7">
        <f t="shared" si="12"/>
        <v>1010.5975592403518</v>
      </c>
      <c r="G95" s="7">
        <f t="shared" si="13"/>
        <v>29.999999999998028</v>
      </c>
      <c r="H95" s="7">
        <f t="shared" si="14"/>
        <v>980.59755924035369</v>
      </c>
    </row>
    <row r="96" spans="1:8" x14ac:dyDescent="0.25">
      <c r="A96" s="7">
        <f t="shared" si="16"/>
        <v>2.1000000000000196</v>
      </c>
      <c r="B96" s="7">
        <f t="shared" si="8"/>
        <v>0.20000000000003926</v>
      </c>
      <c r="C96" s="7">
        <f t="shared" si="9"/>
        <v>5</v>
      </c>
      <c r="D96" s="7">
        <f t="shared" si="10"/>
        <v>222.85828271384634</v>
      </c>
      <c r="E96" s="7">
        <f t="shared" si="11"/>
        <v>798.61905742305908</v>
      </c>
      <c r="F96" s="7">
        <f t="shared" si="12"/>
        <v>1021.4773401369055</v>
      </c>
      <c r="G96" s="7">
        <f t="shared" si="13"/>
        <v>39.999999999998039</v>
      </c>
      <c r="H96" s="7">
        <f t="shared" si="14"/>
        <v>981.4773401369074</v>
      </c>
    </row>
    <row r="97" spans="1:8" x14ac:dyDescent="0.25">
      <c r="A97" s="7">
        <f t="shared" si="16"/>
        <v>2.0000000000000195</v>
      </c>
      <c r="B97" s="7">
        <f t="shared" si="8"/>
        <v>1</v>
      </c>
      <c r="C97" s="7">
        <f t="shared" si="9"/>
        <v>4.0000000000000391</v>
      </c>
      <c r="D97" s="7">
        <f t="shared" si="10"/>
        <v>175.25750608890914</v>
      </c>
      <c r="E97" s="7">
        <f t="shared" si="11"/>
        <v>807.21674330219992</v>
      </c>
      <c r="F97" s="7">
        <f t="shared" si="12"/>
        <v>982.47424939110908</v>
      </c>
      <c r="G97" s="7">
        <f t="shared" si="13"/>
        <v>0</v>
      </c>
      <c r="H97" s="7">
        <f t="shared" si="14"/>
        <v>982.47424939110908</v>
      </c>
    </row>
    <row r="98" spans="1:8" x14ac:dyDescent="0.25">
      <c r="A98" s="7">
        <f t="shared" si="16"/>
        <v>1.9000000000000195</v>
      </c>
      <c r="B98" s="7">
        <f t="shared" si="8"/>
        <v>0.8000000000000389</v>
      </c>
      <c r="C98" s="7">
        <f t="shared" si="9"/>
        <v>4</v>
      </c>
      <c r="D98" s="7">
        <f t="shared" si="10"/>
        <v>177.14427421860373</v>
      </c>
      <c r="E98" s="7">
        <f t="shared" si="11"/>
        <v>815.90698920954117</v>
      </c>
      <c r="F98" s="7">
        <f t="shared" si="12"/>
        <v>993.05126342814492</v>
      </c>
      <c r="G98" s="7">
        <f t="shared" si="13"/>
        <v>9.9999999999980549</v>
      </c>
      <c r="H98" s="7">
        <f t="shared" si="14"/>
        <v>983.05126342814685</v>
      </c>
    </row>
    <row r="99" spans="1:8" x14ac:dyDescent="0.25">
      <c r="A99" s="7">
        <f t="shared" si="16"/>
        <v>1.8000000000000194</v>
      </c>
      <c r="B99" s="7">
        <f t="shared" si="8"/>
        <v>0.60000000000003872</v>
      </c>
      <c r="C99" s="7">
        <f t="shared" si="9"/>
        <v>4</v>
      </c>
      <c r="D99" s="7">
        <f t="shared" si="10"/>
        <v>179.05135471069016</v>
      </c>
      <c r="E99" s="7">
        <f t="shared" si="11"/>
        <v>824.69079161773141</v>
      </c>
      <c r="F99" s="7">
        <f t="shared" si="12"/>
        <v>1003.7421463284215</v>
      </c>
      <c r="G99" s="7">
        <f t="shared" si="13"/>
        <v>19.999999999998064</v>
      </c>
      <c r="H99" s="7">
        <f t="shared" si="14"/>
        <v>983.74214632842347</v>
      </c>
    </row>
    <row r="100" spans="1:8" x14ac:dyDescent="0.25">
      <c r="A100" s="7">
        <f t="shared" si="16"/>
        <v>1.7000000000000193</v>
      </c>
      <c r="B100" s="7">
        <f t="shared" si="8"/>
        <v>0.40000000000003855</v>
      </c>
      <c r="C100" s="7">
        <f t="shared" si="9"/>
        <v>4</v>
      </c>
      <c r="D100" s="7">
        <f t="shared" si="10"/>
        <v>180.97896624178045</v>
      </c>
      <c r="E100" s="7">
        <f t="shared" si="11"/>
        <v>833.5691577271358</v>
      </c>
      <c r="F100" s="7">
        <f t="shared" si="12"/>
        <v>1014.5481239689162</v>
      </c>
      <c r="G100" s="7">
        <f t="shared" si="13"/>
        <v>29.999999999998074</v>
      </c>
      <c r="H100" s="7">
        <f t="shared" si="14"/>
        <v>984.54812396891816</v>
      </c>
    </row>
    <row r="101" spans="1:8" x14ac:dyDescent="0.25">
      <c r="A101" s="7">
        <f t="shared" si="16"/>
        <v>1.6000000000000192</v>
      </c>
      <c r="B101" s="7">
        <f t="shared" si="8"/>
        <v>0.20000000000003837</v>
      </c>
      <c r="C101" s="7">
        <f t="shared" si="9"/>
        <v>4</v>
      </c>
      <c r="D101" s="7">
        <f t="shared" si="10"/>
        <v>182.92732984269341</v>
      </c>
      <c r="E101" s="7">
        <f t="shared" si="11"/>
        <v>842.54310558132727</v>
      </c>
      <c r="F101" s="7">
        <f t="shared" si="12"/>
        <v>1025.4704354240207</v>
      </c>
      <c r="G101" s="7">
        <f t="shared" si="13"/>
        <v>39.999999999998082</v>
      </c>
      <c r="H101" s="7">
        <f t="shared" si="14"/>
        <v>985.47043542402264</v>
      </c>
    </row>
    <row r="102" spans="1:8" x14ac:dyDescent="0.25">
      <c r="A102" s="7">
        <f t="shared" si="16"/>
        <v>1.5000000000000191</v>
      </c>
      <c r="B102" s="7">
        <f t="shared" si="8"/>
        <v>1</v>
      </c>
      <c r="C102" s="7">
        <f t="shared" si="9"/>
        <v>3.0000000000000382</v>
      </c>
      <c r="D102" s="7">
        <f t="shared" si="10"/>
        <v>134.89666892379918</v>
      </c>
      <c r="E102" s="7">
        <f t="shared" si="11"/>
        <v>851.6136641838209</v>
      </c>
      <c r="F102" s="7">
        <f t="shared" si="12"/>
        <v>986.51033310762011</v>
      </c>
      <c r="G102" s="7">
        <f t="shared" si="13"/>
        <v>0</v>
      </c>
      <c r="H102" s="7">
        <f t="shared" si="14"/>
        <v>986.51033310762011</v>
      </c>
    </row>
    <row r="103" spans="1:8" x14ac:dyDescent="0.25">
      <c r="A103" s="7">
        <f t="shared" si="16"/>
        <v>1.400000000000019</v>
      </c>
      <c r="B103" s="7">
        <f t="shared" si="8"/>
        <v>0.80000000000003801</v>
      </c>
      <c r="C103" s="7">
        <f t="shared" si="9"/>
        <v>3</v>
      </c>
      <c r="D103" s="7">
        <f t="shared" si="10"/>
        <v>136.34892475812669</v>
      </c>
      <c r="E103" s="7">
        <f t="shared" si="11"/>
        <v>860.78187361606592</v>
      </c>
      <c r="F103" s="7">
        <f t="shared" si="12"/>
        <v>997.13079837419264</v>
      </c>
      <c r="G103" s="7">
        <f t="shared" si="13"/>
        <v>9.9999999999980993</v>
      </c>
      <c r="H103" s="7">
        <f t="shared" si="14"/>
        <v>987.13079837419457</v>
      </c>
    </row>
    <row r="104" spans="1:8" x14ac:dyDescent="0.25">
      <c r="A104" s="7">
        <f t="shared" si="16"/>
        <v>1.3000000000000189</v>
      </c>
      <c r="B104" s="7">
        <f t="shared" si="8"/>
        <v>0.60000000000003784</v>
      </c>
      <c r="C104" s="7">
        <f t="shared" si="9"/>
        <v>3</v>
      </c>
      <c r="D104" s="7">
        <f t="shared" si="10"/>
        <v>137.81681512980359</v>
      </c>
      <c r="E104" s="7">
        <f t="shared" si="11"/>
        <v>870.04878515670669</v>
      </c>
      <c r="F104" s="7">
        <f t="shared" si="12"/>
        <v>1007.8656002865102</v>
      </c>
      <c r="G104" s="7">
        <f t="shared" si="13"/>
        <v>19.99999999999811</v>
      </c>
      <c r="H104" s="7">
        <f t="shared" si="14"/>
        <v>987.86560028651218</v>
      </c>
    </row>
    <row r="105" spans="1:8" x14ac:dyDescent="0.25">
      <c r="A105" s="7">
        <f>A104-0.1</f>
        <v>1.2000000000000188</v>
      </c>
      <c r="B105" s="7">
        <f t="shared" si="8"/>
        <v>0.40000000000003766</v>
      </c>
      <c r="C105" s="7">
        <f t="shared" si="9"/>
        <v>3</v>
      </c>
      <c r="D105" s="7">
        <f t="shared" si="10"/>
        <v>139.30050835542369</v>
      </c>
      <c r="E105" s="7">
        <f t="shared" si="11"/>
        <v>879.41546140212824</v>
      </c>
      <c r="F105" s="7">
        <f t="shared" si="12"/>
        <v>1018.7159697575519</v>
      </c>
      <c r="G105" s="7">
        <f t="shared" si="13"/>
        <v>29.999999999998117</v>
      </c>
      <c r="H105" s="7">
        <f t="shared" si="14"/>
        <v>988.71596975755381</v>
      </c>
    </row>
    <row r="106" spans="1:8" x14ac:dyDescent="0.25">
      <c r="A106" s="7">
        <f t="shared" ref="A106:A111" si="17">A105-0.1</f>
        <v>1.1000000000000187</v>
      </c>
      <c r="B106" s="7">
        <f t="shared" si="8"/>
        <v>0.20000000000003748</v>
      </c>
      <c r="C106" s="7">
        <f t="shared" si="9"/>
        <v>3</v>
      </c>
      <c r="D106" s="7">
        <f t="shared" si="10"/>
        <v>140.80017456362705</v>
      </c>
      <c r="E106" s="7">
        <f t="shared" si="11"/>
        <v>888.88297638830034</v>
      </c>
      <c r="F106" s="7">
        <f t="shared" si="12"/>
        <v>1029.6831509519275</v>
      </c>
      <c r="G106" s="7">
        <f t="shared" si="13"/>
        <v>39.999999999998124</v>
      </c>
      <c r="H106" s="7">
        <f t="shared" si="14"/>
        <v>989.68315095192929</v>
      </c>
    </row>
    <row r="107" spans="1:8" x14ac:dyDescent="0.25">
      <c r="A107" s="7">
        <f t="shared" si="17"/>
        <v>1.0000000000000187</v>
      </c>
      <c r="B107" s="7">
        <f t="shared" si="8"/>
        <v>1</v>
      </c>
      <c r="C107" s="7">
        <f t="shared" si="9"/>
        <v>2.0000000000000373</v>
      </c>
      <c r="D107" s="7">
        <f t="shared" si="10"/>
        <v>92.315985714608203</v>
      </c>
      <c r="E107" s="7">
        <f t="shared" si="11"/>
        <v>898.45241571393103</v>
      </c>
      <c r="F107" s="7">
        <f t="shared" si="12"/>
        <v>990.76840142853928</v>
      </c>
      <c r="G107" s="7">
        <f t="shared" si="13"/>
        <v>0</v>
      </c>
      <c r="H107" s="7">
        <f t="shared" si="14"/>
        <v>990.76840142853928</v>
      </c>
    </row>
    <row r="108" spans="1:8" x14ac:dyDescent="0.25">
      <c r="A108" s="7">
        <f t="shared" si="17"/>
        <v>0.90000000000001867</v>
      </c>
      <c r="B108" s="7">
        <f t="shared" si="8"/>
        <v>0.80000000000003735</v>
      </c>
      <c r="C108" s="7">
        <f t="shared" si="9"/>
        <v>2</v>
      </c>
      <c r="D108" s="7">
        <f t="shared" si="10"/>
        <v>93.309831077323452</v>
      </c>
      <c r="E108" s="7">
        <f t="shared" si="11"/>
        <v>908.1248766649494</v>
      </c>
      <c r="F108" s="7">
        <f t="shared" si="12"/>
        <v>1001.4347077422728</v>
      </c>
      <c r="G108" s="7">
        <f t="shared" si="13"/>
        <v>9.999999999998133</v>
      </c>
      <c r="H108" s="7">
        <f t="shared" si="14"/>
        <v>991.43470774227467</v>
      </c>
    </row>
    <row r="109" spans="1:8" x14ac:dyDescent="0.25">
      <c r="A109" s="7">
        <f t="shared" si="17"/>
        <v>0.8000000000000187</v>
      </c>
      <c r="B109" s="7">
        <f t="shared" si="8"/>
        <v>0.60000000000003739</v>
      </c>
      <c r="C109" s="7">
        <f t="shared" si="9"/>
        <v>2</v>
      </c>
      <c r="D109" s="7">
        <f t="shared" si="10"/>
        <v>94.314375871968323</v>
      </c>
      <c r="E109" s="7">
        <f t="shared" si="11"/>
        <v>917.90146834032544</v>
      </c>
      <c r="F109" s="7">
        <f t="shared" si="12"/>
        <v>1012.2158442122937</v>
      </c>
      <c r="G109" s="7">
        <f t="shared" si="13"/>
        <v>19.999999999998131</v>
      </c>
      <c r="H109" s="7">
        <f t="shared" si="14"/>
        <v>992.21584421229556</v>
      </c>
    </row>
    <row r="110" spans="1:8" x14ac:dyDescent="0.25">
      <c r="A110" s="7">
        <f t="shared" si="17"/>
        <v>0.70000000000001872</v>
      </c>
      <c r="B110" s="7">
        <f t="shared" si="8"/>
        <v>0.40000000000003744</v>
      </c>
      <c r="C110" s="7">
        <f t="shared" si="9"/>
        <v>2</v>
      </c>
      <c r="D110" s="7">
        <f t="shared" si="10"/>
        <v>95.329735285317327</v>
      </c>
      <c r="E110" s="7">
        <f t="shared" si="11"/>
        <v>927.7833117792452</v>
      </c>
      <c r="F110" s="7">
        <f t="shared" si="12"/>
        <v>1023.1130470645626</v>
      </c>
      <c r="G110" s="7">
        <f t="shared" si="13"/>
        <v>29.999999999998128</v>
      </c>
      <c r="H110" s="7">
        <f t="shared" si="14"/>
        <v>993.1130470645644</v>
      </c>
    </row>
    <row r="111" spans="1:8" x14ac:dyDescent="0.25">
      <c r="A111" s="7">
        <f t="shared" si="17"/>
        <v>0.60000000000001874</v>
      </c>
      <c r="B111" s="7">
        <f t="shared" si="8"/>
        <v>0.20000000000003748</v>
      </c>
      <c r="C111" s="7">
        <f t="shared" si="9"/>
        <v>2</v>
      </c>
      <c r="D111" s="7">
        <f t="shared" si="10"/>
        <v>96.356025744212104</v>
      </c>
      <c r="E111" s="7">
        <f t="shared" si="11"/>
        <v>937.7715400896567</v>
      </c>
      <c r="F111" s="7">
        <f t="shared" si="12"/>
        <v>1034.1275658338689</v>
      </c>
      <c r="G111" s="7">
        <f t="shared" si="13"/>
        <v>39.999999999998124</v>
      </c>
      <c r="H111" s="7">
        <f t="shared" si="14"/>
        <v>994.12756583387068</v>
      </c>
    </row>
    <row r="112" spans="1:8" x14ac:dyDescent="0.25">
      <c r="A112" s="7">
        <f>A111-0.1</f>
        <v>0.50000000000001876</v>
      </c>
      <c r="B112" s="7">
        <f t="shared" si="8"/>
        <v>1</v>
      </c>
      <c r="C112" s="7">
        <f t="shared" si="9"/>
        <v>1.0000000000000375</v>
      </c>
      <c r="D112" s="7">
        <f t="shared" si="10"/>
        <v>47.393364928911751</v>
      </c>
      <c r="E112" s="7">
        <f t="shared" si="11"/>
        <v>947.86729857819716</v>
      </c>
      <c r="F112" s="7">
        <f t="shared" si="12"/>
        <v>995.26066350710892</v>
      </c>
      <c r="G112" s="7">
        <f t="shared" si="13"/>
        <v>0</v>
      </c>
      <c r="H112" s="7">
        <f t="shared" si="14"/>
        <v>995.26066350710892</v>
      </c>
    </row>
    <row r="113" spans="1:8" x14ac:dyDescent="0.25">
      <c r="A113" s="7">
        <f t="shared" ref="A113:A115" si="18">A112-0.1</f>
        <v>0.40000000000001878</v>
      </c>
      <c r="B113" s="7">
        <f t="shared" si="8"/>
        <v>0.80000000000003757</v>
      </c>
      <c r="C113" s="7">
        <f t="shared" si="9"/>
        <v>1</v>
      </c>
      <c r="D113" s="7">
        <f t="shared" si="10"/>
        <v>47.903587244076071</v>
      </c>
      <c r="E113" s="7">
        <f t="shared" si="11"/>
        <v>958.07174488152168</v>
      </c>
      <c r="F113" s="7">
        <f t="shared" si="12"/>
        <v>1005.9753321255978</v>
      </c>
      <c r="G113" s="7">
        <f t="shared" si="13"/>
        <v>9.9999999999981206</v>
      </c>
      <c r="H113" s="7">
        <f t="shared" si="14"/>
        <v>995.97533212559972</v>
      </c>
    </row>
    <row r="114" spans="1:8" x14ac:dyDescent="0.25">
      <c r="A114" s="7">
        <f t="shared" si="18"/>
        <v>0.30000000000001881</v>
      </c>
      <c r="B114" s="7">
        <f t="shared" si="8"/>
        <v>0.60000000000003761</v>
      </c>
      <c r="C114" s="7">
        <f t="shared" si="9"/>
        <v>1</v>
      </c>
      <c r="D114" s="7">
        <f t="shared" si="10"/>
        <v>48.419302454952145</v>
      </c>
      <c r="E114" s="7">
        <f t="shared" si="11"/>
        <v>968.38604909904336</v>
      </c>
      <c r="F114" s="7">
        <f t="shared" si="12"/>
        <v>1016.8053515539955</v>
      </c>
      <c r="G114" s="7">
        <f t="shared" si="13"/>
        <v>19.999999999998121</v>
      </c>
      <c r="H114" s="7">
        <f t="shared" si="14"/>
        <v>996.80535155399741</v>
      </c>
    </row>
    <row r="115" spans="1:8" x14ac:dyDescent="0.25">
      <c r="A115" s="7">
        <f t="shared" si="18"/>
        <v>0.2000000000000188</v>
      </c>
      <c r="B115" s="7">
        <f t="shared" si="8"/>
        <v>0.4000000000000376</v>
      </c>
      <c r="C115" s="7">
        <f t="shared" si="9"/>
        <v>1</v>
      </c>
      <c r="D115" s="7">
        <f t="shared" si="10"/>
        <v>48.940569696355169</v>
      </c>
      <c r="E115" s="7">
        <f t="shared" si="11"/>
        <v>978.81139392710372</v>
      </c>
      <c r="F115" s="7">
        <f t="shared" si="12"/>
        <v>1027.7519636234588</v>
      </c>
      <c r="G115" s="7">
        <f t="shared" si="13"/>
        <v>29.999999999998117</v>
      </c>
      <c r="H115" s="7">
        <f t="shared" si="14"/>
        <v>997.75196362346071</v>
      </c>
    </row>
    <row r="116" spans="1:8" x14ac:dyDescent="0.25">
      <c r="A116" s="7">
        <f>A115-0.1</f>
        <v>0.1000000000000188</v>
      </c>
      <c r="B116" s="7">
        <f t="shared" si="8"/>
        <v>0.20000000000003759</v>
      </c>
      <c r="C116" s="7">
        <f t="shared" si="9"/>
        <v>1</v>
      </c>
      <c r="D116" s="7">
        <f t="shared" si="10"/>
        <v>49.46744873972937</v>
      </c>
      <c r="E116" s="7">
        <f t="shared" si="11"/>
        <v>989.34897479458778</v>
      </c>
      <c r="F116" s="7">
        <f t="shared" si="12"/>
        <v>1038.8164235343172</v>
      </c>
      <c r="G116" s="7">
        <f t="shared" si="13"/>
        <v>39.999999999998117</v>
      </c>
      <c r="H116" s="7">
        <f t="shared" si="14"/>
        <v>998.81642353431914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AD9A-2DF5-4159-95C7-49F9F53E565B}">
  <dimension ref="A1:J165"/>
  <sheetViews>
    <sheetView zoomScale="85" zoomScaleNormal="85" workbookViewId="0">
      <selection activeCell="D33" sqref="D33"/>
    </sheetView>
  </sheetViews>
  <sheetFormatPr defaultRowHeight="15" x14ac:dyDescent="0.25"/>
  <cols>
    <col min="1" max="1" width="51.7109375" bestFit="1" customWidth="1"/>
    <col min="2" max="2" width="21.28515625" bestFit="1" customWidth="1"/>
    <col min="3" max="3" width="16.7109375" bestFit="1" customWidth="1"/>
    <col min="4" max="4" width="12.28515625" bestFit="1" customWidth="1"/>
    <col min="5" max="5" width="21" bestFit="1" customWidth="1"/>
    <col min="6" max="6" width="12.28515625" bestFit="1" customWidth="1"/>
    <col min="7" max="7" width="17" bestFit="1" customWidth="1"/>
    <col min="8" max="8" width="18.28515625" bestFit="1" customWidth="1"/>
    <col min="9" max="9" width="8.85546875" bestFit="1" customWidth="1"/>
    <col min="10" max="10" width="9.28515625" bestFit="1" customWidth="1"/>
  </cols>
  <sheetData>
    <row r="1" spans="1:10" ht="18.75" x14ac:dyDescent="0.3">
      <c r="A1" s="2" t="s">
        <v>41</v>
      </c>
    </row>
    <row r="2" spans="1:10" x14ac:dyDescent="0.25">
      <c r="I2" s="3"/>
      <c r="J2" s="3" t="s">
        <v>50</v>
      </c>
    </row>
    <row r="3" spans="1:10" x14ac:dyDescent="0.25">
      <c r="A3" s="3" t="s">
        <v>42</v>
      </c>
      <c r="B3" s="3" t="s">
        <v>43</v>
      </c>
      <c r="C3" s="3" t="s">
        <v>44</v>
      </c>
      <c r="E3" s="3" t="s">
        <v>45</v>
      </c>
      <c r="F3" s="21">
        <v>0.11000087372344022</v>
      </c>
      <c r="I3" s="3" t="s">
        <v>48</v>
      </c>
      <c r="J3" s="23">
        <f>F5</f>
        <v>2.9503507903427817E-7</v>
      </c>
    </row>
    <row r="4" spans="1:10" x14ac:dyDescent="0.25">
      <c r="A4" s="3">
        <v>1</v>
      </c>
      <c r="B4" s="3">
        <v>100</v>
      </c>
      <c r="C4" s="22">
        <f>B4/(1+F$3)^A4</f>
        <v>90.090019176791458</v>
      </c>
      <c r="E4" s="3" t="s">
        <v>47</v>
      </c>
      <c r="F4" s="3">
        <v>903.1</v>
      </c>
      <c r="I4" s="3">
        <v>0.01</v>
      </c>
      <c r="J4" s="23">
        <f t="dataTable" ref="J4:J23" dt2D="0" dtr="0" r1="F3"/>
        <v>351.97886520637178</v>
      </c>
    </row>
    <row r="5" spans="1:10" x14ac:dyDescent="0.25">
      <c r="A5" s="3">
        <v>2</v>
      </c>
      <c r="B5" s="3">
        <v>100</v>
      </c>
      <c r="C5" s="22">
        <f t="shared" ref="C5:C7" si="0">B5/(1+F$3)^A5</f>
        <v>81.162115552746528</v>
      </c>
      <c r="E5" s="3" t="s">
        <v>49</v>
      </c>
      <c r="F5" s="22">
        <f>C8-F4</f>
        <v>2.9503507903427817E-7</v>
      </c>
      <c r="I5" s="3">
        <v>0.02</v>
      </c>
      <c r="J5" s="23">
        <v>309.13375329129178</v>
      </c>
    </row>
    <row r="6" spans="1:10" x14ac:dyDescent="0.25">
      <c r="A6" s="3">
        <v>3</v>
      </c>
      <c r="B6" s="3">
        <v>100</v>
      </c>
      <c r="C6" s="22">
        <f t="shared" si="0"/>
        <v>73.118965465759004</v>
      </c>
      <c r="I6" s="3">
        <v>0.03</v>
      </c>
      <c r="J6" s="23">
        <v>268.24818340515719</v>
      </c>
    </row>
    <row r="7" spans="1:10" x14ac:dyDescent="0.25">
      <c r="A7" s="3">
        <v>4</v>
      </c>
      <c r="B7" s="3">
        <v>1000</v>
      </c>
      <c r="C7" s="22">
        <f t="shared" si="0"/>
        <v>658.7289000997381</v>
      </c>
      <c r="I7" s="3">
        <v>0.04</v>
      </c>
      <c r="J7" s="23">
        <v>229.21329435243831</v>
      </c>
    </row>
    <row r="8" spans="1:10" x14ac:dyDescent="0.25">
      <c r="A8" s="3"/>
      <c r="B8" s="3" t="s">
        <v>51</v>
      </c>
      <c r="C8" s="22">
        <f>SUM(C4:C7)</f>
        <v>903.1000002950351</v>
      </c>
      <c r="I8" s="3">
        <v>0.05</v>
      </c>
      <c r="J8" s="23">
        <v>191.92727772892965</v>
      </c>
    </row>
    <row r="9" spans="1:10" x14ac:dyDescent="0.25">
      <c r="I9" s="3">
        <v>0.06</v>
      </c>
      <c r="J9" s="23">
        <v>156.29485818418414</v>
      </c>
    </row>
    <row r="10" spans="1:10" x14ac:dyDescent="0.25">
      <c r="I10" s="3">
        <v>7.0000000000000007E-2</v>
      </c>
      <c r="J10" s="23">
        <v>122.22681648916512</v>
      </c>
    </row>
    <row r="11" spans="1:10" x14ac:dyDescent="0.25">
      <c r="I11" s="3">
        <v>0.08</v>
      </c>
      <c r="J11" s="23">
        <v>89.63955152124106</v>
      </c>
    </row>
    <row r="12" spans="1:10" x14ac:dyDescent="0.25">
      <c r="I12" s="3">
        <v>0.09</v>
      </c>
      <c r="J12" s="23">
        <v>58.454677664013843</v>
      </c>
    </row>
    <row r="13" spans="1:10" x14ac:dyDescent="0.25">
      <c r="I13" s="3">
        <v>0.1</v>
      </c>
      <c r="J13" s="23">
        <v>28.598654463492721</v>
      </c>
    </row>
    <row r="14" spans="1:10" x14ac:dyDescent="0.25">
      <c r="I14" s="3">
        <v>0.11</v>
      </c>
      <c r="J14" s="23">
        <v>2.445689590672373E-3</v>
      </c>
    </row>
    <row r="15" spans="1:10" x14ac:dyDescent="0.25">
      <c r="I15" s="3">
        <v>0.12</v>
      </c>
      <c r="J15" s="23">
        <v>-27.398794773011446</v>
      </c>
    </row>
    <row r="16" spans="1:10" x14ac:dyDescent="0.25">
      <c r="I16" s="3">
        <v>0.13</v>
      </c>
      <c r="J16" s="23">
        <v>-53.666012534235051</v>
      </c>
    </row>
    <row r="17" spans="1:10" x14ac:dyDescent="0.25">
      <c r="I17" s="3">
        <v>0.14000000000000001</v>
      </c>
      <c r="J17" s="23">
        <v>-78.856519916965112</v>
      </c>
    </row>
    <row r="18" spans="1:10" x14ac:dyDescent="0.25">
      <c r="I18" s="3">
        <v>0.15</v>
      </c>
      <c r="J18" s="23">
        <v>-103.02424269495873</v>
      </c>
    </row>
    <row r="19" spans="1:10" x14ac:dyDescent="0.25">
      <c r="B19" s="6"/>
      <c r="I19" s="3">
        <v>0.16</v>
      </c>
      <c r="J19" s="23">
        <v>-126.21994808286934</v>
      </c>
    </row>
    <row r="20" spans="1:10" x14ac:dyDescent="0.25">
      <c r="I20" s="3">
        <v>0.17</v>
      </c>
      <c r="J20" s="23">
        <v>-148.49145555083851</v>
      </c>
    </row>
    <row r="21" spans="1:10" x14ac:dyDescent="0.25">
      <c r="I21" s="3">
        <v>0.18</v>
      </c>
      <c r="J21" s="23">
        <v>-169.88383189210913</v>
      </c>
    </row>
    <row r="22" spans="1:10" x14ac:dyDescent="0.25">
      <c r="I22" s="3">
        <v>0.19</v>
      </c>
      <c r="J22" s="23">
        <v>-190.43957184231192</v>
      </c>
    </row>
    <row r="23" spans="1:10" x14ac:dyDescent="0.25">
      <c r="I23" s="3">
        <v>0.2</v>
      </c>
      <c r="J23" s="23">
        <v>-210.19876543209875</v>
      </c>
    </row>
    <row r="24" spans="1:10" ht="18.75" x14ac:dyDescent="0.3">
      <c r="A24" s="2" t="s">
        <v>84</v>
      </c>
      <c r="J24" s="20"/>
    </row>
    <row r="25" spans="1:10" x14ac:dyDescent="0.25">
      <c r="A25" t="s">
        <v>83</v>
      </c>
      <c r="J25" s="20"/>
    </row>
    <row r="26" spans="1:10" x14ac:dyDescent="0.25">
      <c r="J26" s="20"/>
    </row>
    <row r="28" spans="1:10" ht="18.75" x14ac:dyDescent="0.3">
      <c r="A28" s="2" t="s">
        <v>52</v>
      </c>
    </row>
    <row r="29" spans="1:10" x14ac:dyDescent="0.25">
      <c r="A29" t="s">
        <v>53</v>
      </c>
    </row>
    <row r="31" spans="1:10" x14ac:dyDescent="0.25">
      <c r="A31" s="3" t="s">
        <v>14</v>
      </c>
      <c r="B31" s="3">
        <v>1000</v>
      </c>
      <c r="E31" s="3"/>
      <c r="F31" s="3" t="s">
        <v>58</v>
      </c>
      <c r="G31" s="3" t="s">
        <v>59</v>
      </c>
      <c r="H31" s="3" t="s">
        <v>60</v>
      </c>
    </row>
    <row r="32" spans="1:10" x14ac:dyDescent="0.25">
      <c r="A32" s="3" t="s">
        <v>54</v>
      </c>
      <c r="B32" s="3">
        <v>7.0000000000000007E-2</v>
      </c>
      <c r="E32" s="9" t="s">
        <v>57</v>
      </c>
      <c r="F32" s="22">
        <f>C69</f>
        <v>1000.0000000000017</v>
      </c>
      <c r="G32" s="3"/>
      <c r="H32" s="3"/>
    </row>
    <row r="33" spans="1:8" x14ac:dyDescent="0.25">
      <c r="A33" s="9" t="s">
        <v>56</v>
      </c>
      <c r="B33" s="3">
        <v>7.0000000000000007E-2</v>
      </c>
      <c r="E33" s="3">
        <v>0.01</v>
      </c>
      <c r="F33" s="22">
        <f t="dataTable" ref="F33:F61" dt2D="0" dtr="0" r1="B33"/>
        <v>1833.8216189531172</v>
      </c>
      <c r="G33" s="22">
        <f>$B$31*$B$32 / F33</f>
        <v>3.8171651635321678E-2</v>
      </c>
      <c r="H33" s="22">
        <f>E33-G33</f>
        <v>-2.8171651635321676E-2</v>
      </c>
    </row>
    <row r="34" spans="1:8" x14ac:dyDescent="0.25">
      <c r="A34" s="3" t="s">
        <v>55</v>
      </c>
      <c r="B34" s="3">
        <v>15</v>
      </c>
      <c r="E34" s="3">
        <v>1.4999999999999999E-2</v>
      </c>
      <c r="F34" s="22">
        <v>1736.3147058240854</v>
      </c>
      <c r="G34" s="22">
        <f t="shared" ref="G34:G61" si="1">$B$31*$B$32 / F34</f>
        <v>4.0315272205666643E-2</v>
      </c>
      <c r="H34" s="22">
        <f t="shared" ref="H34:H61" si="2">E34-G34</f>
        <v>-2.5315272205666643E-2</v>
      </c>
    </row>
    <row r="35" spans="1:8" x14ac:dyDescent="0.25">
      <c r="A35" s="3" t="s">
        <v>16</v>
      </c>
      <c r="B35" s="3">
        <v>2</v>
      </c>
      <c r="E35" s="3">
        <v>0.02</v>
      </c>
      <c r="F35" s="22">
        <v>1645.1927055321889</v>
      </c>
      <c r="G35" s="22">
        <f t="shared" si="1"/>
        <v>4.2548207127721442E-2</v>
      </c>
      <c r="H35" s="22">
        <f t="shared" si="2"/>
        <v>-2.2548207127721442E-2</v>
      </c>
    </row>
    <row r="36" spans="1:8" x14ac:dyDescent="0.25">
      <c r="E36" s="3">
        <v>2.5000000000000001E-2</v>
      </c>
      <c r="F36" s="22">
        <v>1560.0003901926498</v>
      </c>
      <c r="G36" s="22">
        <f t="shared" si="1"/>
        <v>4.4871783648307587E-2</v>
      </c>
      <c r="H36" s="22">
        <f t="shared" si="2"/>
        <v>-1.9871783648307585E-2</v>
      </c>
    </row>
    <row r="37" spans="1:8" x14ac:dyDescent="0.25">
      <c r="A37" s="3" t="s">
        <v>42</v>
      </c>
      <c r="B37" s="3" t="s">
        <v>43</v>
      </c>
      <c r="C37" s="3" t="s">
        <v>44</v>
      </c>
      <c r="E37" s="3">
        <v>0.03</v>
      </c>
      <c r="F37" s="22">
        <v>1480.3167601246862</v>
      </c>
      <c r="G37" s="22">
        <f t="shared" si="1"/>
        <v>4.7287176559497941E-2</v>
      </c>
      <c r="H37" s="22">
        <f t="shared" si="2"/>
        <v>-1.7287176559497942E-2</v>
      </c>
    </row>
    <row r="38" spans="1:8" x14ac:dyDescent="0.25">
      <c r="A38" s="22" cm="1">
        <f t="array" ref="A38:A67">_xlfn.SEQUENCE(B34*2, 1, 1, 1)</f>
        <v>1</v>
      </c>
      <c r="B38" s="22">
        <f>$B$31*$B$32/$B$35</f>
        <v>35</v>
      </c>
      <c r="C38" s="22">
        <f>B38/(1+$B$33/$B$35)^A38</f>
        <v>33.816425120772948</v>
      </c>
      <c r="E38" s="3">
        <v>3.5000000000000003E-2</v>
      </c>
      <c r="F38" s="22">
        <v>1405.752363503776</v>
      </c>
      <c r="G38" s="22">
        <f t="shared" si="1"/>
        <v>4.9795399116760564E-2</v>
      </c>
      <c r="H38" s="22">
        <f t="shared" si="2"/>
        <v>-1.479539911676056E-2</v>
      </c>
    </row>
    <row r="39" spans="1:8" x14ac:dyDescent="0.25">
      <c r="A39" s="3">
        <v>2</v>
      </c>
      <c r="B39" s="22">
        <f t="shared" ref="B39:B66" si="3">$B$31*$B$32/$B$35</f>
        <v>35</v>
      </c>
      <c r="C39" s="22">
        <f t="shared" ref="C39:C67" si="4">B39/(1+$B$33/$B$35)^A39</f>
        <v>32.672874512824109</v>
      </c>
      <c r="E39" s="3">
        <v>0.04</v>
      </c>
      <c r="F39" s="22">
        <v>1335.9468332650663</v>
      </c>
      <c r="G39" s="22">
        <f t="shared" si="1"/>
        <v>5.2397294755300521E-2</v>
      </c>
      <c r="H39" s="22">
        <f t="shared" si="2"/>
        <v>-1.239729475530052E-2</v>
      </c>
    </row>
    <row r="40" spans="1:8" x14ac:dyDescent="0.25">
      <c r="A40" s="3">
        <v>3</v>
      </c>
      <c r="B40" s="22">
        <f t="shared" si="3"/>
        <v>35</v>
      </c>
      <c r="C40" s="22">
        <f t="shared" si="4"/>
        <v>31.567994698380783</v>
      </c>
      <c r="E40" s="3">
        <v>4.4999999999999998E-2</v>
      </c>
      <c r="F40" s="22">
        <v>1270.5666230971251</v>
      </c>
      <c r="G40" s="22">
        <f t="shared" si="1"/>
        <v>5.5093529711467193E-2</v>
      </c>
      <c r="H40" s="22">
        <f t="shared" si="2"/>
        <v>-1.0093529711467195E-2</v>
      </c>
    </row>
    <row r="41" spans="1:8" x14ac:dyDescent="0.25">
      <c r="A41" s="3">
        <v>4</v>
      </c>
      <c r="B41" s="22">
        <f t="shared" si="3"/>
        <v>35</v>
      </c>
      <c r="C41" s="22">
        <f t="shared" si="4"/>
        <v>30.500477969450035</v>
      </c>
      <c r="E41" s="3">
        <v>0.05</v>
      </c>
      <c r="F41" s="22">
        <v>1209.3029259276134</v>
      </c>
      <c r="G41" s="22">
        <f t="shared" si="1"/>
        <v>5.7884586648382981E-2</v>
      </c>
      <c r="H41" s="22">
        <f t="shared" si="2"/>
        <v>-7.8845866483829782E-3</v>
      </c>
    </row>
    <row r="42" spans="1:8" x14ac:dyDescent="0.25">
      <c r="A42" s="3">
        <v>5</v>
      </c>
      <c r="B42" s="22">
        <f t="shared" si="3"/>
        <v>35</v>
      </c>
      <c r="C42" s="22">
        <f t="shared" si="4"/>
        <v>29.469060840048346</v>
      </c>
      <c r="E42" s="3">
        <v>5.5E-2</v>
      </c>
      <c r="F42" s="22">
        <v>1151.8697597260239</v>
      </c>
      <c r="G42" s="22">
        <f t="shared" si="1"/>
        <v>6.0770759375304496E-2</v>
      </c>
      <c r="H42" s="22">
        <f t="shared" si="2"/>
        <v>-5.7707593753044961E-3</v>
      </c>
    </row>
    <row r="43" spans="1:8" x14ac:dyDescent="0.25">
      <c r="A43" s="3">
        <v>6</v>
      </c>
      <c r="B43" s="22">
        <f t="shared" si="3"/>
        <v>35</v>
      </c>
      <c r="C43" s="22">
        <f t="shared" si="4"/>
        <v>28.472522550771348</v>
      </c>
      <c r="E43" s="3">
        <v>0.06</v>
      </c>
      <c r="F43" s="22">
        <v>1098.0022067473492</v>
      </c>
      <c r="G43" s="22">
        <f t="shared" si="1"/>
        <v>6.3752148738720191E-2</v>
      </c>
      <c r="H43" s="22">
        <f t="shared" si="2"/>
        <v>-3.7521487387201929E-3</v>
      </c>
    </row>
    <row r="44" spans="1:8" x14ac:dyDescent="0.25">
      <c r="A44" s="3">
        <v>7</v>
      </c>
      <c r="B44" s="22">
        <f t="shared" si="3"/>
        <v>35</v>
      </c>
      <c r="C44" s="22">
        <f t="shared" si="4"/>
        <v>27.509683623933672</v>
      </c>
      <c r="E44" s="3">
        <v>6.5000000000000002E-2</v>
      </c>
      <c r="F44" s="22">
        <v>1047.454793524761</v>
      </c>
      <c r="G44" s="22">
        <f t="shared" si="1"/>
        <v>6.6828659750026012E-2</v>
      </c>
      <c r="H44" s="22">
        <f t="shared" si="2"/>
        <v>-1.8286597500260099E-3</v>
      </c>
    </row>
    <row r="45" spans="1:8" x14ac:dyDescent="0.25">
      <c r="A45" s="3">
        <v>8</v>
      </c>
      <c r="B45" s="22">
        <f t="shared" si="3"/>
        <v>35</v>
      </c>
      <c r="C45" s="22">
        <f t="shared" si="4"/>
        <v>26.579404467568768</v>
      </c>
      <c r="E45" s="3">
        <v>7.0000000000000007E-2</v>
      </c>
      <c r="F45" s="22">
        <v>1000.0000000000017</v>
      </c>
      <c r="G45" s="22">
        <f t="shared" si="1"/>
        <v>6.9999999999999882E-2</v>
      </c>
      <c r="H45" s="22">
        <f t="shared" si="2"/>
        <v>1.2490009027033011E-16</v>
      </c>
    </row>
    <row r="46" spans="1:8" x14ac:dyDescent="0.25">
      <c r="A46" s="3">
        <v>9</v>
      </c>
      <c r="B46" s="22">
        <f t="shared" si="3"/>
        <v>35</v>
      </c>
      <c r="C46" s="22">
        <f t="shared" si="4"/>
        <v>25.680584026636495</v>
      </c>
      <c r="E46" s="3">
        <v>7.4999999999999997E-2</v>
      </c>
      <c r="F46" s="22">
        <v>955.42688716604039</v>
      </c>
      <c r="G46" s="22">
        <f t="shared" si="1"/>
        <v>7.3265679394508121E-2</v>
      </c>
      <c r="H46" s="22">
        <f t="shared" si="2"/>
        <v>1.7343206054918764E-3</v>
      </c>
    </row>
    <row r="47" spans="1:8" x14ac:dyDescent="0.25">
      <c r="A47" s="3">
        <v>10</v>
      </c>
      <c r="B47" s="22">
        <f t="shared" si="3"/>
        <v>35</v>
      </c>
      <c r="C47" s="22">
        <f t="shared" si="4"/>
        <v>24.812158479842026</v>
      </c>
      <c r="E47" s="3">
        <v>0.08</v>
      </c>
      <c r="F47" s="22">
        <v>913.53983349667669</v>
      </c>
      <c r="G47" s="22">
        <f t="shared" si="1"/>
        <v>7.6625011229195239E-2</v>
      </c>
      <c r="H47" s="22">
        <f t="shared" si="2"/>
        <v>3.3749887708047627E-3</v>
      </c>
    </row>
    <row r="48" spans="1:8" x14ac:dyDescent="0.25">
      <c r="A48" s="3">
        <v>11</v>
      </c>
      <c r="B48" s="22">
        <f t="shared" si="3"/>
        <v>35</v>
      </c>
      <c r="C48" s="22">
        <f t="shared" si="4"/>
        <v>23.973099980523696</v>
      </c>
      <c r="E48" s="3">
        <v>8.5000000000000006E-2</v>
      </c>
      <c r="F48" s="22">
        <v>874.1573712592467</v>
      </c>
      <c r="G48" s="22">
        <f t="shared" si="1"/>
        <v>8.0077114603704772E-2</v>
      </c>
      <c r="H48" s="22">
        <f t="shared" si="2"/>
        <v>4.9228853962952346E-3</v>
      </c>
    </row>
    <row r="49" spans="1:8" x14ac:dyDescent="0.25">
      <c r="A49" s="3">
        <v>12</v>
      </c>
      <c r="B49" s="22">
        <f t="shared" si="3"/>
        <v>35</v>
      </c>
      <c r="C49" s="22">
        <f t="shared" si="4"/>
        <v>23.162415440119513</v>
      </c>
      <c r="E49" s="3">
        <v>0.09</v>
      </c>
      <c r="F49" s="22">
        <v>837.11111455711318</v>
      </c>
      <c r="G49" s="22">
        <f t="shared" si="1"/>
        <v>8.3620918158558447E-2</v>
      </c>
      <c r="H49" s="22">
        <f t="shared" si="2"/>
        <v>6.3790818414415501E-3</v>
      </c>
    </row>
    <row r="50" spans="1:8" x14ac:dyDescent="0.25">
      <c r="A50" s="3">
        <v>13</v>
      </c>
      <c r="B50" s="22">
        <f t="shared" si="3"/>
        <v>35</v>
      </c>
      <c r="C50" s="22">
        <f t="shared" si="4"/>
        <v>22.379145352772483</v>
      </c>
      <c r="E50" s="3">
        <v>9.5000000000000001E-2</v>
      </c>
      <c r="F50" s="22">
        <v>802.24477163378197</v>
      </c>
      <c r="G50" s="22">
        <f t="shared" si="1"/>
        <v>8.7255165100601509E-2</v>
      </c>
      <c r="H50" s="22">
        <f t="shared" si="2"/>
        <v>7.7448348993984922E-3</v>
      </c>
    </row>
    <row r="51" spans="1:8" x14ac:dyDescent="0.25">
      <c r="A51" s="3">
        <v>14</v>
      </c>
      <c r="B51" s="22">
        <f t="shared" si="3"/>
        <v>35</v>
      </c>
      <c r="C51" s="22">
        <f t="shared" si="4"/>
        <v>21.622362659683557</v>
      </c>
      <c r="E51" s="3">
        <v>0.1</v>
      </c>
      <c r="F51" s="22">
        <v>769.41323459675755</v>
      </c>
      <c r="G51" s="22">
        <f t="shared" si="1"/>
        <v>9.0978419466213573E-2</v>
      </c>
      <c r="H51" s="22">
        <f t="shared" si="2"/>
        <v>9.021580533786433E-3</v>
      </c>
    </row>
    <row r="52" spans="1:8" x14ac:dyDescent="0.25">
      <c r="A52" s="3">
        <v>15</v>
      </c>
      <c r="B52" s="22">
        <f t="shared" si="3"/>
        <v>35</v>
      </c>
      <c r="C52" s="22">
        <f t="shared" si="4"/>
        <v>20.891171651868174</v>
      </c>
      <c r="E52" s="3">
        <v>0.105</v>
      </c>
      <c r="F52" s="22">
        <v>738.48174029131746</v>
      </c>
      <c r="G52" s="22">
        <f t="shared" si="1"/>
        <v>9.4789073555679643E-2</v>
      </c>
      <c r="H52" s="22">
        <f t="shared" si="2"/>
        <v>1.0210926444320353E-2</v>
      </c>
    </row>
    <row r="53" spans="1:8" x14ac:dyDescent="0.25">
      <c r="A53" s="3">
        <v>16</v>
      </c>
      <c r="B53" s="22">
        <f t="shared" si="3"/>
        <v>35</v>
      </c>
      <c r="C53" s="22">
        <f t="shared" si="4"/>
        <v>20.184706910017564</v>
      </c>
      <c r="E53" s="3">
        <v>0.11</v>
      </c>
      <c r="F53" s="22">
        <v>709.32509657755918</v>
      </c>
      <c r="G53" s="22">
        <f t="shared" si="1"/>
        <v>9.8685356457490075E-2</v>
      </c>
      <c r="H53" s="22">
        <f t="shared" si="2"/>
        <v>1.1314643542509925E-2</v>
      </c>
    </row>
    <row r="54" spans="1:8" x14ac:dyDescent="0.25">
      <c r="A54" s="3">
        <v>17</v>
      </c>
      <c r="B54" s="22">
        <f t="shared" si="3"/>
        <v>35</v>
      </c>
      <c r="C54" s="22">
        <f t="shared" si="4"/>
        <v>19.502132280210205</v>
      </c>
      <c r="E54" s="3">
        <v>0.115</v>
      </c>
      <c r="F54" s="22">
        <v>681.82696874204225</v>
      </c>
      <c r="G54" s="22">
        <f t="shared" si="1"/>
        <v>0.10266534356824968</v>
      </c>
      <c r="H54" s="22">
        <f t="shared" si="2"/>
        <v>1.2334656431750329E-2</v>
      </c>
    </row>
    <row r="55" spans="1:8" x14ac:dyDescent="0.25">
      <c r="A55" s="3">
        <v>18</v>
      </c>
      <c r="B55" s="22">
        <f t="shared" si="3"/>
        <v>35</v>
      </c>
      <c r="C55" s="22">
        <f t="shared" si="4"/>
        <v>18.842639884261072</v>
      </c>
      <c r="E55" s="3">
        <v>0.12</v>
      </c>
      <c r="F55" s="22">
        <v>655.8792212127637</v>
      </c>
      <c r="G55" s="22">
        <f t="shared" si="1"/>
        <v>0.10672696700249995</v>
      </c>
      <c r="H55" s="22">
        <f t="shared" si="2"/>
        <v>1.3273032997500045E-2</v>
      </c>
    </row>
    <row r="56" spans="1:8" x14ac:dyDescent="0.25">
      <c r="A56" s="3">
        <v>19</v>
      </c>
      <c r="B56" s="22">
        <f t="shared" si="3"/>
        <v>35</v>
      </c>
      <c r="C56" s="22">
        <f t="shared" si="4"/>
        <v>18.205449163537267</v>
      </c>
      <c r="E56" s="3">
        <v>0.125</v>
      </c>
      <c r="F56" s="22">
        <v>631.38131014604369</v>
      </c>
      <c r="G56" s="22">
        <f t="shared" si="1"/>
        <v>0.110868026777366</v>
      </c>
      <c r="H56" s="22">
        <f t="shared" si="2"/>
        <v>1.4131973222634001E-2</v>
      </c>
    </row>
    <row r="57" spans="1:8" x14ac:dyDescent="0.25">
      <c r="A57" s="3">
        <v>20</v>
      </c>
      <c r="B57" s="22">
        <f t="shared" si="3"/>
        <v>35</v>
      </c>
      <c r="C57" s="22">
        <f t="shared" si="4"/>
        <v>17.589805955108474</v>
      </c>
      <c r="E57" s="3">
        <v>0.13</v>
      </c>
      <c r="F57" s="22">
        <v>608.23972281991416</v>
      </c>
      <c r="G57" s="22">
        <f t="shared" si="1"/>
        <v>0.1150862026496178</v>
      </c>
      <c r="H57" s="22">
        <f t="shared" si="2"/>
        <v>1.4913797350382202E-2</v>
      </c>
    </row>
    <row r="58" spans="1:8" x14ac:dyDescent="0.25">
      <c r="A58" s="3">
        <v>21</v>
      </c>
      <c r="B58" s="22">
        <f t="shared" si="3"/>
        <v>35</v>
      </c>
      <c r="C58" s="22">
        <f t="shared" si="4"/>
        <v>16.994981599138622</v>
      </c>
      <c r="E58" s="3">
        <v>0.13500000000000001</v>
      </c>
      <c r="F58" s="22">
        <v>586.36746010335878</v>
      </c>
      <c r="G58" s="22">
        <f t="shared" si="1"/>
        <v>0.11937906647763354</v>
      </c>
      <c r="H58" s="22">
        <f t="shared" si="2"/>
        <v>1.5620933522366473E-2</v>
      </c>
    </row>
    <row r="59" spans="1:8" x14ac:dyDescent="0.25">
      <c r="A59" s="3">
        <v>22</v>
      </c>
      <c r="B59" s="22">
        <f t="shared" si="3"/>
        <v>35</v>
      </c>
      <c r="C59" s="22">
        <f t="shared" si="4"/>
        <v>16.420272076462439</v>
      </c>
      <c r="E59" s="3">
        <v>0.14000000000000001</v>
      </c>
      <c r="F59" s="22">
        <v>565.68355857729478</v>
      </c>
      <c r="G59" s="22">
        <f t="shared" si="1"/>
        <v>0.12374409497785541</v>
      </c>
      <c r="H59" s="22">
        <f t="shared" si="2"/>
        <v>1.6255905022144607E-2</v>
      </c>
    </row>
    <row r="60" spans="1:8" x14ac:dyDescent="0.25">
      <c r="A60" s="3">
        <v>23</v>
      </c>
      <c r="B60" s="22">
        <f t="shared" si="3"/>
        <v>35</v>
      </c>
      <c r="C60" s="22">
        <f t="shared" si="4"/>
        <v>15.864997175326026</v>
      </c>
      <c r="E60" s="3">
        <v>0.14499999999999999</v>
      </c>
      <c r="F60" s="22">
        <v>546.11264916376149</v>
      </c>
      <c r="G60" s="22">
        <f t="shared" si="1"/>
        <v>0.12817868274464608</v>
      </c>
      <c r="H60" s="22">
        <f t="shared" si="2"/>
        <v>1.6821317255353907E-2</v>
      </c>
    </row>
    <row r="61" spans="1:8" x14ac:dyDescent="0.25">
      <c r="A61" s="3">
        <v>24</v>
      </c>
      <c r="B61" s="22">
        <f t="shared" si="3"/>
        <v>35</v>
      </c>
      <c r="C61" s="22">
        <f t="shared" si="4"/>
        <v>15.328499686305344</v>
      </c>
      <c r="E61" s="3">
        <v>0.15</v>
      </c>
      <c r="F61" s="22">
        <v>527.58454937671468</v>
      </c>
      <c r="G61" s="22">
        <f t="shared" si="1"/>
        <v>0.13268015540390179</v>
      </c>
      <c r="H61" s="22">
        <f t="shared" si="2"/>
        <v>1.7319844596098199E-2</v>
      </c>
    </row>
    <row r="62" spans="1:8" x14ac:dyDescent="0.25">
      <c r="A62" s="3">
        <v>25</v>
      </c>
      <c r="B62" s="22">
        <f t="shared" si="3"/>
        <v>35</v>
      </c>
      <c r="C62" s="22">
        <f t="shared" si="4"/>
        <v>14.81014462444961</v>
      </c>
    </row>
    <row r="63" spans="1:8" x14ac:dyDescent="0.25">
      <c r="A63" s="3">
        <v>26</v>
      </c>
      <c r="B63" s="22">
        <f t="shared" si="3"/>
        <v>35</v>
      </c>
      <c r="C63" s="22">
        <f t="shared" si="4"/>
        <v>14.309318477729091</v>
      </c>
    </row>
    <row r="64" spans="1:8" x14ac:dyDescent="0.25">
      <c r="A64" s="3">
        <v>27</v>
      </c>
      <c r="B64" s="22">
        <f t="shared" si="3"/>
        <v>35</v>
      </c>
      <c r="C64" s="22">
        <f t="shared" si="4"/>
        <v>13.825428480897672</v>
      </c>
    </row>
    <row r="65" spans="1:3" x14ac:dyDescent="0.25">
      <c r="A65" s="3">
        <v>28</v>
      </c>
      <c r="B65" s="22">
        <f t="shared" si="3"/>
        <v>35</v>
      </c>
      <c r="C65" s="22">
        <f t="shared" si="4"/>
        <v>13.357901913910794</v>
      </c>
    </row>
    <row r="66" spans="1:3" x14ac:dyDescent="0.25">
      <c r="A66" s="3">
        <v>29</v>
      </c>
      <c r="B66" s="22">
        <f t="shared" si="3"/>
        <v>35</v>
      </c>
      <c r="C66" s="22">
        <f t="shared" si="4"/>
        <v>12.906185424068404</v>
      </c>
    </row>
    <row r="67" spans="1:3" x14ac:dyDescent="0.25">
      <c r="A67" s="3">
        <v>30</v>
      </c>
      <c r="B67" s="22">
        <f>$B$31*$B$32/$B$35 + B31</f>
        <v>1035</v>
      </c>
      <c r="C67" s="22">
        <f t="shared" si="4"/>
        <v>368.74815497338295</v>
      </c>
    </row>
    <row r="68" spans="1:3" x14ac:dyDescent="0.25">
      <c r="A68" s="3"/>
      <c r="B68" s="3"/>
      <c r="C68" s="3"/>
    </row>
    <row r="69" spans="1:3" x14ac:dyDescent="0.25">
      <c r="A69" s="3"/>
      <c r="B69" s="3" t="s">
        <v>9</v>
      </c>
      <c r="C69" s="22">
        <f>SUM(C38:C67)</f>
        <v>1000.0000000000017</v>
      </c>
    </row>
    <row r="71" spans="1:3" ht="18.75" x14ac:dyDescent="0.3">
      <c r="A71" s="2" t="s">
        <v>61</v>
      </c>
    </row>
    <row r="72" spans="1:3" x14ac:dyDescent="0.25">
      <c r="A72" t="s">
        <v>83</v>
      </c>
    </row>
    <row r="74" spans="1:3" ht="18.75" x14ac:dyDescent="0.3">
      <c r="A74" s="2" t="s">
        <v>85</v>
      </c>
    </row>
    <row r="75" spans="1:3" x14ac:dyDescent="0.25">
      <c r="A75" t="s">
        <v>83</v>
      </c>
    </row>
    <row r="77" spans="1:3" ht="18.75" x14ac:dyDescent="0.3">
      <c r="A77" s="2" t="s">
        <v>63</v>
      </c>
    </row>
    <row r="78" spans="1:3" ht="18.75" x14ac:dyDescent="0.3">
      <c r="A78" s="2"/>
    </row>
    <row r="79" spans="1:3" x14ac:dyDescent="0.25">
      <c r="A79" s="3" t="s">
        <v>69</v>
      </c>
      <c r="B79" s="18">
        <v>44927</v>
      </c>
    </row>
    <row r="80" spans="1:3" x14ac:dyDescent="0.25">
      <c r="A80" s="3" t="s">
        <v>16</v>
      </c>
      <c r="B80" s="3">
        <v>2</v>
      </c>
    </row>
    <row r="81" spans="1:8" x14ac:dyDescent="0.25">
      <c r="A81" s="3" t="s">
        <v>70</v>
      </c>
      <c r="B81" s="3"/>
    </row>
    <row r="82" spans="1:8" x14ac:dyDescent="0.25">
      <c r="A82" s="3" t="s">
        <v>71</v>
      </c>
      <c r="B82" s="22">
        <f>SUM(F86:F88)</f>
        <v>57259</v>
      </c>
    </row>
    <row r="83" spans="1:8" x14ac:dyDescent="0.25">
      <c r="A83" s="19" t="s">
        <v>72</v>
      </c>
      <c r="B83" s="21">
        <v>9.5393232687443694E-2</v>
      </c>
    </row>
    <row r="85" spans="1:8" x14ac:dyDescent="0.25">
      <c r="A85" s="4" t="s">
        <v>64</v>
      </c>
      <c r="B85" s="4" t="s">
        <v>54</v>
      </c>
      <c r="C85" s="4" t="s">
        <v>55</v>
      </c>
      <c r="D85" s="4" t="s">
        <v>14</v>
      </c>
      <c r="E85" s="4" t="s">
        <v>75</v>
      </c>
      <c r="F85" s="4" t="s">
        <v>46</v>
      </c>
      <c r="G85" s="4" t="s">
        <v>65</v>
      </c>
      <c r="H85" s="4" t="s">
        <v>66</v>
      </c>
    </row>
    <row r="86" spans="1:8" x14ac:dyDescent="0.25">
      <c r="A86" s="3" t="s">
        <v>67</v>
      </c>
      <c r="B86" s="3">
        <v>7.0000000000000007E-2</v>
      </c>
      <c r="C86" s="3">
        <v>5</v>
      </c>
      <c r="D86" s="3">
        <v>10000</v>
      </c>
      <c r="E86" s="22">
        <f>D86/SUM($D$86:$D$88)</f>
        <v>0.16666666666666666</v>
      </c>
      <c r="F86" s="3">
        <v>9209</v>
      </c>
      <c r="G86" s="22">
        <f>100*F86/D86</f>
        <v>92.09</v>
      </c>
      <c r="H86" s="22">
        <f>YIELD($B$79, EDATE($B$79, 12*C86), B86, G86, 100, $B$80)</f>
        <v>8.9992774458843572E-2</v>
      </c>
    </row>
    <row r="87" spans="1:8" x14ac:dyDescent="0.25">
      <c r="A87" s="3" t="s">
        <v>68</v>
      </c>
      <c r="B87" s="3">
        <v>0.105</v>
      </c>
      <c r="C87" s="3">
        <v>7</v>
      </c>
      <c r="D87" s="3">
        <v>20000</v>
      </c>
      <c r="E87" s="22">
        <f t="shared" ref="E87:E88" si="5">D87/SUM($D$86:$D$88)</f>
        <v>0.33333333333333331</v>
      </c>
      <c r="F87" s="3">
        <v>20000</v>
      </c>
      <c r="G87" s="22">
        <f>100*F87/D87</f>
        <v>100</v>
      </c>
      <c r="H87" s="22">
        <f>YIELD($B$79, EDATE($B$79, 12*C87), B87, G87, 100, $B$80)</f>
        <v>0.105</v>
      </c>
    </row>
    <row r="88" spans="1:8" x14ac:dyDescent="0.25">
      <c r="A88" s="3" t="s">
        <v>8</v>
      </c>
      <c r="B88" s="3">
        <v>0.06</v>
      </c>
      <c r="C88" s="3">
        <v>3</v>
      </c>
      <c r="D88" s="3">
        <v>30000</v>
      </c>
      <c r="E88" s="22">
        <f t="shared" si="5"/>
        <v>0.5</v>
      </c>
      <c r="F88" s="3">
        <v>28050</v>
      </c>
      <c r="G88" s="22">
        <f>100*F88/D88</f>
        <v>93.5</v>
      </c>
      <c r="H88" s="22">
        <f>YIELD($B$79, EDATE($B$79, 12*C88), B88, G88, 100, $B$80)</f>
        <v>8.5001302866310982E-2</v>
      </c>
    </row>
    <row r="90" spans="1:8" x14ac:dyDescent="0.25">
      <c r="G90" s="4" t="s">
        <v>73</v>
      </c>
      <c r="H90" s="22">
        <f>AVERAGE(H86:H88)</f>
        <v>9.3331359108384845E-2</v>
      </c>
    </row>
    <row r="91" spans="1:8" x14ac:dyDescent="0.25">
      <c r="A91" s="17"/>
      <c r="G91" s="4" t="s">
        <v>74</v>
      </c>
      <c r="H91" s="22">
        <f>E86*H86+E87*H87+E88*H88</f>
        <v>9.2499447176296073E-2</v>
      </c>
    </row>
    <row r="92" spans="1:8" x14ac:dyDescent="0.25">
      <c r="A92" s="17"/>
    </row>
    <row r="93" spans="1:8" x14ac:dyDescent="0.25">
      <c r="A93" s="4" t="s">
        <v>62</v>
      </c>
      <c r="B93" s="4" t="s">
        <v>76</v>
      </c>
      <c r="C93" s="4" t="s">
        <v>77</v>
      </c>
      <c r="D93" s="4" t="s">
        <v>78</v>
      </c>
      <c r="E93" s="4" t="s">
        <v>79</v>
      </c>
      <c r="F93" s="4" t="s">
        <v>80</v>
      </c>
    </row>
    <row r="94" spans="1:8" x14ac:dyDescent="0.25">
      <c r="A94" s="3">
        <v>1</v>
      </c>
      <c r="B94" s="22">
        <f>$D$86*$B$86/$B$80</f>
        <v>350.00000000000006</v>
      </c>
      <c r="C94" s="22">
        <f>$D$87*$B$87/$B$80</f>
        <v>1050</v>
      </c>
      <c r="D94" s="22">
        <f>$D$88*$B$88/$B$80</f>
        <v>900</v>
      </c>
      <c r="E94" s="22">
        <f>SUM(B94:D94)</f>
        <v>2300</v>
      </c>
      <c r="F94" s="22">
        <f>E94/(1+$B$83/$B$80)^A94</f>
        <v>2195.2919997265985</v>
      </c>
    </row>
    <row r="95" spans="1:8" x14ac:dyDescent="0.25">
      <c r="A95" s="3">
        <v>2</v>
      </c>
      <c r="B95" s="22">
        <f t="shared" ref="B95:B102" si="6">$D$86*$B$86/$B$80</f>
        <v>350.00000000000006</v>
      </c>
      <c r="C95" s="22">
        <f t="shared" ref="C95:C106" si="7">$D$87*$B$87/$B$80</f>
        <v>1050</v>
      </c>
      <c r="D95" s="22">
        <f t="shared" ref="D95:D98" si="8">$D$88*$B$88/$B$80</f>
        <v>900</v>
      </c>
      <c r="E95" s="22">
        <f t="shared" ref="E95:E107" si="9">SUM(B95:D95)</f>
        <v>2300</v>
      </c>
      <c r="F95" s="22">
        <f t="shared" ref="F95:F107" si="10">E95/(1+$B$83/$B$80)^A95</f>
        <v>2095.3508539406994</v>
      </c>
    </row>
    <row r="96" spans="1:8" x14ac:dyDescent="0.25">
      <c r="A96" s="3">
        <v>3</v>
      </c>
      <c r="B96" s="22">
        <f t="shared" si="6"/>
        <v>350.00000000000006</v>
      </c>
      <c r="C96" s="22">
        <f t="shared" si="7"/>
        <v>1050</v>
      </c>
      <c r="D96" s="22">
        <f t="shared" si="8"/>
        <v>900</v>
      </c>
      <c r="E96" s="22">
        <f t="shared" si="9"/>
        <v>2300</v>
      </c>
      <c r="F96" s="22">
        <f t="shared" si="10"/>
        <v>1999.9595505549189</v>
      </c>
    </row>
    <row r="97" spans="1:6" x14ac:dyDescent="0.25">
      <c r="A97" s="3">
        <v>4</v>
      </c>
      <c r="B97" s="22">
        <f t="shared" si="6"/>
        <v>350.00000000000006</v>
      </c>
      <c r="C97" s="22">
        <f t="shared" si="7"/>
        <v>1050</v>
      </c>
      <c r="D97" s="22">
        <f t="shared" si="8"/>
        <v>900</v>
      </c>
      <c r="E97" s="22">
        <f t="shared" si="9"/>
        <v>2300</v>
      </c>
      <c r="F97" s="22">
        <f t="shared" si="10"/>
        <v>1908.9109570043559</v>
      </c>
    </row>
    <row r="98" spans="1:6" x14ac:dyDescent="0.25">
      <c r="A98" s="3">
        <v>5</v>
      </c>
      <c r="B98" s="22">
        <f t="shared" si="6"/>
        <v>350.00000000000006</v>
      </c>
      <c r="C98" s="22">
        <f t="shared" si="7"/>
        <v>1050</v>
      </c>
      <c r="D98" s="22">
        <f t="shared" si="8"/>
        <v>900</v>
      </c>
      <c r="E98" s="22">
        <f t="shared" si="9"/>
        <v>2300</v>
      </c>
      <c r="F98" s="22">
        <f t="shared" si="10"/>
        <v>1822.0073704791771</v>
      </c>
    </row>
    <row r="99" spans="1:6" x14ac:dyDescent="0.25">
      <c r="A99" s="3">
        <v>6</v>
      </c>
      <c r="B99" s="22">
        <f t="shared" si="6"/>
        <v>350.00000000000006</v>
      </c>
      <c r="C99" s="22">
        <f t="shared" si="7"/>
        <v>1050</v>
      </c>
      <c r="D99" s="22">
        <f>$D$88*$B$88/$B$80 +$D$88</f>
        <v>30900</v>
      </c>
      <c r="E99" s="22">
        <f t="shared" si="9"/>
        <v>32300</v>
      </c>
      <c r="F99" s="22">
        <f t="shared" si="10"/>
        <v>24422.452549063033</v>
      </c>
    </row>
    <row r="100" spans="1:6" x14ac:dyDescent="0.25">
      <c r="A100" s="3">
        <v>7</v>
      </c>
      <c r="B100" s="22">
        <f t="shared" si="6"/>
        <v>350.00000000000006</v>
      </c>
      <c r="C100" s="22">
        <f t="shared" si="7"/>
        <v>1050</v>
      </c>
      <c r="D100" s="3"/>
      <c r="E100" s="22">
        <f t="shared" si="9"/>
        <v>1400</v>
      </c>
      <c r="F100" s="22">
        <f t="shared" si="10"/>
        <v>1010.3672172906821</v>
      </c>
    </row>
    <row r="101" spans="1:6" x14ac:dyDescent="0.25">
      <c r="A101" s="3">
        <v>8</v>
      </c>
      <c r="B101" s="22">
        <f t="shared" si="6"/>
        <v>350.00000000000006</v>
      </c>
      <c r="C101" s="22">
        <f t="shared" si="7"/>
        <v>1050</v>
      </c>
      <c r="D101" s="3"/>
      <c r="E101" s="22">
        <f t="shared" si="9"/>
        <v>1400</v>
      </c>
      <c r="F101" s="22">
        <f t="shared" si="10"/>
        <v>964.37002995837429</v>
      </c>
    </row>
    <row r="102" spans="1:6" x14ac:dyDescent="0.25">
      <c r="A102" s="3">
        <v>9</v>
      </c>
      <c r="B102" s="22">
        <f t="shared" si="6"/>
        <v>350.00000000000006</v>
      </c>
      <c r="C102" s="22">
        <f t="shared" si="7"/>
        <v>1050</v>
      </c>
      <c r="D102" s="3"/>
      <c r="E102" s="22">
        <f t="shared" si="9"/>
        <v>1400</v>
      </c>
      <c r="F102" s="22">
        <f t="shared" si="10"/>
        <v>920.46687458422582</v>
      </c>
    </row>
    <row r="103" spans="1:6" x14ac:dyDescent="0.25">
      <c r="A103" s="3">
        <v>10</v>
      </c>
      <c r="B103" s="22">
        <f>$D$86*$B$86/$B$80 +$D$86</f>
        <v>10350</v>
      </c>
      <c r="C103" s="22">
        <f t="shared" si="7"/>
        <v>1050</v>
      </c>
      <c r="D103" s="3"/>
      <c r="E103" s="22">
        <f t="shared" si="9"/>
        <v>11400</v>
      </c>
      <c r="F103" s="22">
        <f t="shared" si="10"/>
        <v>7154.0082763926421</v>
      </c>
    </row>
    <row r="104" spans="1:6" x14ac:dyDescent="0.25">
      <c r="A104" s="3">
        <v>11</v>
      </c>
      <c r="B104" s="3"/>
      <c r="C104" s="22">
        <f t="shared" si="7"/>
        <v>1050</v>
      </c>
      <c r="D104" s="3"/>
      <c r="E104" s="22">
        <f t="shared" si="9"/>
        <v>1050</v>
      </c>
      <c r="F104" s="22">
        <f t="shared" si="10"/>
        <v>628.92425598397301</v>
      </c>
    </row>
    <row r="105" spans="1:6" x14ac:dyDescent="0.25">
      <c r="A105" s="3">
        <v>12</v>
      </c>
      <c r="B105" s="3"/>
      <c r="C105" s="22">
        <f t="shared" si="7"/>
        <v>1050</v>
      </c>
      <c r="D105" s="3"/>
      <c r="E105" s="22">
        <f t="shared" si="9"/>
        <v>1050</v>
      </c>
      <c r="F105" s="22">
        <f t="shared" si="10"/>
        <v>600.29234243287806</v>
      </c>
    </row>
    <row r="106" spans="1:6" x14ac:dyDescent="0.25">
      <c r="A106" s="3">
        <v>13</v>
      </c>
      <c r="B106" s="3"/>
      <c r="C106" s="22">
        <f t="shared" si="7"/>
        <v>1050</v>
      </c>
      <c r="D106" s="3"/>
      <c r="E106" s="22">
        <f t="shared" si="9"/>
        <v>1050</v>
      </c>
      <c r="F106" s="22">
        <f t="shared" si="10"/>
        <v>572.96390297392918</v>
      </c>
    </row>
    <row r="107" spans="1:6" x14ac:dyDescent="0.25">
      <c r="A107" s="3">
        <v>14</v>
      </c>
      <c r="B107" s="3"/>
      <c r="C107" s="22">
        <f>$D$87*$B$87/$B$80 +$D$87</f>
        <v>21050</v>
      </c>
      <c r="D107" s="3"/>
      <c r="E107" s="22">
        <f t="shared" si="9"/>
        <v>21050</v>
      </c>
      <c r="F107" s="22">
        <f t="shared" si="10"/>
        <v>10963.633818866752</v>
      </c>
    </row>
    <row r="109" spans="1:6" x14ac:dyDescent="0.25">
      <c r="E109" s="4" t="s">
        <v>9</v>
      </c>
      <c r="F109" s="22">
        <f>SUM(F94:F107)</f>
        <v>57258.999999252228</v>
      </c>
    </row>
    <row r="110" spans="1:6" x14ac:dyDescent="0.25">
      <c r="E110" s="4" t="s">
        <v>81</v>
      </c>
      <c r="F110" s="22">
        <f>B82-F109</f>
        <v>7.4777199188247323E-7</v>
      </c>
    </row>
    <row r="113" spans="1:8" ht="18.75" x14ac:dyDescent="0.3">
      <c r="A113" s="2" t="s">
        <v>82</v>
      </c>
    </row>
    <row r="114" spans="1:8" x14ac:dyDescent="0.25">
      <c r="A114" t="s">
        <v>83</v>
      </c>
    </row>
    <row r="116" spans="1:8" ht="18.75" x14ac:dyDescent="0.3">
      <c r="A116" s="2" t="s">
        <v>86</v>
      </c>
    </row>
    <row r="118" spans="1:8" x14ac:dyDescent="0.25">
      <c r="A118" s="3" t="s">
        <v>14</v>
      </c>
      <c r="B118" s="3">
        <v>1000</v>
      </c>
    </row>
    <row r="119" spans="1:8" x14ac:dyDescent="0.25">
      <c r="A119" s="3" t="s">
        <v>15</v>
      </c>
      <c r="B119" s="3">
        <v>15</v>
      </c>
    </row>
    <row r="120" spans="1:8" x14ac:dyDescent="0.25">
      <c r="A120" s="3" t="s">
        <v>17</v>
      </c>
      <c r="B120" s="3">
        <v>7.0000000000000007E-2</v>
      </c>
    </row>
    <row r="121" spans="1:8" x14ac:dyDescent="0.25">
      <c r="A121" s="3" t="s">
        <v>46</v>
      </c>
      <c r="B121" s="3">
        <v>769.4</v>
      </c>
    </row>
    <row r="122" spans="1:8" x14ac:dyDescent="0.25">
      <c r="A122" s="3" t="s">
        <v>16</v>
      </c>
      <c r="B122" s="3">
        <v>2</v>
      </c>
    </row>
    <row r="123" spans="1:8" x14ac:dyDescent="0.25">
      <c r="A123" s="3" t="s">
        <v>72</v>
      </c>
      <c r="B123" s="21">
        <v>0.10000207709700132</v>
      </c>
    </row>
    <row r="124" spans="1:8" x14ac:dyDescent="0.25">
      <c r="A124" s="11" t="s">
        <v>87</v>
      </c>
      <c r="B124" s="3">
        <v>0.08</v>
      </c>
    </row>
    <row r="125" spans="1:8" x14ac:dyDescent="0.25">
      <c r="A125" s="11" t="s">
        <v>88</v>
      </c>
      <c r="B125" s="3">
        <v>2</v>
      </c>
    </row>
    <row r="127" spans="1:8" x14ac:dyDescent="0.25">
      <c r="A127" s="4" t="s">
        <v>42</v>
      </c>
      <c r="B127" s="4" t="s">
        <v>17</v>
      </c>
      <c r="C127" s="4" t="s">
        <v>89</v>
      </c>
      <c r="D127" s="4" t="s">
        <v>4</v>
      </c>
      <c r="F127" s="4" t="s">
        <v>92</v>
      </c>
      <c r="G127" s="4" t="s">
        <v>93</v>
      </c>
      <c r="H127" s="4" t="s">
        <v>94</v>
      </c>
    </row>
    <row r="128" spans="1:8" x14ac:dyDescent="0.25">
      <c r="A128" s="22" cm="1">
        <f t="array" ref="A128:A157">_xlfn.SEQUENCE($B$119*$B$122, 1, 1)</f>
        <v>1</v>
      </c>
      <c r="B128" s="22">
        <f>$B$118*$B$120/$B$122</f>
        <v>35</v>
      </c>
      <c r="C128" s="22">
        <f>B128*(1+$B$124/$B$125)^($A$157-A128)</f>
        <v>109.15280081823461</v>
      </c>
      <c r="D128" s="22">
        <f>B128/(1+$B$123/$B$122)^A128</f>
        <v>33.333300363572278</v>
      </c>
      <c r="F128" s="22">
        <f>$B$118+B128</f>
        <v>1035</v>
      </c>
      <c r="G128" s="22">
        <f>F128-$B$118-B128*A128</f>
        <v>0</v>
      </c>
      <c r="H128" s="22">
        <f>G128/F128</f>
        <v>0</v>
      </c>
    </row>
    <row r="129" spans="1:8" x14ac:dyDescent="0.25">
      <c r="A129" s="3">
        <v>2</v>
      </c>
      <c r="B129" s="22">
        <f t="shared" ref="B129:B157" si="11">$B$118*$B$120/$B$122</f>
        <v>35</v>
      </c>
      <c r="C129" s="22">
        <f t="shared" ref="C129:C157" si="12">B129*(1+$B$124/$B$125)^($A$157-A129)</f>
        <v>104.95461617137943</v>
      </c>
      <c r="D129" s="22">
        <f t="shared" ref="D129:D156" si="13">B129/(1+$B$123/$B$122)^A129</f>
        <v>31.745968946517927</v>
      </c>
      <c r="F129" s="22">
        <f>(F128-$B$118)*(1+$B$123/$B$122) + B129 + $B$118</f>
        <v>1071.7500363491974</v>
      </c>
      <c r="G129" s="22">
        <f t="shared" ref="G129:G157" si="14">F129-$B$118-B129*A129</f>
        <v>1.750036349197444</v>
      </c>
      <c r="H129" s="22">
        <f t="shared" ref="H129:H157" si="15">G129/F129</f>
        <v>1.63287734065189E-3</v>
      </c>
    </row>
    <row r="130" spans="1:8" x14ac:dyDescent="0.25">
      <c r="A130" s="3">
        <v>3</v>
      </c>
      <c r="B130" s="22">
        <f t="shared" si="11"/>
        <v>35</v>
      </c>
      <c r="C130" s="22">
        <f t="shared" si="12"/>
        <v>100.91790016478789</v>
      </c>
      <c r="D130" s="22">
        <f t="shared" si="13"/>
        <v>30.234226235054862</v>
      </c>
      <c r="F130" s="22">
        <f t="shared" ref="F130:F157" si="16">(F129-$B$118)*(1+$B$123/$B$122) + B130 + $B$118</f>
        <v>1110.3376126825499</v>
      </c>
      <c r="G130" s="22">
        <f t="shared" si="14"/>
        <v>5.3376126825498886</v>
      </c>
      <c r="H130" s="22">
        <f t="shared" si="15"/>
        <v>4.8071979383408799E-3</v>
      </c>
    </row>
    <row r="131" spans="1:8" x14ac:dyDescent="0.25">
      <c r="A131" s="3">
        <v>4</v>
      </c>
      <c r="B131" s="22">
        <f t="shared" si="11"/>
        <v>35</v>
      </c>
      <c r="C131" s="22">
        <f t="shared" si="12"/>
        <v>97.036442466142205</v>
      </c>
      <c r="D131" s="22">
        <f t="shared" si="13"/>
        <v>28.794472695808018</v>
      </c>
      <c r="F131" s="22">
        <f t="shared" si="16"/>
        <v>1150.8546079076395</v>
      </c>
      <c r="G131" s="22">
        <f t="shared" si="14"/>
        <v>10.854607907639547</v>
      </c>
      <c r="H131" s="22">
        <f t="shared" si="15"/>
        <v>9.4317803769967366E-3</v>
      </c>
    </row>
    <row r="132" spans="1:8" x14ac:dyDescent="0.25">
      <c r="A132" s="3">
        <v>5</v>
      </c>
      <c r="B132" s="22">
        <f t="shared" si="11"/>
        <v>35</v>
      </c>
      <c r="C132" s="22">
        <f t="shared" si="12"/>
        <v>93.304271602059814</v>
      </c>
      <c r="D132" s="22">
        <f t="shared" si="13"/>
        <v>27.423280205144266</v>
      </c>
      <c r="F132" s="22">
        <f t="shared" si="16"/>
        <v>1193.3974949728483</v>
      </c>
      <c r="G132" s="22">
        <f t="shared" si="14"/>
        <v>18.397494972848335</v>
      </c>
      <c r="H132" s="22">
        <f t="shared" si="15"/>
        <v>1.5416066357058096E-2</v>
      </c>
    </row>
    <row r="133" spans="1:8" x14ac:dyDescent="0.25">
      <c r="A133" s="3">
        <v>6</v>
      </c>
      <c r="B133" s="22">
        <f t="shared" si="11"/>
        <v>35</v>
      </c>
      <c r="C133" s="22">
        <f t="shared" si="12"/>
        <v>89.715645771211342</v>
      </c>
      <c r="D133" s="22">
        <f t="shared" si="13"/>
        <v>26.117383886642276</v>
      </c>
      <c r="F133" s="22">
        <f t="shared" si="16"/>
        <v>1238.0675705741692</v>
      </c>
      <c r="G133" s="22">
        <f t="shared" si="14"/>
        <v>28.067570574169167</v>
      </c>
      <c r="H133" s="22">
        <f t="shared" si="15"/>
        <v>2.2670467461765827E-2</v>
      </c>
    </row>
    <row r="134" spans="1:8" x14ac:dyDescent="0.25">
      <c r="A134" s="3">
        <v>7</v>
      </c>
      <c r="B134" s="22">
        <f t="shared" si="11"/>
        <v>35</v>
      </c>
      <c r="C134" s="22">
        <f t="shared" si="12"/>
        <v>86.26504401078013</v>
      </c>
      <c r="D134" s="22">
        <f t="shared" si="13"/>
        <v>24.873674337261992</v>
      </c>
      <c r="F134" s="22">
        <f t="shared" si="16"/>
        <v>1284.9711963475961</v>
      </c>
      <c r="G134" s="22">
        <f t="shared" si="14"/>
        <v>39.971196347596106</v>
      </c>
      <c r="H134" s="22">
        <f t="shared" si="15"/>
        <v>3.1106686641078251E-2</v>
      </c>
    </row>
    <row r="135" spans="1:8" x14ac:dyDescent="0.25">
      <c r="A135" s="3">
        <v>8</v>
      </c>
      <c r="B135" s="22">
        <f t="shared" si="11"/>
        <v>35</v>
      </c>
      <c r="C135" s="22">
        <f t="shared" si="12"/>
        <v>82.947157702673209</v>
      </c>
      <c r="D135" s="22">
        <f t="shared" si="13"/>
        <v>23.689190223703815</v>
      </c>
      <c r="F135" s="22">
        <f t="shared" si="16"/>
        <v>1334.2200521213845</v>
      </c>
      <c r="G135" s="22">
        <f t="shared" si="14"/>
        <v>54.22005212138447</v>
      </c>
      <c r="H135" s="22">
        <f t="shared" si="15"/>
        <v>4.0638013223662485E-2</v>
      </c>
    </row>
    <row r="136" spans="1:8" x14ac:dyDescent="0.25">
      <c r="A136" s="3">
        <v>9</v>
      </c>
      <c r="B136" s="22">
        <f t="shared" si="11"/>
        <v>35</v>
      </c>
      <c r="C136" s="22">
        <f t="shared" si="12"/>
        <v>79.756882406416551</v>
      </c>
      <c r="D136" s="22">
        <f t="shared" si="13"/>
        <v>22.561111231329118</v>
      </c>
      <c r="F136" s="22">
        <f t="shared" si="16"/>
        <v>1385.9314018311877</v>
      </c>
      <c r="G136" s="22">
        <f t="shared" si="14"/>
        <v>70.931401831187713</v>
      </c>
      <c r="H136" s="22">
        <f t="shared" si="15"/>
        <v>5.1179590661895875E-2</v>
      </c>
    </row>
    <row r="137" spans="1:8" x14ac:dyDescent="0.25">
      <c r="A137" s="3">
        <v>10</v>
      </c>
      <c r="B137" s="22">
        <f t="shared" si="11"/>
        <v>35</v>
      </c>
      <c r="C137" s="22">
        <f t="shared" si="12"/>
        <v>76.689310006169748</v>
      </c>
      <c r="D137" s="22">
        <f t="shared" si="13"/>
        <v>21.486751348853069</v>
      </c>
      <c r="F137" s="22">
        <f t="shared" si="16"/>
        <v>1440.2283727312258</v>
      </c>
      <c r="G137" s="22">
        <f t="shared" si="14"/>
        <v>90.228372731225818</v>
      </c>
      <c r="H137" s="22">
        <f t="shared" si="15"/>
        <v>6.2648656587786969E-2</v>
      </c>
    </row>
    <row r="138" spans="1:8" x14ac:dyDescent="0.25">
      <c r="A138" s="3">
        <v>11</v>
      </c>
      <c r="B138" s="22">
        <f t="shared" si="11"/>
        <v>35</v>
      </c>
      <c r="C138" s="22">
        <f t="shared" si="12"/>
        <v>73.739721159778597</v>
      </c>
      <c r="D138" s="22">
        <f t="shared" si="13"/>
        <v>20.463552472820318</v>
      </c>
      <c r="F138" s="22">
        <f t="shared" si="16"/>
        <v>1497.2402485663035</v>
      </c>
      <c r="G138" s="22">
        <f t="shared" si="14"/>
        <v>112.24024856630353</v>
      </c>
      <c r="H138" s="22">
        <f t="shared" si="15"/>
        <v>7.4964755104453176E-2</v>
      </c>
    </row>
    <row r="139" spans="1:8" x14ac:dyDescent="0.25">
      <c r="A139" s="3">
        <v>12</v>
      </c>
      <c r="B139" s="22">
        <f t="shared" si="11"/>
        <v>35</v>
      </c>
      <c r="C139" s="22">
        <f t="shared" si="12"/>
        <v>70.903578038248654</v>
      </c>
      <c r="D139" s="22">
        <f t="shared" si="13"/>
        <v>19.489078316635482</v>
      </c>
      <c r="F139" s="22">
        <f t="shared" si="16"/>
        <v>1557.1027774027334</v>
      </c>
      <c r="G139" s="22">
        <f t="shared" si="14"/>
        <v>137.10277740273341</v>
      </c>
      <c r="H139" s="22">
        <f t="shared" si="15"/>
        <v>8.8049921554582619E-2</v>
      </c>
    </row>
    <row r="140" spans="1:8" x14ac:dyDescent="0.25">
      <c r="A140" s="3">
        <v>13</v>
      </c>
      <c r="B140" s="22">
        <f t="shared" si="11"/>
        <v>35</v>
      </c>
      <c r="C140" s="22">
        <f t="shared" si="12"/>
        <v>68.176517344469858</v>
      </c>
      <c r="D140" s="22">
        <f t="shared" si="13"/>
        <v>18.56100860964554</v>
      </c>
      <c r="F140" s="22">
        <f t="shared" si="16"/>
        <v>1619.9584948511242</v>
      </c>
      <c r="G140" s="22">
        <f t="shared" si="14"/>
        <v>164.95849485112421</v>
      </c>
      <c r="H140" s="22">
        <f t="shared" si="15"/>
        <v>0.10182884029154343</v>
      </c>
    </row>
    <row r="141" spans="1:8" x14ac:dyDescent="0.25">
      <c r="A141" s="3">
        <v>14</v>
      </c>
      <c r="B141" s="22">
        <f t="shared" si="11"/>
        <v>35</v>
      </c>
      <c r="C141" s="22">
        <f t="shared" si="12"/>
        <v>65.554343600451773</v>
      </c>
      <c r="D141" s="22">
        <f t="shared" si="13"/>
        <v>17.67713357246188</v>
      </c>
      <c r="F141" s="22">
        <f t="shared" si="16"/>
        <v>1685.9570634506458</v>
      </c>
      <c r="G141" s="22">
        <f t="shared" si="14"/>
        <v>195.95706345064582</v>
      </c>
      <c r="H141" s="22">
        <f t="shared" si="15"/>
        <v>0.11622897622883752</v>
      </c>
    </row>
    <row r="142" spans="1:8" x14ac:dyDescent="0.25">
      <c r="A142" s="3">
        <v>15</v>
      </c>
      <c r="B142" s="22">
        <f t="shared" si="11"/>
        <v>35</v>
      </c>
      <c r="C142" s="22">
        <f t="shared" si="12"/>
        <v>63.033022692742087</v>
      </c>
      <c r="D142" s="22">
        <f t="shared" si="13"/>
        <v>16.835348655367408</v>
      </c>
      <c r="F142" s="22">
        <f t="shared" si="16"/>
        <v>1755.2556290228576</v>
      </c>
      <c r="G142" s="22">
        <f t="shared" si="14"/>
        <v>230.25562902285765</v>
      </c>
      <c r="H142" s="22">
        <f t="shared" si="15"/>
        <v>0.13118068115869816</v>
      </c>
    </row>
    <row r="143" spans="1:8" x14ac:dyDescent="0.25">
      <c r="A143" s="3">
        <v>16</v>
      </c>
      <c r="B143" s="22">
        <f t="shared" si="11"/>
        <v>35</v>
      </c>
      <c r="C143" s="22">
        <f t="shared" si="12"/>
        <v>60.608675666098158</v>
      </c>
      <c r="D143" s="22">
        <f t="shared" si="13"/>
        <v>16.033649527280698</v>
      </c>
      <c r="F143" s="22">
        <f t="shared" si="16"/>
        <v>1828.0191948436016</v>
      </c>
      <c r="G143" s="22">
        <f t="shared" si="14"/>
        <v>268.01919484360155</v>
      </c>
      <c r="H143" s="22">
        <f t="shared" si="15"/>
        <v>0.14661727601089675</v>
      </c>
    </row>
    <row r="144" spans="1:8" x14ac:dyDescent="0.25">
      <c r="A144" s="3">
        <v>17</v>
      </c>
      <c r="B144" s="22">
        <f t="shared" si="11"/>
        <v>35</v>
      </c>
      <c r="C144" s="22">
        <f t="shared" si="12"/>
        <v>58.277572755863616</v>
      </c>
      <c r="D144" s="22">
        <f t="shared" si="13"/>
        <v>15.270127303345602</v>
      </c>
      <c r="F144" s="22">
        <f t="shared" si="16"/>
        <v>1904.4210145238749</v>
      </c>
      <c r="G144" s="22">
        <f t="shared" si="14"/>
        <v>309.42101452387487</v>
      </c>
      <c r="H144" s="22">
        <f t="shared" si="15"/>
        <v>0.16247511036903431</v>
      </c>
    </row>
    <row r="145" spans="1:8" x14ac:dyDescent="0.25">
      <c r="A145" s="3">
        <v>18</v>
      </c>
      <c r="B145" s="22">
        <f t="shared" si="11"/>
        <v>35</v>
      </c>
      <c r="C145" s="22">
        <f t="shared" si="12"/>
        <v>56.03612764986886</v>
      </c>
      <c r="D145" s="22">
        <f t="shared" si="13"/>
        <v>14.542963999782996</v>
      </c>
      <c r="F145" s="22">
        <f t="shared" si="16"/>
        <v>1984.6430045351572</v>
      </c>
      <c r="G145" s="22">
        <f t="shared" si="14"/>
        <v>354.64300453515716</v>
      </c>
      <c r="H145" s="22">
        <f t="shared" si="15"/>
        <v>0.17869360067516102</v>
      </c>
    </row>
    <row r="146" spans="1:8" x14ac:dyDescent="0.25">
      <c r="A146" s="3">
        <v>19</v>
      </c>
      <c r="B146" s="22">
        <f t="shared" si="11"/>
        <v>35</v>
      </c>
      <c r="C146" s="22">
        <f t="shared" si="12"/>
        <v>53.880891971027737</v>
      </c>
      <c r="D146" s="22">
        <f t="shared" si="13"/>
        <v>13.85042820518243</v>
      </c>
      <c r="F146" s="22">
        <f t="shared" si="16"/>
        <v>2068.876177361431</v>
      </c>
      <c r="G146" s="22">
        <f t="shared" si="14"/>
        <v>403.87617736143102</v>
      </c>
      <c r="H146" s="22">
        <f t="shared" si="15"/>
        <v>0.19521524863634898</v>
      </c>
    </row>
    <row r="147" spans="1:8" x14ac:dyDescent="0.25">
      <c r="A147" s="3">
        <v>20</v>
      </c>
      <c r="B147" s="22">
        <f t="shared" si="11"/>
        <v>35</v>
      </c>
      <c r="C147" s="22">
        <f t="shared" si="12"/>
        <v>51.80854997214206</v>
      </c>
      <c r="D147" s="22">
        <f t="shared" si="13"/>
        <v>13.190870957926833</v>
      </c>
      <c r="F147" s="22">
        <f t="shared" si="16"/>
        <v>2157.3210963092538</v>
      </c>
      <c r="G147" s="22">
        <f t="shared" si="14"/>
        <v>457.32109630925379</v>
      </c>
      <c r="H147" s="22">
        <f t="shared" si="15"/>
        <v>0.21198564140110573</v>
      </c>
    </row>
    <row r="148" spans="1:8" x14ac:dyDescent="0.25">
      <c r="A148" s="3">
        <v>21</v>
      </c>
      <c r="B148" s="22">
        <f t="shared" si="11"/>
        <v>35</v>
      </c>
      <c r="C148" s="22">
        <f t="shared" si="12"/>
        <v>49.815913434751984</v>
      </c>
      <c r="D148" s="22">
        <f t="shared" si="13"/>
        <v>12.562721819934213</v>
      </c>
      <c r="F148" s="22">
        <f t="shared" si="16"/>
        <v>2250.1883530588057</v>
      </c>
      <c r="G148" s="22">
        <f t="shared" si="14"/>
        <v>515.18835305880566</v>
      </c>
      <c r="H148" s="22">
        <f t="shared" si="15"/>
        <v>0.22895343510176897</v>
      </c>
    </row>
    <row r="149" spans="1:8" x14ac:dyDescent="0.25">
      <c r="A149" s="3">
        <v>22</v>
      </c>
      <c r="B149" s="22">
        <f t="shared" si="11"/>
        <v>35</v>
      </c>
      <c r="C149" s="22">
        <f t="shared" si="12"/>
        <v>47.899916764184596</v>
      </c>
      <c r="D149" s="22">
        <f t="shared" si="13"/>
        <v>11.964485137367728</v>
      </c>
      <c r="F149" s="22">
        <f t="shared" si="16"/>
        <v>2347.6990690929852</v>
      </c>
      <c r="G149" s="22">
        <f t="shared" si="14"/>
        <v>577.69906909298516</v>
      </c>
      <c r="H149" s="22">
        <f t="shared" si="15"/>
        <v>0.24607032336396273</v>
      </c>
    </row>
    <row r="150" spans="1:8" x14ac:dyDescent="0.25">
      <c r="A150" s="3">
        <v>23</v>
      </c>
      <c r="B150" s="22">
        <f t="shared" si="11"/>
        <v>35</v>
      </c>
      <c r="C150" s="22">
        <f t="shared" si="12"/>
        <v>46.057612273254406</v>
      </c>
      <c r="D150" s="22">
        <f t="shared" si="13"/>
        <v>11.394736479410707</v>
      </c>
      <c r="F150" s="22">
        <f t="shared" si="16"/>
        <v>2450.0854221984819</v>
      </c>
      <c r="G150" s="22">
        <f t="shared" si="14"/>
        <v>645.08542219848187</v>
      </c>
      <c r="H150" s="22">
        <f t="shared" si="15"/>
        <v>0.26329099236860132</v>
      </c>
    </row>
    <row r="151" spans="1:8" x14ac:dyDescent="0.25">
      <c r="A151" s="3">
        <v>24</v>
      </c>
      <c r="B151" s="22">
        <f t="shared" si="11"/>
        <v>35</v>
      </c>
      <c r="C151" s="22">
        <f t="shared" si="12"/>
        <v>44.286165647360015</v>
      </c>
      <c r="D151" s="22">
        <f t="shared" si="13"/>
        <v>10.852119246627176</v>
      </c>
      <c r="F151" s="22">
        <f t="shared" si="16"/>
        <v>2557.5911992924466</v>
      </c>
      <c r="G151" s="22">
        <f t="shared" si="14"/>
        <v>717.59119929244662</v>
      </c>
      <c r="H151" s="22">
        <f t="shared" si="15"/>
        <v>0.28057306401858401</v>
      </c>
    </row>
    <row r="152" spans="1:8" x14ac:dyDescent="0.25">
      <c r="A152" s="3">
        <v>25</v>
      </c>
      <c r="B152" s="22">
        <f t="shared" si="11"/>
        <v>35</v>
      </c>
      <c r="C152" s="22">
        <f t="shared" si="12"/>
        <v>42.582851584000011</v>
      </c>
      <c r="D152" s="22">
        <f t="shared" si="13"/>
        <v>10.335341440832208</v>
      </c>
      <c r="F152" s="22">
        <f t="shared" si="16"/>
        <v>2670.4723768910735</v>
      </c>
      <c r="G152" s="22">
        <f t="shared" si="14"/>
        <v>795.47237689107351</v>
      </c>
      <c r="H152" s="22">
        <f t="shared" si="15"/>
        <v>0.29787702871398031</v>
      </c>
    </row>
    <row r="153" spans="1:8" x14ac:dyDescent="0.25">
      <c r="A153" s="3">
        <v>26</v>
      </c>
      <c r="B153" s="22">
        <f t="shared" si="11"/>
        <v>35</v>
      </c>
      <c r="C153" s="22">
        <f t="shared" si="12"/>
        <v>40.945049600000004</v>
      </c>
      <c r="D153" s="22">
        <f t="shared" si="13"/>
        <v>9.8431725887810249</v>
      </c>
      <c r="F153" s="22">
        <f t="shared" si="16"/>
        <v>2788.9977306022092</v>
      </c>
      <c r="G153" s="22">
        <f t="shared" si="14"/>
        <v>878.99773060220923</v>
      </c>
      <c r="H153" s="22">
        <f t="shared" si="15"/>
        <v>0.31516616917877993</v>
      </c>
    </row>
    <row r="154" spans="1:8" x14ac:dyDescent="0.25">
      <c r="A154" s="3">
        <v>27</v>
      </c>
      <c r="B154" s="22">
        <f t="shared" si="11"/>
        <v>35</v>
      </c>
      <c r="C154" s="22">
        <f t="shared" si="12"/>
        <v>39.370240000000003</v>
      </c>
      <c r="D154" s="22">
        <f t="shared" si="13"/>
        <v>9.3744408123519776</v>
      </c>
      <c r="F154" s="22">
        <f t="shared" si="16"/>
        <v>2913.4494750932304</v>
      </c>
      <c r="G154" s="22">
        <f t="shared" si="14"/>
        <v>968.44947509323038</v>
      </c>
      <c r="H154" s="22">
        <f t="shared" si="15"/>
        <v>0.33240647671167867</v>
      </c>
    </row>
    <row r="155" spans="1:8" x14ac:dyDescent="0.25">
      <c r="A155" s="3">
        <v>28</v>
      </c>
      <c r="B155" s="22">
        <f t="shared" si="11"/>
        <v>35</v>
      </c>
      <c r="C155" s="22">
        <f t="shared" si="12"/>
        <v>37.856000000000002</v>
      </c>
      <c r="D155" s="22">
        <f t="shared" si="13"/>
        <v>8.9280300382473978</v>
      </c>
      <c r="F155" s="22">
        <f t="shared" si="16"/>
        <v>3044.1239360579752</v>
      </c>
      <c r="G155" s="22">
        <f t="shared" si="14"/>
        <v>1064.1239360579752</v>
      </c>
      <c r="H155" s="22">
        <f t="shared" si="15"/>
        <v>0.34956656115518586</v>
      </c>
    </row>
    <row r="156" spans="1:8" x14ac:dyDescent="0.25">
      <c r="A156" s="3">
        <v>29</v>
      </c>
      <c r="B156" s="22">
        <f t="shared" si="11"/>
        <v>35</v>
      </c>
      <c r="C156" s="22">
        <f t="shared" si="12"/>
        <v>36.4</v>
      </c>
      <c r="D156" s="22">
        <f t="shared" si="13"/>
        <v>8.5028773405684621</v>
      </c>
      <c r="F156" s="22">
        <f t="shared" si="16"/>
        <v>3181.3322557827228</v>
      </c>
      <c r="G156" s="22">
        <f t="shared" si="14"/>
        <v>1166.3322557827228</v>
      </c>
      <c r="H156" s="22">
        <f t="shared" si="15"/>
        <v>0.36661755579370092</v>
      </c>
    </row>
    <row r="157" spans="1:8" x14ac:dyDescent="0.25">
      <c r="A157" s="3">
        <v>30</v>
      </c>
      <c r="B157" s="22">
        <f t="shared" si="11"/>
        <v>35</v>
      </c>
      <c r="C157" s="22">
        <f t="shared" si="12"/>
        <v>35</v>
      </c>
      <c r="D157" s="22">
        <f>(B157+$B$118)/(1+$B$123/$B$122)^A157</f>
        <v>239.46855355098242</v>
      </c>
      <c r="F157" s="22">
        <f t="shared" si="16"/>
        <v>3325.4011339912022</v>
      </c>
      <c r="G157" s="22">
        <f t="shared" si="14"/>
        <v>1275.4011339912022</v>
      </c>
      <c r="H157" s="22">
        <f t="shared" si="15"/>
        <v>0.38353301830400366</v>
      </c>
    </row>
    <row r="159" spans="1:8" x14ac:dyDescent="0.25">
      <c r="B159" s="4" t="s">
        <v>9</v>
      </c>
      <c r="C159" s="22">
        <f>SUM(C128:C157)</f>
        <v>1962.9728212740977</v>
      </c>
      <c r="D159" s="22">
        <f>SUM(D128:D157)</f>
        <v>769.39999954944017</v>
      </c>
    </row>
    <row r="160" spans="1:8" x14ac:dyDescent="0.25">
      <c r="B160" s="4" t="s">
        <v>90</v>
      </c>
      <c r="C160" s="22">
        <f>C159-SUM(B128:B157)</f>
        <v>912.97282127409767</v>
      </c>
      <c r="D160" s="3"/>
    </row>
    <row r="162" spans="1:4" x14ac:dyDescent="0.25">
      <c r="C162" t="s">
        <v>91</v>
      </c>
      <c r="D162" s="24">
        <f>$B$121-$D$159</f>
        <v>4.5055980990582611E-7</v>
      </c>
    </row>
    <row r="164" spans="1:4" ht="18.75" x14ac:dyDescent="0.3">
      <c r="A164" s="2" t="s">
        <v>95</v>
      </c>
    </row>
    <row r="165" spans="1:4" x14ac:dyDescent="0.25">
      <c r="A165" t="s">
        <v>83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9EC0-6371-4C77-A0D4-51EADCAF875A}">
  <dimension ref="A1:D40"/>
  <sheetViews>
    <sheetView zoomScaleNormal="100" workbookViewId="0">
      <selection activeCell="K40" sqref="K40"/>
    </sheetView>
  </sheetViews>
  <sheetFormatPr defaultRowHeight="15" x14ac:dyDescent="0.25"/>
  <cols>
    <col min="1" max="1" width="22.7109375" bestFit="1" customWidth="1"/>
    <col min="2" max="2" width="13.28515625" bestFit="1" customWidth="1"/>
    <col min="3" max="3" width="10.28515625" bestFit="1" customWidth="1"/>
    <col min="4" max="4" width="18.140625" bestFit="1" customWidth="1"/>
  </cols>
  <sheetData>
    <row r="1" spans="1:4" ht="18.75" x14ac:dyDescent="0.3">
      <c r="A1" s="2" t="s">
        <v>96</v>
      </c>
    </row>
    <row r="3" spans="1:4" x14ac:dyDescent="0.25">
      <c r="A3" t="s">
        <v>83</v>
      </c>
    </row>
    <row r="5" spans="1:4" ht="18.75" x14ac:dyDescent="0.3">
      <c r="A5" s="2" t="s">
        <v>97</v>
      </c>
    </row>
    <row r="7" spans="1:4" x14ac:dyDescent="0.25">
      <c r="A7" t="s">
        <v>98</v>
      </c>
      <c r="B7">
        <v>100</v>
      </c>
    </row>
    <row r="8" spans="1:4" x14ac:dyDescent="0.25">
      <c r="A8" t="s">
        <v>16</v>
      </c>
      <c r="B8">
        <v>2</v>
      </c>
    </row>
    <row r="9" spans="1:4" x14ac:dyDescent="0.25">
      <c r="A9" t="s">
        <v>59</v>
      </c>
      <c r="B9">
        <v>0.04</v>
      </c>
      <c r="C9" t="s">
        <v>99</v>
      </c>
    </row>
    <row r="10" spans="1:4" x14ac:dyDescent="0.25">
      <c r="A10" t="s">
        <v>15</v>
      </c>
      <c r="B10">
        <v>20</v>
      </c>
      <c r="C10" t="s">
        <v>100</v>
      </c>
    </row>
    <row r="12" spans="1:4" x14ac:dyDescent="0.25">
      <c r="A12" t="s">
        <v>19</v>
      </c>
      <c r="B12" t="s">
        <v>101</v>
      </c>
      <c r="C12" t="s">
        <v>102</v>
      </c>
      <c r="D12" t="s">
        <v>103</v>
      </c>
    </row>
    <row r="13" spans="1:4" x14ac:dyDescent="0.25">
      <c r="A13">
        <v>0</v>
      </c>
      <c r="B13">
        <f>$B$7*A13</f>
        <v>0</v>
      </c>
      <c r="C13" s="25">
        <f>-PV($B$9, $B$10, B13, $B$7)</f>
        <v>45.638694620129208</v>
      </c>
      <c r="D13" t="s">
        <v>104</v>
      </c>
    </row>
    <row r="14" spans="1:4" x14ac:dyDescent="0.25">
      <c r="A14">
        <v>5.0000000000000001E-3</v>
      </c>
      <c r="B14">
        <f t="shared" ref="B14:B23" si="0">$B$7*A14</f>
        <v>0.5</v>
      </c>
      <c r="C14" s="25">
        <f t="shared" ref="C14:C23" si="1">-PV($B$9, $B$10, B14, $B$7)</f>
        <v>52.433857792613054</v>
      </c>
      <c r="D14" t="s">
        <v>105</v>
      </c>
    </row>
    <row r="15" spans="1:4" x14ac:dyDescent="0.25">
      <c r="A15">
        <v>0.01</v>
      </c>
      <c r="B15">
        <f t="shared" si="0"/>
        <v>1</v>
      </c>
      <c r="C15" s="25">
        <f t="shared" si="1"/>
        <v>59.229020965096908</v>
      </c>
    </row>
    <row r="16" spans="1:4" x14ac:dyDescent="0.25">
      <c r="A16">
        <v>1.4999999999999999E-2</v>
      </c>
      <c r="B16">
        <f t="shared" si="0"/>
        <v>1.5</v>
      </c>
      <c r="C16" s="25">
        <f t="shared" si="1"/>
        <v>66.024184137580747</v>
      </c>
    </row>
    <row r="17" spans="1:3" x14ac:dyDescent="0.25">
      <c r="A17">
        <v>0.02</v>
      </c>
      <c r="B17">
        <f t="shared" si="0"/>
        <v>2</v>
      </c>
      <c r="C17" s="25">
        <f t="shared" si="1"/>
        <v>72.819347310064614</v>
      </c>
    </row>
    <row r="18" spans="1:3" x14ac:dyDescent="0.25">
      <c r="A18">
        <v>2.5000000000000001E-2</v>
      </c>
      <c r="B18">
        <f t="shared" si="0"/>
        <v>2.5</v>
      </c>
      <c r="C18" s="25">
        <f t="shared" si="1"/>
        <v>79.61451048254844</v>
      </c>
    </row>
    <row r="19" spans="1:3" x14ac:dyDescent="0.25">
      <c r="A19">
        <v>0.03</v>
      </c>
      <c r="B19">
        <f t="shared" si="0"/>
        <v>3</v>
      </c>
      <c r="C19" s="25">
        <f t="shared" si="1"/>
        <v>86.409673655032293</v>
      </c>
    </row>
    <row r="20" spans="1:3" x14ac:dyDescent="0.25">
      <c r="A20">
        <v>3.5000000000000003E-2</v>
      </c>
      <c r="B20">
        <f t="shared" si="0"/>
        <v>3.5000000000000004</v>
      </c>
      <c r="C20" s="25">
        <f t="shared" si="1"/>
        <v>93.204836827516147</v>
      </c>
    </row>
    <row r="21" spans="1:3" x14ac:dyDescent="0.25">
      <c r="A21">
        <v>0.04</v>
      </c>
      <c r="B21">
        <f t="shared" si="0"/>
        <v>4</v>
      </c>
      <c r="C21" s="25">
        <f t="shared" si="1"/>
        <v>100</v>
      </c>
    </row>
    <row r="22" spans="1:3" x14ac:dyDescent="0.25">
      <c r="A22">
        <v>4.4999999999999998E-2</v>
      </c>
      <c r="B22">
        <f t="shared" si="0"/>
        <v>4.5</v>
      </c>
      <c r="C22" s="25">
        <f t="shared" si="1"/>
        <v>106.79516317248384</v>
      </c>
    </row>
    <row r="23" spans="1:3" x14ac:dyDescent="0.25">
      <c r="A23">
        <v>0.05</v>
      </c>
      <c r="B23">
        <f t="shared" si="0"/>
        <v>5</v>
      </c>
      <c r="C23" s="25">
        <f t="shared" si="1"/>
        <v>113.59032634496769</v>
      </c>
    </row>
    <row r="30" spans="1:3" x14ac:dyDescent="0.25">
      <c r="A30" t="s">
        <v>106</v>
      </c>
      <c r="C30">
        <f>$B$7/(1+$B$9)^($B$10)</f>
        <v>45.638694620129208</v>
      </c>
    </row>
    <row r="31" spans="1:3" x14ac:dyDescent="0.25">
      <c r="A31" t="s">
        <v>107</v>
      </c>
      <c r="B31">
        <f>$B$10/(1+$B$9)</f>
        <v>19.23076923076923</v>
      </c>
    </row>
    <row r="32" spans="1:3" x14ac:dyDescent="0.25">
      <c r="A32" t="s">
        <v>108</v>
      </c>
      <c r="B32">
        <f>$B$10</f>
        <v>20</v>
      </c>
    </row>
    <row r="39" spans="1:1" ht="18.75" x14ac:dyDescent="0.3">
      <c r="A39" s="2" t="s">
        <v>109</v>
      </c>
    </row>
    <row r="40" spans="1:1" x14ac:dyDescent="0.25">
      <c r="A40" t="s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accrued_interest</vt:lpstr>
      <vt:lpstr>yield</vt:lpstr>
      <vt:lpstr>volatility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Choi</dc:creator>
  <cp:lastModifiedBy>Jai Choi</cp:lastModifiedBy>
  <dcterms:created xsi:type="dcterms:W3CDTF">2024-04-09T16:36:44Z</dcterms:created>
  <dcterms:modified xsi:type="dcterms:W3CDTF">2024-04-17T03:38:38Z</dcterms:modified>
</cp:coreProperties>
</file>