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5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hlje\VSCodeProjects\KAIST_MFE\BAF510채권\"/>
    </mc:Choice>
  </mc:AlternateContent>
  <xr:revisionPtr revIDLastSave="0" documentId="13_ncr:1_{CF457EC9-3A8A-4D45-A403-9B770EE98172}" xr6:coauthVersionLast="47" xr6:coauthVersionMax="47" xr10:uidLastSave="{00000000-0000-0000-0000-000000000000}"/>
  <bookViews>
    <workbookView xWindow="-108" yWindow="-108" windowWidth="23256" windowHeight="13896" firstSheet="2" activeTab="3" xr2:uid="{00000000-000D-0000-FFFF-FFFF00000000}"/>
  </bookViews>
  <sheets>
    <sheet name="price" sheetId="1" r:id="rId1"/>
    <sheet name="accrued interest" sheetId="6" r:id="rId2"/>
    <sheet name="yield" sheetId="3" r:id="rId3"/>
    <sheet name="volatility" sheetId="4" r:id="rId4"/>
    <sheet name="term structure" sheetId="5" r:id="rId5"/>
  </sheets>
  <definedNames>
    <definedName name="_xlnm._FilterDatabase" localSheetId="3" hidden="1">volatility!$B$334:$E$334</definedName>
    <definedName name="solver_adj" localSheetId="4" hidden="1">'term structure'!$C$9,'term structure'!$E$9</definedName>
    <definedName name="solver_adj" localSheetId="3" hidden="1">volatility!$C$265</definedName>
    <definedName name="solver_adj" localSheetId="2" hidden="1">yield!$C$256</definedName>
    <definedName name="solver_cvg" localSheetId="4" hidden="1">0.0001</definedName>
    <definedName name="solver_cvg" localSheetId="3" hidden="1">0.0001</definedName>
    <definedName name="solver_cvg" localSheetId="2" hidden="1">0.0001</definedName>
    <definedName name="solver_drv" localSheetId="4" hidden="1">1</definedName>
    <definedName name="solver_drv" localSheetId="3" hidden="1">1</definedName>
    <definedName name="solver_drv" localSheetId="2" hidden="1">2</definedName>
    <definedName name="solver_eng" localSheetId="4" hidden="1">1</definedName>
    <definedName name="solver_eng" localSheetId="3" hidden="1">1</definedName>
    <definedName name="solver_eng" localSheetId="2" hidden="1">1</definedName>
    <definedName name="solver_est" localSheetId="4" hidden="1">1</definedName>
    <definedName name="solver_est" localSheetId="3" hidden="1">1</definedName>
    <definedName name="solver_est" localSheetId="2" hidden="1">1</definedName>
    <definedName name="solver_itr" localSheetId="4" hidden="1">2147483647</definedName>
    <definedName name="solver_itr" localSheetId="3" hidden="1">2147483647</definedName>
    <definedName name="solver_itr" localSheetId="2" hidden="1">2147483647</definedName>
    <definedName name="solver_mip" localSheetId="4" hidden="1">2147483647</definedName>
    <definedName name="solver_mip" localSheetId="3" hidden="1">2147483647</definedName>
    <definedName name="solver_mip" localSheetId="2" hidden="1">2147483647</definedName>
    <definedName name="solver_mni" localSheetId="4" hidden="1">30</definedName>
    <definedName name="solver_mni" localSheetId="3" hidden="1">30</definedName>
    <definedName name="solver_mni" localSheetId="2" hidden="1">30</definedName>
    <definedName name="solver_mrt" localSheetId="4" hidden="1">0.075</definedName>
    <definedName name="solver_mrt" localSheetId="3" hidden="1">0.075</definedName>
    <definedName name="solver_mrt" localSheetId="2" hidden="1">0.075</definedName>
    <definedName name="solver_msl" localSheetId="4" hidden="1">2</definedName>
    <definedName name="solver_msl" localSheetId="3" hidden="1">2</definedName>
    <definedName name="solver_msl" localSheetId="2" hidden="1">2</definedName>
    <definedName name="solver_neg" localSheetId="4" hidden="1">2</definedName>
    <definedName name="solver_neg" localSheetId="3" hidden="1">1</definedName>
    <definedName name="solver_neg" localSheetId="2" hidden="1">1</definedName>
    <definedName name="solver_nod" localSheetId="4" hidden="1">2147483647</definedName>
    <definedName name="solver_nod" localSheetId="3" hidden="1">2147483647</definedName>
    <definedName name="solver_nod" localSheetId="2" hidden="1">2147483647</definedName>
    <definedName name="solver_num" localSheetId="4" hidden="1">0</definedName>
    <definedName name="solver_num" localSheetId="3" hidden="1">0</definedName>
    <definedName name="solver_num" localSheetId="2" hidden="1">0</definedName>
    <definedName name="solver_nwt" localSheetId="4" hidden="1">1</definedName>
    <definedName name="solver_nwt" localSheetId="3" hidden="1">1</definedName>
    <definedName name="solver_nwt" localSheetId="2" hidden="1">1</definedName>
    <definedName name="solver_opt" localSheetId="4" hidden="1">'term structure'!$F$14</definedName>
    <definedName name="solver_opt" localSheetId="3" hidden="1">volatility!$C$275</definedName>
    <definedName name="solver_opt" localSheetId="2" hidden="1">yield!$F$292</definedName>
    <definedName name="solver_pre" localSheetId="4" hidden="1">0.000001</definedName>
    <definedName name="solver_pre" localSheetId="3" hidden="1">0.000001</definedName>
    <definedName name="solver_pre" localSheetId="2" hidden="1">0.000001</definedName>
    <definedName name="solver_rbv" localSheetId="4" hidden="1">1</definedName>
    <definedName name="solver_rbv" localSheetId="3" hidden="1">1</definedName>
    <definedName name="solver_rbv" localSheetId="2" hidden="1">2</definedName>
    <definedName name="solver_rlx" localSheetId="4" hidden="1">2</definedName>
    <definedName name="solver_rlx" localSheetId="3" hidden="1">2</definedName>
    <definedName name="solver_rlx" localSheetId="2" hidden="1">2</definedName>
    <definedName name="solver_rsd" localSheetId="4" hidden="1">0</definedName>
    <definedName name="solver_rsd" localSheetId="3" hidden="1">0</definedName>
    <definedName name="solver_rsd" localSheetId="2" hidden="1">0</definedName>
    <definedName name="solver_scl" localSheetId="4" hidden="1">1</definedName>
    <definedName name="solver_scl" localSheetId="3" hidden="1">1</definedName>
    <definedName name="solver_scl" localSheetId="2" hidden="1">2</definedName>
    <definedName name="solver_sho" localSheetId="4" hidden="1">2</definedName>
    <definedName name="solver_sho" localSheetId="3" hidden="1">2</definedName>
    <definedName name="solver_sho" localSheetId="2" hidden="1">2</definedName>
    <definedName name="solver_ssz" localSheetId="4" hidden="1">100</definedName>
    <definedName name="solver_ssz" localSheetId="3" hidden="1">100</definedName>
    <definedName name="solver_ssz" localSheetId="2" hidden="1">100</definedName>
    <definedName name="solver_tim" localSheetId="4" hidden="1">2147483647</definedName>
    <definedName name="solver_tim" localSheetId="3" hidden="1">2147483647</definedName>
    <definedName name="solver_tim" localSheetId="2" hidden="1">2147483647</definedName>
    <definedName name="solver_tol" localSheetId="4" hidden="1">0.01</definedName>
    <definedName name="solver_tol" localSheetId="3" hidden="1">0.01</definedName>
    <definedName name="solver_tol" localSheetId="2" hidden="1">0.01</definedName>
    <definedName name="solver_typ" localSheetId="4" hidden="1">2</definedName>
    <definedName name="solver_typ" localSheetId="3" hidden="1">2</definedName>
    <definedName name="solver_typ" localSheetId="2" hidden="1">3</definedName>
    <definedName name="solver_val" localSheetId="4" hidden="1">0</definedName>
    <definedName name="solver_val" localSheetId="3" hidden="1">0</definedName>
    <definedName name="solver_val" localSheetId="2" hidden="1">0</definedName>
    <definedName name="solver_ver" localSheetId="4" hidden="1">3</definedName>
    <definedName name="solver_ver" localSheetId="3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6" i="4" l="1"/>
  <c r="C206" i="4" s="1"/>
  <c r="E203" i="4"/>
  <c r="E201" i="4"/>
  <c r="C202" i="4"/>
  <c r="C173" i="4"/>
  <c r="C203" i="4" s="1"/>
  <c r="C174" i="4"/>
  <c r="C204" i="4" l="1"/>
  <c r="B215" i="4" l="1"/>
  <c r="B214" i="4" s="1"/>
  <c r="E152" i="4"/>
  <c r="E147" i="4"/>
  <c r="D147" i="4"/>
  <c r="I109" i="5" l="1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08" i="5"/>
  <c r="F49" i="5"/>
  <c r="F6" i="6"/>
  <c r="G6" i="6" s="1"/>
  <c r="C10" i="6"/>
  <c r="C9" i="6"/>
  <c r="C8" i="6"/>
  <c r="E7" i="6"/>
  <c r="D8" i="1"/>
  <c r="D9" i="1"/>
  <c r="D10" i="1"/>
  <c r="D11" i="1"/>
  <c r="D7" i="1"/>
  <c r="D12" i="1" s="1"/>
  <c r="F7" i="6" l="1"/>
  <c r="G7" i="6" s="1"/>
  <c r="I7" i="6" s="1"/>
  <c r="H6" i="6"/>
  <c r="I6" i="6"/>
  <c r="C12" i="6"/>
  <c r="E8" i="6"/>
  <c r="C11" i="6"/>
  <c r="K6" i="6"/>
  <c r="K138" i="5"/>
  <c r="K136" i="5"/>
  <c r="J137" i="5"/>
  <c r="D134" i="5"/>
  <c r="C134" i="5"/>
  <c r="E107" i="5"/>
  <c r="G108" i="5" s="1"/>
  <c r="H108" i="5" s="1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07" i="5"/>
  <c r="D99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80" i="5"/>
  <c r="C13" i="6" l="1"/>
  <c r="F8" i="6"/>
  <c r="G8" i="6" s="1"/>
  <c r="K7" i="6"/>
  <c r="H7" i="6"/>
  <c r="J7" i="6" s="1"/>
  <c r="L7" i="6" s="1"/>
  <c r="E9" i="6"/>
  <c r="J6" i="6"/>
  <c r="L6" i="6" s="1"/>
  <c r="E108" i="5"/>
  <c r="G109" i="5" s="1"/>
  <c r="H109" i="5" s="1"/>
  <c r="E109" i="5" s="1"/>
  <c r="G110" i="5" s="1"/>
  <c r="F48" i="5"/>
  <c r="E81" i="5" s="1"/>
  <c r="F47" i="5"/>
  <c r="E80" i="5" s="1"/>
  <c r="C29" i="5"/>
  <c r="C28" i="5"/>
  <c r="C27" i="5"/>
  <c r="C26" i="5"/>
  <c r="C25" i="5"/>
  <c r="F9" i="6" l="1"/>
  <c r="G9" i="6" s="1"/>
  <c r="H8" i="6"/>
  <c r="K8" i="6"/>
  <c r="E10" i="6"/>
  <c r="I8" i="6"/>
  <c r="G47" i="5"/>
  <c r="H110" i="5"/>
  <c r="G48" i="5"/>
  <c r="C10" i="5"/>
  <c r="E11" i="5"/>
  <c r="E12" i="5"/>
  <c r="D12" i="5"/>
  <c r="D11" i="5"/>
  <c r="C11" i="5"/>
  <c r="D10" i="5"/>
  <c r="E10" i="5"/>
  <c r="F10" i="6" l="1"/>
  <c r="K10" i="6" s="1"/>
  <c r="G10" i="6"/>
  <c r="H9" i="6"/>
  <c r="K9" i="6"/>
  <c r="E11" i="6"/>
  <c r="I10" i="6"/>
  <c r="I9" i="6"/>
  <c r="J8" i="6"/>
  <c r="L8" i="6" s="1"/>
  <c r="E110" i="5"/>
  <c r="G111" i="5" s="1"/>
  <c r="H111" i="5" s="1"/>
  <c r="E111" i="5" s="1"/>
  <c r="G112" i="5" s="1"/>
  <c r="H112" i="5" s="1"/>
  <c r="E112" i="5" s="1"/>
  <c r="G113" i="5" s="1"/>
  <c r="H113" i="5" s="1"/>
  <c r="F12" i="5"/>
  <c r="F11" i="5"/>
  <c r="F10" i="5"/>
  <c r="F11" i="6" l="1"/>
  <c r="G11" i="6" s="1"/>
  <c r="E12" i="6"/>
  <c r="H10" i="6"/>
  <c r="J10" i="6" s="1"/>
  <c r="J9" i="6"/>
  <c r="L9" i="6" s="1"/>
  <c r="G49" i="5"/>
  <c r="E82" i="5"/>
  <c r="E113" i="5"/>
  <c r="G114" i="5" s="1"/>
  <c r="H114" i="5" s="1"/>
  <c r="H306" i="4"/>
  <c r="E329" i="4"/>
  <c r="C329" i="4"/>
  <c r="D329" i="4"/>
  <c r="F12" i="6" l="1"/>
  <c r="G12" i="6" s="1"/>
  <c r="K11" i="6"/>
  <c r="H11" i="6"/>
  <c r="I11" i="6"/>
  <c r="L10" i="6"/>
  <c r="E13" i="6"/>
  <c r="F50" i="5"/>
  <c r="E114" i="5"/>
  <c r="G115" i="5" s="1"/>
  <c r="H115" i="5" s="1"/>
  <c r="L313" i="4"/>
  <c r="D307" i="4"/>
  <c r="C267" i="4"/>
  <c r="C236" i="4"/>
  <c r="F13" i="6" l="1"/>
  <c r="G13" i="6" s="1"/>
  <c r="I13" i="6" s="1"/>
  <c r="E14" i="6"/>
  <c r="H12" i="6"/>
  <c r="K12" i="6"/>
  <c r="J11" i="6"/>
  <c r="L11" i="6" s="1"/>
  <c r="I12" i="6"/>
  <c r="E83" i="5"/>
  <c r="G50" i="5"/>
  <c r="E115" i="5"/>
  <c r="G116" i="5" s="1"/>
  <c r="H116" i="5" s="1"/>
  <c r="C269" i="4"/>
  <c r="C271" i="4" s="1"/>
  <c r="D278" i="4" s="1"/>
  <c r="C238" i="4"/>
  <c r="C240" i="4" s="1"/>
  <c r="C205" i="4"/>
  <c r="C175" i="4"/>
  <c r="C223" i="4" s="1"/>
  <c r="F14" i="6" l="1"/>
  <c r="G14" i="6" s="1"/>
  <c r="I14" i="6" s="1"/>
  <c r="J12" i="6"/>
  <c r="L12" i="6" s="1"/>
  <c r="E15" i="6"/>
  <c r="K13" i="6"/>
  <c r="H13" i="6"/>
  <c r="J13" i="6" s="1"/>
  <c r="F51" i="5"/>
  <c r="E116" i="5"/>
  <c r="G117" i="5" s="1"/>
  <c r="H117" i="5" s="1"/>
  <c r="C239" i="4"/>
  <c r="C270" i="4"/>
  <c r="C275" i="4" s="1"/>
  <c r="C245" i="4"/>
  <c r="F245" i="4"/>
  <c r="C191" i="4"/>
  <c r="C187" i="4"/>
  <c r="C177" i="4" s="1"/>
  <c r="C183" i="4"/>
  <c r="C181" i="4"/>
  <c r="C190" i="4"/>
  <c r="C186" i="4"/>
  <c r="C182" i="4"/>
  <c r="C212" i="4"/>
  <c r="C214" i="4"/>
  <c r="C216" i="4"/>
  <c r="C218" i="4"/>
  <c r="C220" i="4"/>
  <c r="C222" i="4"/>
  <c r="C224" i="4"/>
  <c r="C193" i="4"/>
  <c r="C189" i="4"/>
  <c r="C185" i="4"/>
  <c r="C192" i="4"/>
  <c r="C188" i="4"/>
  <c r="C184" i="4"/>
  <c r="C213" i="4"/>
  <c r="C215" i="4"/>
  <c r="C217" i="4"/>
  <c r="C219" i="4"/>
  <c r="C221" i="4"/>
  <c r="C148" i="4"/>
  <c r="D148" i="4" s="1"/>
  <c r="E148" i="4" s="1"/>
  <c r="C149" i="4"/>
  <c r="D149" i="4" s="1"/>
  <c r="E149" i="4" s="1"/>
  <c r="C150" i="4"/>
  <c r="D150" i="4" s="1"/>
  <c r="E150" i="4" s="1"/>
  <c r="C151" i="4"/>
  <c r="D151" i="4" s="1"/>
  <c r="E151" i="4" s="1"/>
  <c r="C152" i="4"/>
  <c r="D152" i="4" s="1"/>
  <c r="C153" i="4"/>
  <c r="D153" i="4" s="1"/>
  <c r="E153" i="4" s="1"/>
  <c r="J146" i="4" s="1"/>
  <c r="C154" i="4"/>
  <c r="D154" i="4" s="1"/>
  <c r="E154" i="4" s="1"/>
  <c r="C155" i="4"/>
  <c r="D155" i="4" s="1"/>
  <c r="E155" i="4" s="1"/>
  <c r="C156" i="4"/>
  <c r="D156" i="4" s="1"/>
  <c r="E156" i="4" s="1"/>
  <c r="C157" i="4"/>
  <c r="D157" i="4" s="1"/>
  <c r="E157" i="4" s="1"/>
  <c r="C147" i="4"/>
  <c r="F15" i="6" l="1"/>
  <c r="G15" i="6" s="1"/>
  <c r="I15" i="6" s="1"/>
  <c r="E16" i="6"/>
  <c r="L13" i="6"/>
  <c r="H14" i="6"/>
  <c r="J14" i="6" s="1"/>
  <c r="K14" i="6"/>
  <c r="E84" i="5"/>
  <c r="G51" i="5"/>
  <c r="E117" i="5"/>
  <c r="G118" i="5" s="1"/>
  <c r="H118" i="5" s="1"/>
  <c r="C207" i="4"/>
  <c r="E213" i="4" s="1"/>
  <c r="C209" i="4"/>
  <c r="D182" i="4"/>
  <c r="D186" i="4"/>
  <c r="D190" i="4"/>
  <c r="D181" i="4"/>
  <c r="D183" i="4"/>
  <c r="D187" i="4"/>
  <c r="D191" i="4"/>
  <c r="D184" i="4"/>
  <c r="D188" i="4"/>
  <c r="D192" i="4"/>
  <c r="D185" i="4"/>
  <c r="D189" i="4"/>
  <c r="D193" i="4"/>
  <c r="J128" i="4"/>
  <c r="J129" i="4"/>
  <c r="J130" i="4"/>
  <c r="J131" i="4"/>
  <c r="J132" i="4"/>
  <c r="J127" i="4"/>
  <c r="E132" i="4"/>
  <c r="E131" i="4"/>
  <c r="F131" i="4" s="1"/>
  <c r="G131" i="4" s="1"/>
  <c r="E130" i="4"/>
  <c r="F130" i="4" s="1"/>
  <c r="G130" i="4" s="1"/>
  <c r="E129" i="4"/>
  <c r="F129" i="4" s="1"/>
  <c r="G129" i="4" s="1"/>
  <c r="E128" i="4"/>
  <c r="E127" i="4"/>
  <c r="F119" i="4"/>
  <c r="F120" i="4"/>
  <c r="F121" i="4"/>
  <c r="F122" i="4"/>
  <c r="F123" i="4"/>
  <c r="F118" i="4"/>
  <c r="E119" i="4"/>
  <c r="E120" i="4"/>
  <c r="E121" i="4"/>
  <c r="E122" i="4"/>
  <c r="E123" i="4"/>
  <c r="E118" i="4"/>
  <c r="F224" i="4" l="1"/>
  <c r="E218" i="4"/>
  <c r="E220" i="4"/>
  <c r="D216" i="4"/>
  <c r="E215" i="4"/>
  <c r="E212" i="4"/>
  <c r="D219" i="4"/>
  <c r="E216" i="4"/>
  <c r="E223" i="4"/>
  <c r="D218" i="4"/>
  <c r="D215" i="4"/>
  <c r="E219" i="4"/>
  <c r="D212" i="4"/>
  <c r="G119" i="4"/>
  <c r="D217" i="4"/>
  <c r="G123" i="4"/>
  <c r="E222" i="4"/>
  <c r="F16" i="6"/>
  <c r="G16" i="6" s="1"/>
  <c r="I16" i="6" s="1"/>
  <c r="E17" i="6"/>
  <c r="L14" i="6"/>
  <c r="K15" i="6"/>
  <c r="H15" i="6"/>
  <c r="J15" i="6" s="1"/>
  <c r="E224" i="4"/>
  <c r="D221" i="4"/>
  <c r="E214" i="4"/>
  <c r="D214" i="4"/>
  <c r="E221" i="4"/>
  <c r="F52" i="5"/>
  <c r="E118" i="5"/>
  <c r="G119" i="5" s="1"/>
  <c r="H119" i="5" s="1"/>
  <c r="F216" i="4"/>
  <c r="D223" i="4"/>
  <c r="F220" i="4"/>
  <c r="D213" i="4"/>
  <c r="F223" i="4"/>
  <c r="D222" i="4"/>
  <c r="D224" i="4"/>
  <c r="F222" i="4"/>
  <c r="F214" i="4"/>
  <c r="F212" i="4"/>
  <c r="F221" i="4"/>
  <c r="F219" i="4"/>
  <c r="F218" i="4"/>
  <c r="F215" i="4"/>
  <c r="F217" i="4"/>
  <c r="D220" i="4"/>
  <c r="E217" i="4"/>
  <c r="G118" i="4"/>
  <c r="G120" i="4"/>
  <c r="G122" i="4"/>
  <c r="F127" i="4"/>
  <c r="G127" i="4" s="1"/>
  <c r="F213" i="4"/>
  <c r="G121" i="4"/>
  <c r="F128" i="4"/>
  <c r="G128" i="4" s="1"/>
  <c r="F132" i="4"/>
  <c r="G132" i="4" s="1"/>
  <c r="C11" i="4"/>
  <c r="D11" i="4"/>
  <c r="E11" i="4"/>
  <c r="F11" i="4"/>
  <c r="G11" i="4"/>
  <c r="H11" i="4"/>
  <c r="I11" i="4"/>
  <c r="J11" i="4"/>
  <c r="K11" i="4"/>
  <c r="L11" i="4"/>
  <c r="M11" i="4"/>
  <c r="C12" i="4"/>
  <c r="D12" i="4"/>
  <c r="E12" i="4"/>
  <c r="F12" i="4"/>
  <c r="G12" i="4"/>
  <c r="H12" i="4"/>
  <c r="I12" i="4"/>
  <c r="J12" i="4"/>
  <c r="K12" i="4"/>
  <c r="L12" i="4"/>
  <c r="M12" i="4"/>
  <c r="C13" i="4"/>
  <c r="D13" i="4"/>
  <c r="E13" i="4"/>
  <c r="F13" i="4"/>
  <c r="G13" i="4"/>
  <c r="H13" i="4"/>
  <c r="I13" i="4"/>
  <c r="J13" i="4"/>
  <c r="K13" i="4"/>
  <c r="L13" i="4"/>
  <c r="M13" i="4"/>
  <c r="C14" i="4"/>
  <c r="D14" i="4"/>
  <c r="E14" i="4"/>
  <c r="F14" i="4"/>
  <c r="G14" i="4"/>
  <c r="H14" i="4"/>
  <c r="I14" i="4"/>
  <c r="J14" i="4"/>
  <c r="K14" i="4"/>
  <c r="L14" i="4"/>
  <c r="M14" i="4"/>
  <c r="C15" i="4"/>
  <c r="D15" i="4"/>
  <c r="E15" i="4"/>
  <c r="F15" i="4"/>
  <c r="G15" i="4"/>
  <c r="H15" i="4"/>
  <c r="I15" i="4"/>
  <c r="J15" i="4"/>
  <c r="K15" i="4"/>
  <c r="L15" i="4"/>
  <c r="M15" i="4"/>
  <c r="C16" i="4"/>
  <c r="D16" i="4"/>
  <c r="E16" i="4"/>
  <c r="F16" i="4"/>
  <c r="G16" i="4"/>
  <c r="H16" i="4"/>
  <c r="I16" i="4"/>
  <c r="J16" i="4"/>
  <c r="K16" i="4"/>
  <c r="L16" i="4"/>
  <c r="M16" i="4"/>
  <c r="C17" i="4"/>
  <c r="D17" i="4"/>
  <c r="E17" i="4"/>
  <c r="F17" i="4"/>
  <c r="G17" i="4"/>
  <c r="H17" i="4"/>
  <c r="I17" i="4"/>
  <c r="J17" i="4"/>
  <c r="K17" i="4"/>
  <c r="L17" i="4"/>
  <c r="M17" i="4"/>
  <c r="C18" i="4"/>
  <c r="D18" i="4"/>
  <c r="E18" i="4"/>
  <c r="F18" i="4"/>
  <c r="G18" i="4"/>
  <c r="H18" i="4"/>
  <c r="I18" i="4"/>
  <c r="J18" i="4"/>
  <c r="K18" i="4"/>
  <c r="L18" i="4"/>
  <c r="M18" i="4"/>
  <c r="C19" i="4"/>
  <c r="D19" i="4"/>
  <c r="E19" i="4"/>
  <c r="F19" i="4"/>
  <c r="G19" i="4"/>
  <c r="H19" i="4"/>
  <c r="I19" i="4"/>
  <c r="J19" i="4"/>
  <c r="K19" i="4"/>
  <c r="L19" i="4"/>
  <c r="M19" i="4"/>
  <c r="C20" i="4"/>
  <c r="D20" i="4"/>
  <c r="E20" i="4"/>
  <c r="F20" i="4"/>
  <c r="G20" i="4"/>
  <c r="H20" i="4"/>
  <c r="I20" i="4"/>
  <c r="J20" i="4"/>
  <c r="K20" i="4"/>
  <c r="L20" i="4"/>
  <c r="M20" i="4"/>
  <c r="C21" i="4"/>
  <c r="D21" i="4"/>
  <c r="E21" i="4"/>
  <c r="F21" i="4"/>
  <c r="G21" i="4"/>
  <c r="H21" i="4"/>
  <c r="I21" i="4"/>
  <c r="J21" i="4"/>
  <c r="K21" i="4"/>
  <c r="L21" i="4"/>
  <c r="M21" i="4"/>
  <c r="C22" i="4"/>
  <c r="D22" i="4"/>
  <c r="E22" i="4"/>
  <c r="F22" i="4"/>
  <c r="G22" i="4"/>
  <c r="H22" i="4"/>
  <c r="I22" i="4"/>
  <c r="J22" i="4"/>
  <c r="K22" i="4"/>
  <c r="L22" i="4"/>
  <c r="M22" i="4"/>
  <c r="D10" i="4"/>
  <c r="E10" i="4"/>
  <c r="F10" i="4"/>
  <c r="G10" i="4"/>
  <c r="H10" i="4"/>
  <c r="I10" i="4"/>
  <c r="J10" i="4"/>
  <c r="K10" i="4"/>
  <c r="L10" i="4"/>
  <c r="M10" i="4"/>
  <c r="C10" i="4"/>
  <c r="C52" i="4"/>
  <c r="D52" i="4"/>
  <c r="E52" i="4"/>
  <c r="F52" i="4"/>
  <c r="G52" i="4"/>
  <c r="H52" i="4"/>
  <c r="I52" i="4"/>
  <c r="J52" i="4"/>
  <c r="K52" i="4"/>
  <c r="C53" i="4"/>
  <c r="D53" i="4"/>
  <c r="E53" i="4"/>
  <c r="F53" i="4"/>
  <c r="G53" i="4"/>
  <c r="H53" i="4"/>
  <c r="I53" i="4"/>
  <c r="J53" i="4"/>
  <c r="K53" i="4"/>
  <c r="C54" i="4"/>
  <c r="D54" i="4"/>
  <c r="E54" i="4"/>
  <c r="F54" i="4"/>
  <c r="G54" i="4"/>
  <c r="H54" i="4"/>
  <c r="I54" i="4"/>
  <c r="J54" i="4"/>
  <c r="K54" i="4"/>
  <c r="C55" i="4"/>
  <c r="D55" i="4"/>
  <c r="E55" i="4"/>
  <c r="F55" i="4"/>
  <c r="G55" i="4"/>
  <c r="H55" i="4"/>
  <c r="I55" i="4"/>
  <c r="J55" i="4"/>
  <c r="K55" i="4"/>
  <c r="C56" i="4"/>
  <c r="D56" i="4"/>
  <c r="E56" i="4"/>
  <c r="F56" i="4"/>
  <c r="G56" i="4"/>
  <c r="H56" i="4"/>
  <c r="I56" i="4"/>
  <c r="J56" i="4"/>
  <c r="K56" i="4"/>
  <c r="C57" i="4"/>
  <c r="D57" i="4"/>
  <c r="E57" i="4"/>
  <c r="F57" i="4"/>
  <c r="F75" i="4" s="1"/>
  <c r="G57" i="4"/>
  <c r="H57" i="4"/>
  <c r="I57" i="4"/>
  <c r="J57" i="4"/>
  <c r="J75" i="4" s="1"/>
  <c r="K57" i="4"/>
  <c r="C58" i="4"/>
  <c r="D58" i="4"/>
  <c r="E58" i="4"/>
  <c r="F58" i="4"/>
  <c r="G58" i="4"/>
  <c r="H58" i="4"/>
  <c r="I58" i="4"/>
  <c r="J58" i="4"/>
  <c r="K58" i="4"/>
  <c r="C59" i="4"/>
  <c r="D59" i="4"/>
  <c r="D77" i="4" s="1"/>
  <c r="E59" i="4"/>
  <c r="F59" i="4"/>
  <c r="G59" i="4"/>
  <c r="H59" i="4"/>
  <c r="I59" i="4"/>
  <c r="J59" i="4"/>
  <c r="K59" i="4"/>
  <c r="C60" i="4"/>
  <c r="D60" i="4"/>
  <c r="E60" i="4"/>
  <c r="F60" i="4"/>
  <c r="G60" i="4"/>
  <c r="H60" i="4"/>
  <c r="I60" i="4"/>
  <c r="J60" i="4"/>
  <c r="K60" i="4"/>
  <c r="C61" i="4"/>
  <c r="D61" i="4"/>
  <c r="E61" i="4"/>
  <c r="F61" i="4"/>
  <c r="G61" i="4"/>
  <c r="H61" i="4"/>
  <c r="I61" i="4"/>
  <c r="J61" i="4"/>
  <c r="J79" i="4" s="1"/>
  <c r="K61" i="4"/>
  <c r="C62" i="4"/>
  <c r="D62" i="4"/>
  <c r="E62" i="4"/>
  <c r="F62" i="4"/>
  <c r="G62" i="4"/>
  <c r="H62" i="4"/>
  <c r="I62" i="4"/>
  <c r="J62" i="4"/>
  <c r="K62" i="4"/>
  <c r="C63" i="4"/>
  <c r="D63" i="4"/>
  <c r="E63" i="4"/>
  <c r="F63" i="4"/>
  <c r="G63" i="4"/>
  <c r="H63" i="4"/>
  <c r="I63" i="4"/>
  <c r="J63" i="4"/>
  <c r="K63" i="4"/>
  <c r="D51" i="4"/>
  <c r="E51" i="4"/>
  <c r="F51" i="4"/>
  <c r="G51" i="4"/>
  <c r="H51" i="4"/>
  <c r="I51" i="4"/>
  <c r="J51" i="4"/>
  <c r="K51" i="4"/>
  <c r="C51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29" i="4"/>
  <c r="B30" i="4"/>
  <c r="B31" i="4"/>
  <c r="B32" i="4"/>
  <c r="B33" i="4"/>
  <c r="B34" i="4"/>
  <c r="B35" i="4"/>
  <c r="B36" i="4"/>
  <c r="B37" i="4"/>
  <c r="B38" i="4"/>
  <c r="B39" i="4"/>
  <c r="B40" i="4"/>
  <c r="B28" i="4"/>
  <c r="H73" i="4" l="1"/>
  <c r="H69" i="4"/>
  <c r="D102" i="4"/>
  <c r="C95" i="4"/>
  <c r="H98" i="4"/>
  <c r="D73" i="4"/>
  <c r="K103" i="4"/>
  <c r="J96" i="4"/>
  <c r="H81" i="4"/>
  <c r="K92" i="4"/>
  <c r="D69" i="4"/>
  <c r="F100" i="4"/>
  <c r="D81" i="4"/>
  <c r="F79" i="4"/>
  <c r="H77" i="4"/>
  <c r="G92" i="4"/>
  <c r="G103" i="4"/>
  <c r="C103" i="4"/>
  <c r="E101" i="4"/>
  <c r="G99" i="4"/>
  <c r="K95" i="4"/>
  <c r="D94" i="4"/>
  <c r="F17" i="6"/>
  <c r="G17" i="6" s="1"/>
  <c r="I17" i="6" s="1"/>
  <c r="L15" i="6"/>
  <c r="E18" i="6"/>
  <c r="K16" i="6"/>
  <c r="H16" i="6"/>
  <c r="J16" i="6" s="1"/>
  <c r="G52" i="5"/>
  <c r="E85" i="5"/>
  <c r="E119" i="5"/>
  <c r="G120" i="5" s="1"/>
  <c r="H120" i="5" s="1"/>
  <c r="I69" i="4"/>
  <c r="E69" i="4"/>
  <c r="I103" i="4"/>
  <c r="E103" i="4"/>
  <c r="J102" i="4"/>
  <c r="F102" i="4"/>
  <c r="K101" i="4"/>
  <c r="G101" i="4"/>
  <c r="C101" i="4"/>
  <c r="H100" i="4"/>
  <c r="D100" i="4"/>
  <c r="I99" i="4"/>
  <c r="E99" i="4"/>
  <c r="J98" i="4"/>
  <c r="F98" i="4"/>
  <c r="K97" i="4"/>
  <c r="G97" i="4"/>
  <c r="C97" i="4"/>
  <c r="H96" i="4"/>
  <c r="D96" i="4"/>
  <c r="I95" i="4"/>
  <c r="E95" i="4"/>
  <c r="J94" i="4"/>
  <c r="F94" i="4"/>
  <c r="K93" i="4"/>
  <c r="G93" i="4"/>
  <c r="C93" i="4"/>
  <c r="H70" i="4"/>
  <c r="D70" i="4"/>
  <c r="K78" i="4"/>
  <c r="G78" i="4"/>
  <c r="C78" i="4"/>
  <c r="G74" i="4"/>
  <c r="C74" i="4"/>
  <c r="J71" i="4"/>
  <c r="F71" i="4"/>
  <c r="C92" i="4"/>
  <c r="K74" i="4"/>
  <c r="G70" i="4"/>
  <c r="C70" i="4"/>
  <c r="G69" i="4"/>
  <c r="H103" i="4"/>
  <c r="I102" i="4"/>
  <c r="J101" i="4"/>
  <c r="K100" i="4"/>
  <c r="C100" i="4"/>
  <c r="D99" i="4"/>
  <c r="I72" i="4"/>
  <c r="E98" i="4"/>
  <c r="F97" i="4"/>
  <c r="G96" i="4"/>
  <c r="H95" i="4"/>
  <c r="I94" i="4"/>
  <c r="E94" i="4"/>
  <c r="J92" i="4"/>
  <c r="F92" i="4"/>
  <c r="C69" i="4"/>
  <c r="H92" i="4"/>
  <c r="K69" i="4"/>
  <c r="J69" i="4"/>
  <c r="F69" i="4"/>
  <c r="J103" i="4"/>
  <c r="F103" i="4"/>
  <c r="K102" i="4"/>
  <c r="G102" i="4"/>
  <c r="C102" i="4"/>
  <c r="H101" i="4"/>
  <c r="D101" i="4"/>
  <c r="I100" i="4"/>
  <c r="E100" i="4"/>
  <c r="J99" i="4"/>
  <c r="F99" i="4"/>
  <c r="K98" i="4"/>
  <c r="G98" i="4"/>
  <c r="C98" i="4"/>
  <c r="H97" i="4"/>
  <c r="D97" i="4"/>
  <c r="I96" i="4"/>
  <c r="E96" i="4"/>
  <c r="J95" i="4"/>
  <c r="F95" i="4"/>
  <c r="K94" i="4"/>
  <c r="G94" i="4"/>
  <c r="C94" i="4"/>
  <c r="H93" i="4"/>
  <c r="D93" i="4"/>
  <c r="I92" i="4"/>
  <c r="E92" i="4"/>
  <c r="K70" i="4"/>
  <c r="D92" i="4"/>
  <c r="I80" i="4"/>
  <c r="E80" i="4"/>
  <c r="I76" i="4"/>
  <c r="E76" i="4"/>
  <c r="D103" i="4"/>
  <c r="E102" i="4"/>
  <c r="F101" i="4"/>
  <c r="G100" i="4"/>
  <c r="H99" i="4"/>
  <c r="I98" i="4"/>
  <c r="J97" i="4"/>
  <c r="K96" i="4"/>
  <c r="C96" i="4"/>
  <c r="D95" i="4"/>
  <c r="J93" i="4"/>
  <c r="K81" i="4"/>
  <c r="G81" i="4"/>
  <c r="C81" i="4"/>
  <c r="H80" i="4"/>
  <c r="D80" i="4"/>
  <c r="I79" i="4"/>
  <c r="E79" i="4"/>
  <c r="J78" i="4"/>
  <c r="F78" i="4"/>
  <c r="K77" i="4"/>
  <c r="G77" i="4"/>
  <c r="C77" i="4"/>
  <c r="H76" i="4"/>
  <c r="D76" i="4"/>
  <c r="I75" i="4"/>
  <c r="E75" i="4"/>
  <c r="J74" i="4"/>
  <c r="F74" i="4"/>
  <c r="K73" i="4"/>
  <c r="G73" i="4"/>
  <c r="C73" i="4"/>
  <c r="H72" i="4"/>
  <c r="D72" i="4"/>
  <c r="I71" i="4"/>
  <c r="E71" i="4"/>
  <c r="J70" i="4"/>
  <c r="F70" i="4"/>
  <c r="H102" i="4"/>
  <c r="I101" i="4"/>
  <c r="J100" i="4"/>
  <c r="K99" i="4"/>
  <c r="C99" i="4"/>
  <c r="D98" i="4"/>
  <c r="I97" i="4"/>
  <c r="E97" i="4"/>
  <c r="F96" i="4"/>
  <c r="G95" i="4"/>
  <c r="H94" i="4"/>
  <c r="I93" i="4"/>
  <c r="E93" i="4"/>
  <c r="E72" i="4"/>
  <c r="F93" i="4"/>
  <c r="J81" i="4"/>
  <c r="F81" i="4"/>
  <c r="K80" i="4"/>
  <c r="G80" i="4"/>
  <c r="C80" i="4"/>
  <c r="H79" i="4"/>
  <c r="D79" i="4"/>
  <c r="I78" i="4"/>
  <c r="E78" i="4"/>
  <c r="J77" i="4"/>
  <c r="F77" i="4"/>
  <c r="K76" i="4"/>
  <c r="G76" i="4"/>
  <c r="C76" i="4"/>
  <c r="H75" i="4"/>
  <c r="D75" i="4"/>
  <c r="I74" i="4"/>
  <c r="E74" i="4"/>
  <c r="J73" i="4"/>
  <c r="F73" i="4"/>
  <c r="K72" i="4"/>
  <c r="G72" i="4"/>
  <c r="C72" i="4"/>
  <c r="H71" i="4"/>
  <c r="D71" i="4"/>
  <c r="I70" i="4"/>
  <c r="E70" i="4"/>
  <c r="I81" i="4"/>
  <c r="E81" i="4"/>
  <c r="J80" i="4"/>
  <c r="F80" i="4"/>
  <c r="K79" i="4"/>
  <c r="G79" i="4"/>
  <c r="C79" i="4"/>
  <c r="H78" i="4"/>
  <c r="D78" i="4"/>
  <c r="I77" i="4"/>
  <c r="E77" i="4"/>
  <c r="J76" i="4"/>
  <c r="F76" i="4"/>
  <c r="K75" i="4"/>
  <c r="G75" i="4"/>
  <c r="C75" i="4"/>
  <c r="H74" i="4"/>
  <c r="D74" i="4"/>
  <c r="I73" i="4"/>
  <c r="E73" i="4"/>
  <c r="J72" i="4"/>
  <c r="F72" i="4"/>
  <c r="K71" i="4"/>
  <c r="G71" i="4"/>
  <c r="C71" i="4"/>
  <c r="C29" i="4"/>
  <c r="D29" i="4"/>
  <c r="E29" i="4"/>
  <c r="F29" i="4"/>
  <c r="G29" i="4"/>
  <c r="H29" i="4"/>
  <c r="I29" i="4"/>
  <c r="J29" i="4"/>
  <c r="K29" i="4"/>
  <c r="L29" i="4"/>
  <c r="M29" i="4"/>
  <c r="C30" i="4"/>
  <c r="D30" i="4"/>
  <c r="E30" i="4"/>
  <c r="F30" i="4"/>
  <c r="G30" i="4"/>
  <c r="H30" i="4"/>
  <c r="I30" i="4"/>
  <c r="J30" i="4"/>
  <c r="K30" i="4"/>
  <c r="L30" i="4"/>
  <c r="M30" i="4"/>
  <c r="C31" i="4"/>
  <c r="D31" i="4"/>
  <c r="E31" i="4"/>
  <c r="F31" i="4"/>
  <c r="G31" i="4"/>
  <c r="H31" i="4"/>
  <c r="I31" i="4"/>
  <c r="J31" i="4"/>
  <c r="K31" i="4"/>
  <c r="L31" i="4"/>
  <c r="M31" i="4"/>
  <c r="C32" i="4"/>
  <c r="D32" i="4"/>
  <c r="E32" i="4"/>
  <c r="F32" i="4"/>
  <c r="G32" i="4"/>
  <c r="H32" i="4"/>
  <c r="I32" i="4"/>
  <c r="J32" i="4"/>
  <c r="K32" i="4"/>
  <c r="L32" i="4"/>
  <c r="M32" i="4"/>
  <c r="C33" i="4"/>
  <c r="D33" i="4"/>
  <c r="E33" i="4"/>
  <c r="F33" i="4"/>
  <c r="G33" i="4"/>
  <c r="H33" i="4"/>
  <c r="I33" i="4"/>
  <c r="J33" i="4"/>
  <c r="K33" i="4"/>
  <c r="L33" i="4"/>
  <c r="M33" i="4"/>
  <c r="C34" i="4"/>
  <c r="D34" i="4"/>
  <c r="E34" i="4"/>
  <c r="F34" i="4"/>
  <c r="G34" i="4"/>
  <c r="H34" i="4"/>
  <c r="I34" i="4"/>
  <c r="J34" i="4"/>
  <c r="K34" i="4"/>
  <c r="L34" i="4"/>
  <c r="M34" i="4"/>
  <c r="C35" i="4"/>
  <c r="D35" i="4"/>
  <c r="E35" i="4"/>
  <c r="F35" i="4"/>
  <c r="G35" i="4"/>
  <c r="H35" i="4"/>
  <c r="I35" i="4"/>
  <c r="J35" i="4"/>
  <c r="K35" i="4"/>
  <c r="L35" i="4"/>
  <c r="M35" i="4"/>
  <c r="C36" i="4"/>
  <c r="D36" i="4"/>
  <c r="E36" i="4"/>
  <c r="F36" i="4"/>
  <c r="G36" i="4"/>
  <c r="H36" i="4"/>
  <c r="I36" i="4"/>
  <c r="J36" i="4"/>
  <c r="K36" i="4"/>
  <c r="L36" i="4"/>
  <c r="M36" i="4"/>
  <c r="C37" i="4"/>
  <c r="D37" i="4"/>
  <c r="E37" i="4"/>
  <c r="F37" i="4"/>
  <c r="G37" i="4"/>
  <c r="H37" i="4"/>
  <c r="I37" i="4"/>
  <c r="J37" i="4"/>
  <c r="K37" i="4"/>
  <c r="L37" i="4"/>
  <c r="M37" i="4"/>
  <c r="C38" i="4"/>
  <c r="D38" i="4"/>
  <c r="E38" i="4"/>
  <c r="F38" i="4"/>
  <c r="G38" i="4"/>
  <c r="H38" i="4"/>
  <c r="I38" i="4"/>
  <c r="J38" i="4"/>
  <c r="K38" i="4"/>
  <c r="L38" i="4"/>
  <c r="M38" i="4"/>
  <c r="C39" i="4"/>
  <c r="D39" i="4"/>
  <c r="E39" i="4"/>
  <c r="F39" i="4"/>
  <c r="G39" i="4"/>
  <c r="H39" i="4"/>
  <c r="I39" i="4"/>
  <c r="J39" i="4"/>
  <c r="K39" i="4"/>
  <c r="L39" i="4"/>
  <c r="M39" i="4"/>
  <c r="C40" i="4"/>
  <c r="D40" i="4"/>
  <c r="E40" i="4"/>
  <c r="F40" i="4"/>
  <c r="G40" i="4"/>
  <c r="H40" i="4"/>
  <c r="I40" i="4"/>
  <c r="J40" i="4"/>
  <c r="K40" i="4"/>
  <c r="L40" i="4"/>
  <c r="M40" i="4"/>
  <c r="D28" i="4"/>
  <c r="E28" i="4"/>
  <c r="F28" i="4"/>
  <c r="G28" i="4"/>
  <c r="H28" i="4"/>
  <c r="I28" i="4"/>
  <c r="J28" i="4"/>
  <c r="K28" i="4"/>
  <c r="L28" i="4"/>
  <c r="M28" i="4"/>
  <c r="C28" i="4"/>
  <c r="F18" i="6" l="1"/>
  <c r="G18" i="6" s="1"/>
  <c r="I18" i="6" s="1"/>
  <c r="E19" i="6"/>
  <c r="L16" i="6"/>
  <c r="K17" i="6"/>
  <c r="H17" i="6"/>
  <c r="J17" i="6" s="1"/>
  <c r="F53" i="5"/>
  <c r="E120" i="5"/>
  <c r="G121" i="5" s="1"/>
  <c r="H121" i="5" s="1"/>
  <c r="H328" i="3"/>
  <c r="I328" i="3" s="1"/>
  <c r="H316" i="3"/>
  <c r="I316" i="3" s="1"/>
  <c r="H317" i="3"/>
  <c r="I317" i="3" s="1"/>
  <c r="H318" i="3"/>
  <c r="I318" i="3" s="1"/>
  <c r="H319" i="3"/>
  <c r="I319" i="3" s="1"/>
  <c r="H320" i="3"/>
  <c r="I320" i="3" s="1"/>
  <c r="H321" i="3"/>
  <c r="I321" i="3" s="1"/>
  <c r="H322" i="3"/>
  <c r="I322" i="3" s="1"/>
  <c r="H323" i="3"/>
  <c r="I323" i="3" s="1"/>
  <c r="H324" i="3"/>
  <c r="I324" i="3" s="1"/>
  <c r="H325" i="3"/>
  <c r="I325" i="3" s="1"/>
  <c r="H326" i="3"/>
  <c r="I326" i="3" s="1"/>
  <c r="H327" i="3"/>
  <c r="I327" i="3" s="1"/>
  <c r="H315" i="3"/>
  <c r="I315" i="3" s="1"/>
  <c r="C316" i="3"/>
  <c r="D316" i="3" s="1"/>
  <c r="C317" i="3"/>
  <c r="D317" i="3" s="1"/>
  <c r="C318" i="3"/>
  <c r="D318" i="3" s="1"/>
  <c r="C319" i="3"/>
  <c r="D319" i="3" s="1"/>
  <c r="C320" i="3"/>
  <c r="D320" i="3" s="1"/>
  <c r="C321" i="3"/>
  <c r="D321" i="3" s="1"/>
  <c r="C322" i="3"/>
  <c r="D322" i="3" s="1"/>
  <c r="C323" i="3"/>
  <c r="D323" i="3" s="1"/>
  <c r="C324" i="3"/>
  <c r="D324" i="3" s="1"/>
  <c r="C325" i="3"/>
  <c r="D325" i="3" s="1"/>
  <c r="C326" i="3"/>
  <c r="D326" i="3" s="1"/>
  <c r="C315" i="3"/>
  <c r="D315" i="3" s="1"/>
  <c r="I281" i="3"/>
  <c r="J281" i="3" s="1"/>
  <c r="K281" i="3" s="1"/>
  <c r="I282" i="3"/>
  <c r="J282" i="3" s="1"/>
  <c r="K282" i="3" s="1"/>
  <c r="I283" i="3"/>
  <c r="J283" i="3" s="1"/>
  <c r="K283" i="3" s="1"/>
  <c r="I284" i="3"/>
  <c r="J284" i="3" s="1"/>
  <c r="K284" i="3" s="1"/>
  <c r="I285" i="3"/>
  <c r="J285" i="3" s="1"/>
  <c r="K285" i="3" s="1"/>
  <c r="I286" i="3"/>
  <c r="J286" i="3" s="1"/>
  <c r="K286" i="3" s="1"/>
  <c r="I287" i="3"/>
  <c r="J287" i="3" s="1"/>
  <c r="K287" i="3" s="1"/>
  <c r="I288" i="3"/>
  <c r="J288" i="3" s="1"/>
  <c r="K288" i="3" s="1"/>
  <c r="I289" i="3"/>
  <c r="J289" i="3" s="1"/>
  <c r="K289" i="3" s="1"/>
  <c r="I290" i="3"/>
  <c r="J290" i="3" s="1"/>
  <c r="K290" i="3" s="1"/>
  <c r="I262" i="3"/>
  <c r="I263" i="3"/>
  <c r="J263" i="3" s="1"/>
  <c r="K263" i="3" s="1"/>
  <c r="I264" i="3"/>
  <c r="J264" i="3" s="1"/>
  <c r="K264" i="3" s="1"/>
  <c r="I265" i="3"/>
  <c r="J265" i="3" s="1"/>
  <c r="K265" i="3" s="1"/>
  <c r="I266" i="3"/>
  <c r="J266" i="3" s="1"/>
  <c r="K266" i="3" s="1"/>
  <c r="I267" i="3"/>
  <c r="I268" i="3"/>
  <c r="I269" i="3"/>
  <c r="I270" i="3"/>
  <c r="I271" i="3"/>
  <c r="I272" i="3"/>
  <c r="I273" i="3"/>
  <c r="I274" i="3"/>
  <c r="I275" i="3"/>
  <c r="J275" i="3" s="1"/>
  <c r="K275" i="3" s="1"/>
  <c r="I276" i="3"/>
  <c r="I277" i="3"/>
  <c r="I278" i="3"/>
  <c r="I279" i="3"/>
  <c r="J279" i="3" s="1"/>
  <c r="K279" i="3" s="1"/>
  <c r="I280" i="3"/>
  <c r="J280" i="3" s="1"/>
  <c r="K280" i="3" s="1"/>
  <c r="I261" i="3"/>
  <c r="J261" i="3" s="1"/>
  <c r="K261" i="3" s="1"/>
  <c r="J262" i="3"/>
  <c r="K262" i="3" s="1"/>
  <c r="J267" i="3"/>
  <c r="K267" i="3" s="1"/>
  <c r="J268" i="3"/>
  <c r="K268" i="3" s="1"/>
  <c r="J269" i="3"/>
  <c r="K269" i="3" s="1"/>
  <c r="J270" i="3"/>
  <c r="K270" i="3" s="1"/>
  <c r="J271" i="3"/>
  <c r="K271" i="3" s="1"/>
  <c r="J272" i="3"/>
  <c r="K272" i="3" s="1"/>
  <c r="J273" i="3"/>
  <c r="K273" i="3" s="1"/>
  <c r="J274" i="3"/>
  <c r="K274" i="3" s="1"/>
  <c r="J276" i="3"/>
  <c r="K276" i="3" s="1"/>
  <c r="J277" i="3"/>
  <c r="K277" i="3" s="1"/>
  <c r="J278" i="3"/>
  <c r="K278" i="3" s="1"/>
  <c r="F19" i="6" l="1"/>
  <c r="G19" i="6" s="1"/>
  <c r="I19" i="6" s="1"/>
  <c r="L17" i="6"/>
  <c r="E20" i="6"/>
  <c r="K18" i="6"/>
  <c r="H18" i="6"/>
  <c r="J18" i="6" s="1"/>
  <c r="G53" i="5"/>
  <c r="E86" i="5"/>
  <c r="E121" i="5"/>
  <c r="G122" i="5" s="1"/>
  <c r="H122" i="5" s="1"/>
  <c r="D327" i="3"/>
  <c r="I329" i="3"/>
  <c r="C262" i="3"/>
  <c r="E262" i="3" s="1"/>
  <c r="C263" i="3"/>
  <c r="E263" i="3" s="1"/>
  <c r="C264" i="3"/>
  <c r="E264" i="3" s="1"/>
  <c r="C265" i="3"/>
  <c r="E265" i="3" s="1"/>
  <c r="C266" i="3"/>
  <c r="E266" i="3" s="1"/>
  <c r="C267" i="3"/>
  <c r="E267" i="3" s="1"/>
  <c r="C268" i="3"/>
  <c r="E268" i="3" s="1"/>
  <c r="C269" i="3"/>
  <c r="E269" i="3" s="1"/>
  <c r="C270" i="3"/>
  <c r="E270" i="3" s="1"/>
  <c r="C271" i="3"/>
  <c r="E271" i="3" s="1"/>
  <c r="C272" i="3"/>
  <c r="E272" i="3" s="1"/>
  <c r="C273" i="3"/>
  <c r="E273" i="3" s="1"/>
  <c r="C274" i="3"/>
  <c r="E274" i="3" s="1"/>
  <c r="C275" i="3"/>
  <c r="E275" i="3" s="1"/>
  <c r="C276" i="3"/>
  <c r="E276" i="3" s="1"/>
  <c r="C277" i="3"/>
  <c r="E277" i="3" s="1"/>
  <c r="C278" i="3"/>
  <c r="E278" i="3" s="1"/>
  <c r="C279" i="3"/>
  <c r="E279" i="3" s="1"/>
  <c r="C280" i="3"/>
  <c r="E280" i="3" s="1"/>
  <c r="C281" i="3"/>
  <c r="E281" i="3" s="1"/>
  <c r="C282" i="3"/>
  <c r="E282" i="3" s="1"/>
  <c r="C283" i="3"/>
  <c r="E283" i="3" s="1"/>
  <c r="C284" i="3"/>
  <c r="E284" i="3" s="1"/>
  <c r="C285" i="3"/>
  <c r="E285" i="3" s="1"/>
  <c r="C286" i="3"/>
  <c r="E286" i="3" s="1"/>
  <c r="C287" i="3"/>
  <c r="E287" i="3" s="1"/>
  <c r="C288" i="3"/>
  <c r="E288" i="3" s="1"/>
  <c r="C289" i="3"/>
  <c r="E289" i="3" s="1"/>
  <c r="C290" i="3"/>
  <c r="E290" i="3" s="1"/>
  <c r="C261" i="3"/>
  <c r="E261" i="3" s="1"/>
  <c r="F20" i="6" l="1"/>
  <c r="G20" i="6" s="1"/>
  <c r="I20" i="6" s="1"/>
  <c r="E21" i="6"/>
  <c r="L18" i="6"/>
  <c r="K19" i="6"/>
  <c r="H19" i="6"/>
  <c r="J19" i="6" s="1"/>
  <c r="D265" i="3"/>
  <c r="D281" i="3"/>
  <c r="C309" i="3"/>
  <c r="C310" i="3" s="1"/>
  <c r="F54" i="5"/>
  <c r="E122" i="5"/>
  <c r="G123" i="5" s="1"/>
  <c r="H123" i="5" s="1"/>
  <c r="D278" i="3"/>
  <c r="D262" i="3"/>
  <c r="D289" i="3"/>
  <c r="D273" i="3"/>
  <c r="D286" i="3"/>
  <c r="D270" i="3"/>
  <c r="E291" i="3"/>
  <c r="F292" i="3" s="1"/>
  <c r="D285" i="3"/>
  <c r="D277" i="3"/>
  <c r="D269" i="3"/>
  <c r="D290" i="3"/>
  <c r="D282" i="3"/>
  <c r="D274" i="3"/>
  <c r="D266" i="3"/>
  <c r="D288" i="3"/>
  <c r="D284" i="3"/>
  <c r="D280" i="3"/>
  <c r="D276" i="3"/>
  <c r="D272" i="3"/>
  <c r="D268" i="3"/>
  <c r="D264" i="3"/>
  <c r="D261" i="3"/>
  <c r="D287" i="3"/>
  <c r="D283" i="3"/>
  <c r="D279" i="3"/>
  <c r="D275" i="3"/>
  <c r="D271" i="3"/>
  <c r="D267" i="3"/>
  <c r="D263" i="3"/>
  <c r="C214" i="3"/>
  <c r="C215" i="3"/>
  <c r="C216" i="3"/>
  <c r="C217" i="3"/>
  <c r="C218" i="3"/>
  <c r="C219" i="3"/>
  <c r="C220" i="3"/>
  <c r="C221" i="3"/>
  <c r="C222" i="3"/>
  <c r="C223" i="3"/>
  <c r="C224" i="3"/>
  <c r="C213" i="3"/>
  <c r="D213" i="3" s="1"/>
  <c r="K213" i="3" s="1"/>
  <c r="C179" i="3"/>
  <c r="E189" i="3"/>
  <c r="D197" i="3"/>
  <c r="F197" i="3" s="1"/>
  <c r="G197" i="3" s="1"/>
  <c r="C193" i="3"/>
  <c r="E185" i="3"/>
  <c r="E186" i="3"/>
  <c r="E187" i="3"/>
  <c r="E188" i="3"/>
  <c r="D185" i="3"/>
  <c r="D186" i="3"/>
  <c r="D187" i="3"/>
  <c r="D188" i="3"/>
  <c r="D189" i="3"/>
  <c r="D190" i="3"/>
  <c r="D191" i="3"/>
  <c r="D192" i="3"/>
  <c r="D193" i="3"/>
  <c r="D194" i="3"/>
  <c r="F194" i="3" s="1"/>
  <c r="G194" i="3" s="1"/>
  <c r="D195" i="3"/>
  <c r="F195" i="3" s="1"/>
  <c r="G195" i="3" s="1"/>
  <c r="D196" i="3"/>
  <c r="F196" i="3" s="1"/>
  <c r="G196" i="3" s="1"/>
  <c r="C185" i="3"/>
  <c r="C186" i="3"/>
  <c r="C187" i="3"/>
  <c r="C188" i="3"/>
  <c r="C189" i="3"/>
  <c r="C190" i="3"/>
  <c r="F190" i="3" s="1"/>
  <c r="G190" i="3" s="1"/>
  <c r="C191" i="3"/>
  <c r="F191" i="3" s="1"/>
  <c r="G191" i="3" s="1"/>
  <c r="C192" i="3"/>
  <c r="F192" i="3" s="1"/>
  <c r="G192" i="3" s="1"/>
  <c r="E184" i="3"/>
  <c r="D184" i="3"/>
  <c r="C184" i="3"/>
  <c r="G173" i="3"/>
  <c r="H173" i="3" s="1"/>
  <c r="G174" i="3"/>
  <c r="H174" i="3" s="1"/>
  <c r="G172" i="3"/>
  <c r="H172" i="3" s="1"/>
  <c r="F185" i="3" l="1"/>
  <c r="G185" i="3" s="1"/>
  <c r="F187" i="3"/>
  <c r="G187" i="3" s="1"/>
  <c r="F186" i="3"/>
  <c r="G186" i="3" s="1"/>
  <c r="F188" i="3"/>
  <c r="G188" i="3" s="1"/>
  <c r="F21" i="6"/>
  <c r="G21" i="6" s="1"/>
  <c r="I21" i="6" s="1"/>
  <c r="L19" i="6"/>
  <c r="E22" i="6"/>
  <c r="H20" i="6"/>
  <c r="J20" i="6" s="1"/>
  <c r="K20" i="6"/>
  <c r="G54" i="5"/>
  <c r="E87" i="5"/>
  <c r="E123" i="5"/>
  <c r="G124" i="5" s="1"/>
  <c r="H124" i="5" s="1"/>
  <c r="F189" i="3"/>
  <c r="G189" i="3" s="1"/>
  <c r="F184" i="3"/>
  <c r="G184" i="3" s="1"/>
  <c r="F193" i="3"/>
  <c r="G193" i="3" s="1"/>
  <c r="D291" i="3"/>
  <c r="D292" i="3" s="1"/>
  <c r="H176" i="3"/>
  <c r="H175" i="3"/>
  <c r="D215" i="3"/>
  <c r="E215" i="3" s="1"/>
  <c r="D214" i="3"/>
  <c r="I214" i="3" s="1"/>
  <c r="D216" i="3"/>
  <c r="F216" i="3" s="1"/>
  <c r="F213" i="3"/>
  <c r="G213" i="3"/>
  <c r="E213" i="3"/>
  <c r="I213" i="3"/>
  <c r="H213" i="3"/>
  <c r="H133" i="3"/>
  <c r="H132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17" i="3"/>
  <c r="C108" i="3"/>
  <c r="D108" i="3" s="1"/>
  <c r="C94" i="3"/>
  <c r="D94" i="3" s="1"/>
  <c r="C95" i="3"/>
  <c r="D95" i="3" s="1"/>
  <c r="C96" i="3"/>
  <c r="D96" i="3" s="1"/>
  <c r="C97" i="3"/>
  <c r="D97" i="3" s="1"/>
  <c r="C98" i="3"/>
  <c r="D98" i="3" s="1"/>
  <c r="C99" i="3"/>
  <c r="D99" i="3" s="1"/>
  <c r="C100" i="3"/>
  <c r="D100" i="3" s="1"/>
  <c r="C101" i="3"/>
  <c r="D101" i="3" s="1"/>
  <c r="C102" i="3"/>
  <c r="D102" i="3" s="1"/>
  <c r="C103" i="3"/>
  <c r="D103" i="3" s="1"/>
  <c r="C104" i="3"/>
  <c r="D104" i="3" s="1"/>
  <c r="C105" i="3"/>
  <c r="D105" i="3" s="1"/>
  <c r="C106" i="3"/>
  <c r="D106" i="3" s="1"/>
  <c r="C107" i="3"/>
  <c r="D107" i="3" s="1"/>
  <c r="C93" i="3"/>
  <c r="D93" i="3" s="1"/>
  <c r="G198" i="3" l="1"/>
  <c r="G199" i="3" s="1"/>
  <c r="F22" i="6"/>
  <c r="G22" i="6" s="1"/>
  <c r="I22" i="6" s="1"/>
  <c r="L20" i="6"/>
  <c r="E23" i="6"/>
  <c r="K21" i="6"/>
  <c r="H21" i="6"/>
  <c r="J21" i="6" s="1"/>
  <c r="H134" i="3"/>
  <c r="E131" i="3" s="1"/>
  <c r="F55" i="5"/>
  <c r="E124" i="5"/>
  <c r="G125" i="5" s="1"/>
  <c r="H125" i="5" s="1"/>
  <c r="E125" i="5" s="1"/>
  <c r="E117" i="3"/>
  <c r="E159" i="3"/>
  <c r="E155" i="3"/>
  <c r="E151" i="3"/>
  <c r="E147" i="3"/>
  <c r="E143" i="3"/>
  <c r="E139" i="3"/>
  <c r="E135" i="3"/>
  <c r="E119" i="3"/>
  <c r="G215" i="3"/>
  <c r="E158" i="3"/>
  <c r="E154" i="3"/>
  <c r="E150" i="3"/>
  <c r="E146" i="3"/>
  <c r="E142" i="3"/>
  <c r="E138" i="3"/>
  <c r="E134" i="3"/>
  <c r="E130" i="3"/>
  <c r="E126" i="3"/>
  <c r="E122" i="3"/>
  <c r="E153" i="3"/>
  <c r="E145" i="3"/>
  <c r="E141" i="3"/>
  <c r="E137" i="3"/>
  <c r="E133" i="3"/>
  <c r="E129" i="3"/>
  <c r="E125" i="3"/>
  <c r="E121" i="3"/>
  <c r="E160" i="3"/>
  <c r="E156" i="3"/>
  <c r="E152" i="3"/>
  <c r="E148" i="3"/>
  <c r="E132" i="3"/>
  <c r="E124" i="3"/>
  <c r="E120" i="3"/>
  <c r="G214" i="3"/>
  <c r="F214" i="3"/>
  <c r="I215" i="3"/>
  <c r="I216" i="3"/>
  <c r="E216" i="3"/>
  <c r="F215" i="3"/>
  <c r="G216" i="3"/>
  <c r="H214" i="3"/>
  <c r="K214" i="3"/>
  <c r="E214" i="3"/>
  <c r="H215" i="3"/>
  <c r="K215" i="3"/>
  <c r="H216" i="3"/>
  <c r="K216" i="3"/>
  <c r="D217" i="3"/>
  <c r="K217" i="3" s="1"/>
  <c r="D109" i="3"/>
  <c r="D110" i="3" s="1"/>
  <c r="K56" i="3"/>
  <c r="L56" i="3" s="1"/>
  <c r="K57" i="3"/>
  <c r="L57" i="3" s="1"/>
  <c r="K58" i="3"/>
  <c r="L58" i="3" s="1"/>
  <c r="K59" i="3"/>
  <c r="L59" i="3" s="1"/>
  <c r="K60" i="3"/>
  <c r="L60" i="3" s="1"/>
  <c r="K61" i="3"/>
  <c r="L61" i="3" s="1"/>
  <c r="K62" i="3"/>
  <c r="L62" i="3" s="1"/>
  <c r="K63" i="3"/>
  <c r="L63" i="3" s="1"/>
  <c r="K64" i="3"/>
  <c r="L64" i="3" s="1"/>
  <c r="K65" i="3"/>
  <c r="L65" i="3" s="1"/>
  <c r="K66" i="3"/>
  <c r="L66" i="3" s="1"/>
  <c r="K67" i="3"/>
  <c r="L67" i="3" s="1"/>
  <c r="K68" i="3"/>
  <c r="L68" i="3" s="1"/>
  <c r="K69" i="3"/>
  <c r="L69" i="3" s="1"/>
  <c r="K70" i="3"/>
  <c r="L70" i="3" s="1"/>
  <c r="K71" i="3"/>
  <c r="L71" i="3" s="1"/>
  <c r="K72" i="3"/>
  <c r="L72" i="3" s="1"/>
  <c r="K73" i="3"/>
  <c r="L73" i="3" s="1"/>
  <c r="K74" i="3"/>
  <c r="L74" i="3" s="1"/>
  <c r="K75" i="3"/>
  <c r="L75" i="3" s="1"/>
  <c r="K76" i="3"/>
  <c r="L76" i="3" s="1"/>
  <c r="K77" i="3"/>
  <c r="L77" i="3" s="1"/>
  <c r="K78" i="3"/>
  <c r="L78" i="3" s="1"/>
  <c r="K79" i="3"/>
  <c r="L79" i="3" s="1"/>
  <c r="K80" i="3"/>
  <c r="L80" i="3" s="1"/>
  <c r="K81" i="3"/>
  <c r="L81" i="3" s="1"/>
  <c r="K82" i="3"/>
  <c r="L82" i="3" s="1"/>
  <c r="K83" i="3"/>
  <c r="L83" i="3" s="1"/>
  <c r="K55" i="3"/>
  <c r="L55" i="3" s="1"/>
  <c r="C84" i="3"/>
  <c r="D84" i="3" s="1"/>
  <c r="C56" i="3"/>
  <c r="D56" i="3" s="1"/>
  <c r="C57" i="3"/>
  <c r="D57" i="3" s="1"/>
  <c r="C58" i="3"/>
  <c r="D58" i="3" s="1"/>
  <c r="C59" i="3"/>
  <c r="D59" i="3" s="1"/>
  <c r="C60" i="3"/>
  <c r="D60" i="3" s="1"/>
  <c r="C61" i="3"/>
  <c r="D61" i="3" s="1"/>
  <c r="C62" i="3"/>
  <c r="D62" i="3" s="1"/>
  <c r="C63" i="3"/>
  <c r="D63" i="3" s="1"/>
  <c r="C64" i="3"/>
  <c r="D64" i="3" s="1"/>
  <c r="C65" i="3"/>
  <c r="D65" i="3" s="1"/>
  <c r="C66" i="3"/>
  <c r="D66" i="3" s="1"/>
  <c r="C67" i="3"/>
  <c r="D67" i="3" s="1"/>
  <c r="C68" i="3"/>
  <c r="D68" i="3" s="1"/>
  <c r="C69" i="3"/>
  <c r="D69" i="3" s="1"/>
  <c r="C70" i="3"/>
  <c r="D70" i="3" s="1"/>
  <c r="C71" i="3"/>
  <c r="D71" i="3" s="1"/>
  <c r="C72" i="3"/>
  <c r="D72" i="3" s="1"/>
  <c r="C73" i="3"/>
  <c r="D73" i="3" s="1"/>
  <c r="C74" i="3"/>
  <c r="D74" i="3" s="1"/>
  <c r="C75" i="3"/>
  <c r="D75" i="3" s="1"/>
  <c r="C76" i="3"/>
  <c r="D76" i="3" s="1"/>
  <c r="C77" i="3"/>
  <c r="D77" i="3" s="1"/>
  <c r="C78" i="3"/>
  <c r="D78" i="3" s="1"/>
  <c r="C79" i="3"/>
  <c r="D79" i="3" s="1"/>
  <c r="C80" i="3"/>
  <c r="D80" i="3" s="1"/>
  <c r="C81" i="3"/>
  <c r="D81" i="3" s="1"/>
  <c r="C82" i="3"/>
  <c r="D82" i="3" s="1"/>
  <c r="C83" i="3"/>
  <c r="D83" i="3" s="1"/>
  <c r="C55" i="3"/>
  <c r="D55" i="3" s="1"/>
  <c r="E128" i="3" l="1"/>
  <c r="E149" i="3"/>
  <c r="E162" i="3"/>
  <c r="E136" i="3"/>
  <c r="E157" i="3"/>
  <c r="E123" i="3"/>
  <c r="E140" i="3"/>
  <c r="E161" i="3"/>
  <c r="E127" i="3"/>
  <c r="E144" i="3"/>
  <c r="E118" i="3"/>
  <c r="E163" i="3" s="1"/>
  <c r="E164" i="3" s="1"/>
  <c r="F23" i="6"/>
  <c r="G23" i="6" s="1"/>
  <c r="I23" i="6" s="1"/>
  <c r="E24" i="6"/>
  <c r="L21" i="6"/>
  <c r="H22" i="6"/>
  <c r="J22" i="6" s="1"/>
  <c r="K22" i="6"/>
  <c r="G55" i="5"/>
  <c r="E88" i="5"/>
  <c r="D218" i="3"/>
  <c r="K218" i="3" s="1"/>
  <c r="H217" i="3"/>
  <c r="F217" i="3"/>
  <c r="G217" i="3"/>
  <c r="E217" i="3"/>
  <c r="I217" i="3"/>
  <c r="D85" i="3"/>
  <c r="J54" i="3" s="1"/>
  <c r="D34" i="3"/>
  <c r="D9" i="3"/>
  <c r="D10" i="3"/>
  <c r="D11" i="3"/>
  <c r="D8" i="3"/>
  <c r="F24" i="6" l="1"/>
  <c r="G24" i="6" s="1"/>
  <c r="I24" i="6" s="1"/>
  <c r="E25" i="6"/>
  <c r="L22" i="6"/>
  <c r="K23" i="6"/>
  <c r="H23" i="6"/>
  <c r="J23" i="6" s="1"/>
  <c r="L23" i="6" s="1"/>
  <c r="F56" i="5"/>
  <c r="H218" i="3"/>
  <c r="E218" i="3"/>
  <c r="G218" i="3"/>
  <c r="I218" i="3"/>
  <c r="F218" i="3"/>
  <c r="D219" i="3"/>
  <c r="K219" i="3" s="1"/>
  <c r="D12" i="3"/>
  <c r="G9" i="3" s="1"/>
  <c r="J7" i="3" s="1"/>
  <c r="E34" i="3"/>
  <c r="D35" i="3" s="1"/>
  <c r="E35" i="3" s="1"/>
  <c r="D36" i="3" s="1"/>
  <c r="E36" i="3" s="1"/>
  <c r="D37" i="3" s="1"/>
  <c r="F25" i="6" l="1"/>
  <c r="G25" i="6" s="1"/>
  <c r="I25" i="6" s="1"/>
  <c r="E26" i="6"/>
  <c r="K24" i="6"/>
  <c r="H24" i="6"/>
  <c r="J24" i="6" s="1"/>
  <c r="G56" i="5"/>
  <c r="E89" i="5"/>
  <c r="D220" i="3"/>
  <c r="K220" i="3" s="1"/>
  <c r="H219" i="3"/>
  <c r="E219" i="3"/>
  <c r="I219" i="3"/>
  <c r="F219" i="3"/>
  <c r="G219" i="3"/>
  <c r="E37" i="3"/>
  <c r="D38" i="3" s="1"/>
  <c r="I34" i="1"/>
  <c r="I33" i="1"/>
  <c r="I32" i="1"/>
  <c r="C34" i="1"/>
  <c r="C33" i="1"/>
  <c r="C32" i="1"/>
  <c r="F26" i="6" l="1"/>
  <c r="G26" i="6" s="1"/>
  <c r="I26" i="6" s="1"/>
  <c r="E27" i="6"/>
  <c r="L24" i="6"/>
  <c r="K25" i="6"/>
  <c r="H25" i="6"/>
  <c r="J25" i="6" s="1"/>
  <c r="F57" i="5"/>
  <c r="G220" i="3"/>
  <c r="E220" i="3"/>
  <c r="H220" i="3"/>
  <c r="F220" i="3"/>
  <c r="I220" i="3"/>
  <c r="D221" i="3"/>
  <c r="K221" i="3" s="1"/>
  <c r="E38" i="3"/>
  <c r="D39" i="3" s="1"/>
  <c r="I36" i="1"/>
  <c r="C35" i="1"/>
  <c r="I35" i="1"/>
  <c r="C36" i="1"/>
  <c r="F27" i="6" l="1"/>
  <c r="G27" i="6" s="1"/>
  <c r="I27" i="6" s="1"/>
  <c r="L25" i="6"/>
  <c r="E28" i="6"/>
  <c r="K26" i="6"/>
  <c r="H26" i="6"/>
  <c r="J26" i="6" s="1"/>
  <c r="G57" i="5"/>
  <c r="F58" i="5" s="1"/>
  <c r="E90" i="5"/>
  <c r="H221" i="3"/>
  <c r="G221" i="3"/>
  <c r="E221" i="3"/>
  <c r="I221" i="3"/>
  <c r="F221" i="3"/>
  <c r="D222" i="3"/>
  <c r="K222" i="3" s="1"/>
  <c r="E39" i="3"/>
  <c r="D40" i="3" s="1"/>
  <c r="C37" i="1"/>
  <c r="F29" i="1" s="1"/>
  <c r="I37" i="1"/>
  <c r="L29" i="1" s="1"/>
  <c r="F28" i="6" l="1"/>
  <c r="G28" i="6" s="1"/>
  <c r="I28" i="6" s="1"/>
  <c r="E29" i="6"/>
  <c r="L26" i="6"/>
  <c r="K27" i="6"/>
  <c r="H27" i="6"/>
  <c r="J27" i="6" s="1"/>
  <c r="G58" i="5"/>
  <c r="F59" i="5" s="1"/>
  <c r="E91" i="5"/>
  <c r="H222" i="3"/>
  <c r="I222" i="3"/>
  <c r="E222" i="3"/>
  <c r="F222" i="3"/>
  <c r="G222" i="3"/>
  <c r="D223" i="3"/>
  <c r="K223" i="3" s="1"/>
  <c r="D224" i="3"/>
  <c r="K224" i="3" s="1"/>
  <c r="E40" i="3"/>
  <c r="D41" i="3" s="1"/>
  <c r="P29" i="1"/>
  <c r="F29" i="6" l="1"/>
  <c r="G29" i="6" s="1"/>
  <c r="I29" i="6" s="1"/>
  <c r="L27" i="6"/>
  <c r="E30" i="6"/>
  <c r="H28" i="6"/>
  <c r="J28" i="6" s="1"/>
  <c r="L28" i="6" s="1"/>
  <c r="K28" i="6"/>
  <c r="G59" i="5"/>
  <c r="F60" i="5" s="1"/>
  <c r="E92" i="5"/>
  <c r="K225" i="3"/>
  <c r="K226" i="3" s="1"/>
  <c r="H223" i="3"/>
  <c r="E223" i="3"/>
  <c r="I223" i="3"/>
  <c r="F223" i="3"/>
  <c r="G223" i="3"/>
  <c r="I224" i="3"/>
  <c r="H224" i="3"/>
  <c r="F224" i="3"/>
  <c r="F225" i="3" s="1"/>
  <c r="E224" i="3"/>
  <c r="G224" i="3"/>
  <c r="E41" i="3"/>
  <c r="D42" i="3" s="1"/>
  <c r="F30" i="6" l="1"/>
  <c r="G30" i="6" s="1"/>
  <c r="I30" i="6" s="1"/>
  <c r="E31" i="6"/>
  <c r="K29" i="6"/>
  <c r="H29" i="6"/>
  <c r="J29" i="6" s="1"/>
  <c r="G225" i="3"/>
  <c r="G60" i="5"/>
  <c r="F61" i="5" s="1"/>
  <c r="E93" i="5"/>
  <c r="H225" i="3"/>
  <c r="I225" i="3"/>
  <c r="E225" i="3"/>
  <c r="E42" i="3"/>
  <c r="D43" i="3" s="1"/>
  <c r="F31" i="6" l="1"/>
  <c r="G31" i="6" s="1"/>
  <c r="I31" i="6" s="1"/>
  <c r="E32" i="6"/>
  <c r="L29" i="6"/>
  <c r="H30" i="6"/>
  <c r="J30" i="6" s="1"/>
  <c r="K30" i="6"/>
  <c r="G61" i="5"/>
  <c r="F62" i="5" s="1"/>
  <c r="E94" i="5"/>
  <c r="E43" i="3"/>
  <c r="D44" i="3" s="1"/>
  <c r="F32" i="6" l="1"/>
  <c r="G32" i="6" s="1"/>
  <c r="I32" i="6" s="1"/>
  <c r="E33" i="6"/>
  <c r="L30" i="6"/>
  <c r="K31" i="6"/>
  <c r="H31" i="6"/>
  <c r="J31" i="6" s="1"/>
  <c r="G62" i="5"/>
  <c r="F63" i="5" s="1"/>
  <c r="E95" i="5"/>
  <c r="E44" i="3"/>
  <c r="D45" i="3" s="1"/>
  <c r="F33" i="6" l="1"/>
  <c r="G33" i="6" s="1"/>
  <c r="I33" i="6" s="1"/>
  <c r="L31" i="6"/>
  <c r="E34" i="6"/>
  <c r="K32" i="6"/>
  <c r="H32" i="6"/>
  <c r="J32" i="6" s="1"/>
  <c r="G63" i="5"/>
  <c r="F64" i="5" s="1"/>
  <c r="E96" i="5"/>
  <c r="E45" i="3"/>
  <c r="E47" i="3" s="1"/>
  <c r="F34" i="6" l="1"/>
  <c r="G34" i="6" s="1"/>
  <c r="I34" i="6" s="1"/>
  <c r="E35" i="6"/>
  <c r="L32" i="6"/>
  <c r="K33" i="6"/>
  <c r="H33" i="6"/>
  <c r="J33" i="6" s="1"/>
  <c r="G64" i="5"/>
  <c r="F65" i="5" s="1"/>
  <c r="E97" i="5"/>
  <c r="E46" i="3"/>
  <c r="F35" i="6" l="1"/>
  <c r="G35" i="6" s="1"/>
  <c r="I35" i="6" s="1"/>
  <c r="L33" i="6"/>
  <c r="E36" i="6"/>
  <c r="K34" i="6"/>
  <c r="H34" i="6"/>
  <c r="J34" i="6" s="1"/>
  <c r="G65" i="5"/>
  <c r="F66" i="5" s="1"/>
  <c r="E98" i="5"/>
  <c r="F36" i="6" l="1"/>
  <c r="G36" i="6" s="1"/>
  <c r="I36" i="6" s="1"/>
  <c r="E37" i="6"/>
  <c r="L34" i="6"/>
  <c r="K35" i="6"/>
  <c r="H35" i="6"/>
  <c r="J35" i="6" s="1"/>
  <c r="G66" i="5"/>
  <c r="E99" i="5"/>
  <c r="E100" i="5" s="1"/>
  <c r="F37" i="6" l="1"/>
  <c r="G37" i="6" s="1"/>
  <c r="I37" i="6" s="1"/>
  <c r="L35" i="6"/>
  <c r="E38" i="6"/>
  <c r="H36" i="6"/>
  <c r="J36" i="6" s="1"/>
  <c r="L36" i="6" s="1"/>
  <c r="K36" i="6"/>
  <c r="F38" i="6" l="1"/>
  <c r="G38" i="6" s="1"/>
  <c r="I38" i="6" s="1"/>
  <c r="E39" i="6"/>
  <c r="K37" i="6"/>
  <c r="H37" i="6"/>
  <c r="J37" i="6" s="1"/>
  <c r="F39" i="6" l="1"/>
  <c r="G39" i="6" s="1"/>
  <c r="I39" i="6" s="1"/>
  <c r="E40" i="6"/>
  <c r="L37" i="6"/>
  <c r="H38" i="6"/>
  <c r="J38" i="6" s="1"/>
  <c r="K38" i="6"/>
  <c r="F40" i="6" l="1"/>
  <c r="G40" i="6" s="1"/>
  <c r="I40" i="6" s="1"/>
  <c r="E41" i="6"/>
  <c r="L38" i="6"/>
  <c r="K39" i="6"/>
  <c r="H39" i="6"/>
  <c r="J39" i="6" s="1"/>
  <c r="F41" i="6" l="1"/>
  <c r="G41" i="6" s="1"/>
  <c r="I41" i="6" s="1"/>
  <c r="L39" i="6"/>
  <c r="E42" i="6"/>
  <c r="K40" i="6"/>
  <c r="H40" i="6"/>
  <c r="J40" i="6" s="1"/>
  <c r="F42" i="6" l="1"/>
  <c r="G42" i="6" s="1"/>
  <c r="I42" i="6" s="1"/>
  <c r="E43" i="6"/>
  <c r="L40" i="6"/>
  <c r="K41" i="6"/>
  <c r="H41" i="6"/>
  <c r="J41" i="6" s="1"/>
  <c r="F43" i="6" l="1"/>
  <c r="G43" i="6" s="1"/>
  <c r="I43" i="6" s="1"/>
  <c r="L41" i="6"/>
  <c r="E44" i="6"/>
  <c r="K42" i="6"/>
  <c r="H42" i="6"/>
  <c r="J42" i="6" s="1"/>
  <c r="F44" i="6" l="1"/>
  <c r="G44" i="6" s="1"/>
  <c r="I44" i="6" s="1"/>
  <c r="E45" i="6"/>
  <c r="L42" i="6"/>
  <c r="K43" i="6"/>
  <c r="H43" i="6"/>
  <c r="J43" i="6" s="1"/>
  <c r="F45" i="6" l="1"/>
  <c r="G45" i="6" s="1"/>
  <c r="I45" i="6" s="1"/>
  <c r="L43" i="6"/>
  <c r="E46" i="6"/>
  <c r="H44" i="6"/>
  <c r="J44" i="6" s="1"/>
  <c r="K44" i="6"/>
  <c r="F46" i="6" l="1"/>
  <c r="G46" i="6" s="1"/>
  <c r="I46" i="6" s="1"/>
  <c r="L44" i="6"/>
  <c r="E47" i="6"/>
  <c r="K45" i="6"/>
  <c r="H45" i="6"/>
  <c r="J45" i="6" s="1"/>
  <c r="F47" i="6" l="1"/>
  <c r="G47" i="6" s="1"/>
  <c r="I47" i="6" s="1"/>
  <c r="E48" i="6"/>
  <c r="L45" i="6"/>
  <c r="H46" i="6"/>
  <c r="J46" i="6" s="1"/>
  <c r="K46" i="6"/>
  <c r="F48" i="6" l="1"/>
  <c r="G48" i="6" s="1"/>
  <c r="I48" i="6" s="1"/>
  <c r="E49" i="6"/>
  <c r="L46" i="6"/>
  <c r="K47" i="6"/>
  <c r="H47" i="6"/>
  <c r="J47" i="6" s="1"/>
  <c r="F49" i="6" l="1"/>
  <c r="G49" i="6" s="1"/>
  <c r="I49" i="6" s="1"/>
  <c r="L47" i="6"/>
  <c r="E50" i="6"/>
  <c r="K48" i="6"/>
  <c r="H48" i="6"/>
  <c r="J48" i="6" s="1"/>
  <c r="F50" i="6" l="1"/>
  <c r="G50" i="6" s="1"/>
  <c r="I50" i="6" s="1"/>
  <c r="E51" i="6"/>
  <c r="L48" i="6"/>
  <c r="K49" i="6"/>
  <c r="H49" i="6"/>
  <c r="J49" i="6" s="1"/>
  <c r="F51" i="6" l="1"/>
  <c r="G51" i="6" s="1"/>
  <c r="I51" i="6" s="1"/>
  <c r="L49" i="6"/>
  <c r="E52" i="6"/>
  <c r="K50" i="6"/>
  <c r="H50" i="6"/>
  <c r="J50" i="6" s="1"/>
  <c r="F52" i="6" l="1"/>
  <c r="G52" i="6" s="1"/>
  <c r="L50" i="6"/>
  <c r="E53" i="6"/>
  <c r="K51" i="6"/>
  <c r="H51" i="6"/>
  <c r="J51" i="6" s="1"/>
  <c r="F53" i="6" l="1"/>
  <c r="G53" i="6" s="1"/>
  <c r="E54" i="6"/>
  <c r="H52" i="6"/>
  <c r="K52" i="6"/>
  <c r="L51" i="6"/>
  <c r="I52" i="6"/>
  <c r="F54" i="6" l="1"/>
  <c r="G54" i="6" s="1"/>
  <c r="J52" i="6"/>
  <c r="L52" i="6" s="1"/>
  <c r="H53" i="6"/>
  <c r="K53" i="6"/>
  <c r="E55" i="6"/>
  <c r="I53" i="6"/>
  <c r="F55" i="6" l="1"/>
  <c r="G55" i="6" s="1"/>
  <c r="J53" i="6"/>
  <c r="L53" i="6" s="1"/>
  <c r="E56" i="6"/>
  <c r="H54" i="6"/>
  <c r="K54" i="6"/>
  <c r="I54" i="6"/>
  <c r="F56" i="6" l="1"/>
  <c r="G56" i="6" s="1"/>
  <c r="J54" i="6"/>
  <c r="L54" i="6"/>
  <c r="H55" i="6"/>
  <c r="K55" i="6"/>
  <c r="E57" i="6"/>
  <c r="I55" i="6"/>
  <c r="F57" i="6" l="1"/>
  <c r="G57" i="6" s="1"/>
  <c r="I57" i="6" s="1"/>
  <c r="I56" i="6"/>
  <c r="H56" i="6"/>
  <c r="J56" i="6" s="1"/>
  <c r="K56" i="6"/>
  <c r="E58" i="6"/>
  <c r="J55" i="6"/>
  <c r="L55" i="6" s="1"/>
  <c r="F58" i="6" l="1"/>
  <c r="G58" i="6" s="1"/>
  <c r="L56" i="6"/>
  <c r="K57" i="6"/>
  <c r="H57" i="6"/>
  <c r="J57" i="6" s="1"/>
  <c r="L57" i="6" s="1"/>
  <c r="E59" i="6"/>
  <c r="F59" i="6" l="1"/>
  <c r="G59" i="6" s="1"/>
  <c r="I59" i="6" s="1"/>
  <c r="H58" i="6"/>
  <c r="K58" i="6"/>
  <c r="I58" i="6"/>
  <c r="E60" i="6"/>
  <c r="F60" i="6" l="1"/>
  <c r="G60" i="6" s="1"/>
  <c r="H59" i="6"/>
  <c r="J59" i="6" s="1"/>
  <c r="K59" i="6"/>
  <c r="E61" i="6"/>
  <c r="J58" i="6"/>
  <c r="L58" i="6" s="1"/>
  <c r="F61" i="6" l="1"/>
  <c r="G61" i="6" s="1"/>
  <c r="I61" i="6" s="1"/>
  <c r="H60" i="6"/>
  <c r="K60" i="6"/>
  <c r="I60" i="6"/>
  <c r="E62" i="6"/>
  <c r="L59" i="6"/>
  <c r="F62" i="6" l="1"/>
  <c r="G62" i="6" s="1"/>
  <c r="E63" i="6"/>
  <c r="K61" i="6"/>
  <c r="H61" i="6"/>
  <c r="J61" i="6" s="1"/>
  <c r="J60" i="6"/>
  <c r="L60" i="6" s="1"/>
  <c r="F63" i="6" l="1"/>
  <c r="G63" i="6" s="1"/>
  <c r="I63" i="6" s="1"/>
  <c r="H62" i="6"/>
  <c r="K62" i="6"/>
  <c r="E64" i="6"/>
  <c r="L61" i="6"/>
  <c r="I62" i="6"/>
  <c r="F64" i="6" l="1"/>
  <c r="G64" i="6" s="1"/>
  <c r="I64" i="6" s="1"/>
  <c r="E65" i="6"/>
  <c r="K63" i="6"/>
  <c r="H63" i="6"/>
  <c r="J63" i="6" s="1"/>
  <c r="L63" i="6" s="1"/>
  <c r="J62" i="6"/>
  <c r="L62" i="6" s="1"/>
  <c r="F65" i="6" l="1"/>
  <c r="G65" i="6" s="1"/>
  <c r="E66" i="6"/>
  <c r="H64" i="6"/>
  <c r="J64" i="6" s="1"/>
  <c r="K64" i="6"/>
  <c r="F66" i="6" l="1"/>
  <c r="G66" i="6" s="1"/>
  <c r="L64" i="6"/>
  <c r="H65" i="6"/>
  <c r="K65" i="6"/>
  <c r="E67" i="6"/>
  <c r="I65" i="6"/>
  <c r="F67" i="6" l="1"/>
  <c r="G67" i="6" s="1"/>
  <c r="I67" i="6" s="1"/>
  <c r="J65" i="6"/>
  <c r="L65" i="6" s="1"/>
  <c r="I66" i="6"/>
  <c r="H66" i="6"/>
  <c r="K66" i="6"/>
  <c r="E68" i="6"/>
  <c r="F68" i="6" l="1"/>
  <c r="G68" i="6" s="1"/>
  <c r="J66" i="6"/>
  <c r="L66" i="6" s="1"/>
  <c r="E69" i="6"/>
  <c r="H67" i="6"/>
  <c r="J67" i="6" s="1"/>
  <c r="K67" i="6"/>
  <c r="F69" i="6" l="1"/>
  <c r="G69" i="6" s="1"/>
  <c r="L67" i="6"/>
  <c r="E70" i="6"/>
  <c r="H68" i="6"/>
  <c r="K68" i="6"/>
  <c r="I68" i="6"/>
  <c r="F70" i="6" l="1"/>
  <c r="G70" i="6" s="1"/>
  <c r="I70" i="6" s="1"/>
  <c r="J68" i="6"/>
  <c r="L68" i="6" s="1"/>
  <c r="K69" i="6"/>
  <c r="H69" i="6"/>
  <c r="E71" i="6"/>
  <c r="I69" i="6"/>
  <c r="F71" i="6" l="1"/>
  <c r="G71" i="6" s="1"/>
  <c r="I71" i="6" s="1"/>
  <c r="H70" i="6"/>
  <c r="J70" i="6" s="1"/>
  <c r="K70" i="6"/>
  <c r="J69" i="6"/>
  <c r="L69" i="6" s="1"/>
  <c r="E72" i="6"/>
  <c r="F72" i="6" l="1"/>
  <c r="G72" i="6" s="1"/>
  <c r="E73" i="6"/>
  <c r="H71" i="6"/>
  <c r="J71" i="6" s="1"/>
  <c r="K71" i="6"/>
  <c r="L70" i="6"/>
  <c r="F73" i="6" l="1"/>
  <c r="G73" i="6" s="1"/>
  <c r="L71" i="6"/>
  <c r="E74" i="6"/>
  <c r="K72" i="6"/>
  <c r="H72" i="6"/>
  <c r="I72" i="6"/>
  <c r="F74" i="6" l="1"/>
  <c r="G74" i="6" s="1"/>
  <c r="E75" i="6"/>
  <c r="K73" i="6"/>
  <c r="H73" i="6"/>
  <c r="J72" i="6"/>
  <c r="L72" i="6" s="1"/>
  <c r="I73" i="6"/>
  <c r="F75" i="6" l="1"/>
  <c r="G75" i="6" s="1"/>
  <c r="E76" i="6"/>
  <c r="H74" i="6"/>
  <c r="J74" i="6" s="1"/>
  <c r="K74" i="6"/>
  <c r="J73" i="6"/>
  <c r="L73" i="6" s="1"/>
  <c r="I74" i="6"/>
  <c r="F76" i="6" l="1"/>
  <c r="G76" i="6" s="1"/>
  <c r="L74" i="6"/>
  <c r="E77" i="6"/>
  <c r="K75" i="6"/>
  <c r="H75" i="6"/>
  <c r="I75" i="6"/>
  <c r="F77" i="6" l="1"/>
  <c r="G77" i="6" s="1"/>
  <c r="E78" i="6"/>
  <c r="K76" i="6"/>
  <c r="H76" i="6"/>
  <c r="J75" i="6"/>
  <c r="L75" i="6" s="1"/>
  <c r="I76" i="6"/>
  <c r="F78" i="6" l="1"/>
  <c r="G78" i="6" s="1"/>
  <c r="K77" i="6"/>
  <c r="H77" i="6"/>
  <c r="E79" i="6"/>
  <c r="J76" i="6"/>
  <c r="L76" i="6" s="1"/>
  <c r="I77" i="6"/>
  <c r="F79" i="6" l="1"/>
  <c r="G79" i="6" s="1"/>
  <c r="H78" i="6"/>
  <c r="K78" i="6"/>
  <c r="I78" i="6"/>
  <c r="J77" i="6"/>
  <c r="L77" i="6" s="1"/>
  <c r="E80" i="6"/>
  <c r="F80" i="6" l="1"/>
  <c r="G80" i="6" s="1"/>
  <c r="E81" i="6"/>
  <c r="H79" i="6"/>
  <c r="K79" i="6"/>
  <c r="I79" i="6"/>
  <c r="J78" i="6"/>
  <c r="L78" i="6" s="1"/>
  <c r="F81" i="6" l="1"/>
  <c r="G81" i="6" s="1"/>
  <c r="J79" i="6"/>
  <c r="L79" i="6" s="1"/>
  <c r="E82" i="6"/>
  <c r="H80" i="6"/>
  <c r="K80" i="6"/>
  <c r="I80" i="6"/>
  <c r="F82" i="6" l="1"/>
  <c r="G82" i="6" s="1"/>
  <c r="J80" i="6"/>
  <c r="L80" i="6"/>
  <c r="E83" i="6"/>
  <c r="H81" i="6"/>
  <c r="K81" i="6"/>
  <c r="I81" i="6"/>
  <c r="F83" i="6" l="1"/>
  <c r="G83" i="6" s="1"/>
  <c r="J81" i="6"/>
  <c r="L81" i="6" s="1"/>
  <c r="E84" i="6"/>
  <c r="H82" i="6"/>
  <c r="K82" i="6"/>
  <c r="I82" i="6"/>
  <c r="J82" i="6" l="1"/>
  <c r="F84" i="6"/>
  <c r="G84" i="6" s="1"/>
  <c r="L82" i="6"/>
  <c r="H83" i="6"/>
  <c r="K83" i="6"/>
  <c r="E85" i="6"/>
  <c r="I83" i="6"/>
  <c r="F85" i="6" l="1"/>
  <c r="G85" i="6" s="1"/>
  <c r="I85" i="6" s="1"/>
  <c r="I84" i="6"/>
  <c r="K84" i="6"/>
  <c r="H84" i="6"/>
  <c r="J84" i="6" s="1"/>
  <c r="L84" i="6" s="1"/>
  <c r="E86" i="6"/>
  <c r="J83" i="6"/>
  <c r="L83" i="6" s="1"/>
  <c r="F86" i="6" l="1"/>
  <c r="G86" i="6" s="1"/>
  <c r="I86" i="6" s="1"/>
  <c r="K85" i="6"/>
  <c r="H85" i="6"/>
  <c r="J85" i="6" s="1"/>
  <c r="L85" i="6" s="1"/>
  <c r="E87" i="6"/>
  <c r="F87" i="6" l="1"/>
  <c r="G87" i="6" s="1"/>
  <c r="H86" i="6"/>
  <c r="J86" i="6" s="1"/>
  <c r="K86" i="6"/>
  <c r="E88" i="6"/>
  <c r="F88" i="6" l="1"/>
  <c r="G88" i="6" s="1"/>
  <c r="I88" i="6" s="1"/>
  <c r="H87" i="6"/>
  <c r="K87" i="6"/>
  <c r="I87" i="6"/>
  <c r="E89" i="6"/>
  <c r="L86" i="6"/>
  <c r="F89" i="6" l="1"/>
  <c r="G89" i="6" s="1"/>
  <c r="E90" i="6"/>
  <c r="H88" i="6"/>
  <c r="J88" i="6" s="1"/>
  <c r="K88" i="6"/>
  <c r="J87" i="6"/>
  <c r="L87" i="6" s="1"/>
  <c r="L88" i="6" l="1"/>
  <c r="F90" i="6"/>
  <c r="G90" i="6"/>
  <c r="H89" i="6"/>
  <c r="K89" i="6"/>
  <c r="E91" i="6"/>
  <c r="I89" i="6"/>
  <c r="F91" i="6" l="1"/>
  <c r="G91" i="6" s="1"/>
  <c r="I91" i="6" s="1"/>
  <c r="I90" i="6"/>
  <c r="H90" i="6"/>
  <c r="J90" i="6" s="1"/>
  <c r="K90" i="6"/>
  <c r="E92" i="6"/>
  <c r="J89" i="6"/>
  <c r="L89" i="6" s="1"/>
  <c r="F92" i="6" l="1"/>
  <c r="G92" i="6" s="1"/>
  <c r="L90" i="6"/>
  <c r="E93" i="6"/>
  <c r="H91" i="6"/>
  <c r="J91" i="6" s="1"/>
  <c r="K91" i="6"/>
  <c r="F93" i="6" l="1"/>
  <c r="G93" i="6" s="1"/>
  <c r="I93" i="6" s="1"/>
  <c r="L91" i="6"/>
  <c r="H92" i="6"/>
  <c r="K92" i="6"/>
  <c r="E94" i="6"/>
  <c r="I92" i="6"/>
  <c r="F94" i="6" l="1"/>
  <c r="G94" i="6" s="1"/>
  <c r="E95" i="6"/>
  <c r="H93" i="6"/>
  <c r="J93" i="6" s="1"/>
  <c r="K93" i="6"/>
  <c r="J92" i="6"/>
  <c r="L92" i="6" s="1"/>
  <c r="F95" i="6" l="1"/>
  <c r="G95" i="6" s="1"/>
  <c r="L93" i="6"/>
  <c r="E96" i="6"/>
  <c r="H94" i="6"/>
  <c r="K94" i="6"/>
  <c r="I94" i="6"/>
  <c r="F96" i="6" l="1"/>
  <c r="G96" i="6" s="1"/>
  <c r="J94" i="6"/>
  <c r="L94" i="6" s="1"/>
  <c r="E97" i="6"/>
  <c r="K95" i="6"/>
  <c r="H95" i="6"/>
  <c r="I95" i="6"/>
  <c r="F97" i="6" l="1"/>
  <c r="G97" i="6" s="1"/>
  <c r="E98" i="6"/>
  <c r="K96" i="6"/>
  <c r="H96" i="6"/>
  <c r="J95" i="6"/>
  <c r="L95" i="6" s="1"/>
  <c r="I96" i="6"/>
  <c r="F98" i="6" l="1"/>
  <c r="G98" i="6" s="1"/>
  <c r="K97" i="6"/>
  <c r="H97" i="6"/>
  <c r="E99" i="6"/>
  <c r="J96" i="6"/>
  <c r="L96" i="6" s="1"/>
  <c r="I97" i="6"/>
  <c r="F99" i="6" l="1"/>
  <c r="G99" i="6" s="1"/>
  <c r="H98" i="6"/>
  <c r="K98" i="6"/>
  <c r="I98" i="6"/>
  <c r="J97" i="6"/>
  <c r="L97" i="6" s="1"/>
  <c r="E100" i="6"/>
  <c r="F100" i="6" l="1"/>
  <c r="G100" i="6" s="1"/>
  <c r="H99" i="6"/>
  <c r="K99" i="6"/>
  <c r="E101" i="6"/>
  <c r="I99" i="6"/>
  <c r="J98" i="6"/>
  <c r="L98" i="6" s="1"/>
  <c r="F101" i="6" l="1"/>
  <c r="G101" i="6" s="1"/>
  <c r="I101" i="6" s="1"/>
  <c r="H100" i="6"/>
  <c r="K100" i="6"/>
  <c r="I100" i="6"/>
  <c r="E102" i="6"/>
  <c r="J99" i="6"/>
  <c r="L99" i="6" s="1"/>
  <c r="F102" i="6" l="1"/>
  <c r="G102" i="6" s="1"/>
  <c r="H101" i="6"/>
  <c r="J101" i="6" s="1"/>
  <c r="K101" i="6"/>
  <c r="E103" i="6"/>
  <c r="J100" i="6"/>
  <c r="L100" i="6" s="1"/>
  <c r="F103" i="6" l="1"/>
  <c r="G103" i="6" s="1"/>
  <c r="I103" i="6" s="1"/>
  <c r="H102" i="6"/>
  <c r="K102" i="6"/>
  <c r="I102" i="6"/>
  <c r="E104" i="6"/>
  <c r="L101" i="6"/>
  <c r="F104" i="6" l="1"/>
  <c r="G104" i="6" s="1"/>
  <c r="H103" i="6"/>
  <c r="J103" i="6" s="1"/>
  <c r="K103" i="6"/>
  <c r="J102" i="6"/>
  <c r="L102" i="6" s="1"/>
  <c r="H104" i="6" l="1"/>
  <c r="K104" i="6"/>
  <c r="I104" i="6"/>
  <c r="L103" i="6"/>
  <c r="J104" i="6" l="1"/>
  <c r="L104" i="6" s="1"/>
</calcChain>
</file>

<file path=xl/sharedStrings.xml><?xml version="1.0" encoding="utf-8"?>
<sst xmlns="http://schemas.openxmlformats.org/spreadsheetml/2006/main" count="433" uniqueCount="301">
  <si>
    <t xml:space="preserve">frequency </t>
    <phoneticPr fontId="1" type="noConversion"/>
  </si>
  <si>
    <t xml:space="preserve">maturity </t>
    <phoneticPr fontId="1" type="noConversion"/>
  </si>
  <si>
    <t>coupon</t>
    <phoneticPr fontId="1" type="noConversion"/>
  </si>
  <si>
    <t>par</t>
    <phoneticPr fontId="1" type="noConversion"/>
  </si>
  <si>
    <t>payment per period</t>
    <phoneticPr fontId="1" type="noConversion"/>
  </si>
  <si>
    <t>nb of periods</t>
    <phoneticPr fontId="1" type="noConversion"/>
  </si>
  <si>
    <t>PV of coupons</t>
    <phoneticPr fontId="1" type="noConversion"/>
  </si>
  <si>
    <t xml:space="preserve">annual required yield </t>
    <phoneticPr fontId="1" type="noConversion"/>
  </si>
  <si>
    <t>required yield per period</t>
    <phoneticPr fontId="1" type="noConversion"/>
  </si>
  <si>
    <t>PV of principal</t>
    <phoneticPr fontId="1" type="noConversion"/>
  </si>
  <si>
    <t>bond price</t>
    <phoneticPr fontId="1" type="noConversion"/>
  </si>
  <si>
    <t>year</t>
    <phoneticPr fontId="1" type="noConversion"/>
  </si>
  <si>
    <t>yield</t>
    <phoneticPr fontId="1" type="noConversion"/>
  </si>
  <si>
    <t>time-to-maturity</t>
    <phoneticPr fontId="1" type="noConversion"/>
  </si>
  <si>
    <t>time to next 
coupon 
(per period)</t>
    <phoneticPr fontId="1" type="noConversion"/>
  </si>
  <si>
    <t>accrued interest</t>
    <phoneticPr fontId="1" type="noConversion"/>
  </si>
  <si>
    <t>full price</t>
    <phoneticPr fontId="1" type="noConversion"/>
  </si>
  <si>
    <t xml:space="preserve">PV of coupons </t>
    <phoneticPr fontId="1" type="noConversion"/>
  </si>
  <si>
    <t>Delta</t>
    <phoneticPr fontId="1" type="noConversion"/>
  </si>
  <si>
    <t>tau</t>
    <phoneticPr fontId="1" type="noConversion"/>
  </si>
  <si>
    <t>m</t>
    <phoneticPr fontId="1" type="noConversion"/>
  </si>
  <si>
    <t>clean price</t>
    <phoneticPr fontId="1" type="noConversion"/>
  </si>
  <si>
    <t>period</t>
    <phoneticPr fontId="1" type="noConversion"/>
  </si>
  <si>
    <t>cash flow</t>
    <phoneticPr fontId="1" type="noConversion"/>
  </si>
  <si>
    <t>present value</t>
    <phoneticPr fontId="1" type="noConversion"/>
  </si>
  <si>
    <t>yield per period</t>
    <phoneticPr fontId="1" type="noConversion"/>
  </si>
  <si>
    <t>price</t>
    <phoneticPr fontId="1" type="noConversion"/>
  </si>
  <si>
    <t>f(y)</t>
    <phoneticPr fontId="1" type="noConversion"/>
  </si>
  <si>
    <t>diff</t>
    <phoneticPr fontId="1" type="noConversion"/>
  </si>
  <si>
    <t>finding yieids</t>
    <phoneticPr fontId="1" type="noConversion"/>
  </si>
  <si>
    <t>annualizing yield</t>
    <phoneticPr fontId="1" type="noConversion"/>
  </si>
  <si>
    <t xml:space="preserve">month </t>
    <phoneticPr fontId="1" type="noConversion"/>
  </si>
  <si>
    <t>withdrawal 
(beginning of month)</t>
    <phoneticPr fontId="1" type="noConversion"/>
  </si>
  <si>
    <t>EOM interest
charge</t>
    <phoneticPr fontId="1" type="noConversion"/>
  </si>
  <si>
    <t>APR</t>
    <phoneticPr fontId="1" type="noConversion"/>
  </si>
  <si>
    <t>balance 
(beginning of month)</t>
    <phoneticPr fontId="1" type="noConversion"/>
  </si>
  <si>
    <t>annual interest</t>
    <phoneticPr fontId="1" type="noConversion"/>
  </si>
  <si>
    <t>EOY balance</t>
    <phoneticPr fontId="1" type="noConversion"/>
  </si>
  <si>
    <t>period</t>
    <phoneticPr fontId="1" type="noConversion"/>
  </si>
  <si>
    <t>cash flow</t>
    <phoneticPr fontId="1" type="noConversion"/>
  </si>
  <si>
    <t>bond equivalent yield (current period = 0)</t>
    <phoneticPr fontId="1" type="noConversion"/>
  </si>
  <si>
    <t>present value</t>
    <phoneticPr fontId="1" type="noConversion"/>
  </si>
  <si>
    <t>maturity (yr)</t>
    <phoneticPr fontId="1" type="noConversion"/>
  </si>
  <si>
    <t>frequency</t>
    <phoneticPr fontId="1" type="noConversion"/>
  </si>
  <si>
    <t>sum</t>
    <phoneticPr fontId="1" type="noConversion"/>
  </si>
  <si>
    <t>yield per annum</t>
    <phoneticPr fontId="1" type="noConversion"/>
  </si>
  <si>
    <t>current yield</t>
    <phoneticPr fontId="1" type="noConversion"/>
  </si>
  <si>
    <t>par</t>
    <phoneticPr fontId="1" type="noConversion"/>
  </si>
  <si>
    <t>coupon rate</t>
    <phoneticPr fontId="1" type="noConversion"/>
  </si>
  <si>
    <t>diff in yield</t>
    <phoneticPr fontId="1" type="noConversion"/>
  </si>
  <si>
    <t xml:space="preserve">yield to call </t>
    <phoneticPr fontId="1" type="noConversion"/>
  </si>
  <si>
    <t>call date (yr)</t>
    <phoneticPr fontId="1" type="noConversion"/>
  </si>
  <si>
    <t>call price</t>
    <phoneticPr fontId="1" type="noConversion"/>
  </si>
  <si>
    <t>par</t>
    <phoneticPr fontId="1" type="noConversion"/>
  </si>
  <si>
    <t>market price</t>
    <phoneticPr fontId="1" type="noConversion"/>
  </si>
  <si>
    <t>diff</t>
    <phoneticPr fontId="1" type="noConversion"/>
  </si>
  <si>
    <t>Example Revenue Bond</t>
    <phoneticPr fontId="1" type="noConversion"/>
  </si>
  <si>
    <t xml:space="preserve">at par </t>
    <phoneticPr fontId="1" type="noConversion"/>
  </si>
  <si>
    <t>first callable at</t>
    <phoneticPr fontId="1" type="noConversion"/>
  </si>
  <si>
    <t>today</t>
    <phoneticPr fontId="1" type="noConversion"/>
  </si>
  <si>
    <t>maturity</t>
    <phoneticPr fontId="1" type="noConversion"/>
  </si>
  <si>
    <t>given</t>
    <phoneticPr fontId="1" type="noConversion"/>
  </si>
  <si>
    <t>coupon date</t>
    <phoneticPr fontId="1" type="noConversion"/>
  </si>
  <si>
    <t xml:space="preserve">period </t>
    <phoneticPr fontId="1" type="noConversion"/>
  </si>
  <si>
    <t>sum</t>
    <phoneticPr fontId="1" type="noConversion"/>
  </si>
  <si>
    <t>at par</t>
    <phoneticPr fontId="1" type="noConversion"/>
  </si>
  <si>
    <t>sinking fund schedule</t>
    <phoneticPr fontId="1" type="noConversion"/>
  </si>
  <si>
    <t>offering</t>
    <phoneticPr fontId="1" type="noConversion"/>
  </si>
  <si>
    <t>previous coupon date</t>
    <phoneticPr fontId="1" type="noConversion"/>
  </si>
  <si>
    <t>full price</t>
    <phoneticPr fontId="1" type="noConversion"/>
  </si>
  <si>
    <t xml:space="preserve">days between </t>
    <phoneticPr fontId="1" type="noConversion"/>
  </si>
  <si>
    <t>settlement date</t>
    <phoneticPr fontId="1" type="noConversion"/>
  </si>
  <si>
    <t>days until next coupon</t>
    <phoneticPr fontId="1" type="noConversion"/>
  </si>
  <si>
    <t>ratio</t>
    <phoneticPr fontId="1" type="noConversion"/>
  </si>
  <si>
    <t>yield for a bond portfolio</t>
    <phoneticPr fontId="1" type="noConversion"/>
  </si>
  <si>
    <t>bond</t>
    <phoneticPr fontId="1" type="noConversion"/>
  </si>
  <si>
    <t>a</t>
    <phoneticPr fontId="1" type="noConversion"/>
  </si>
  <si>
    <t>c</t>
    <phoneticPr fontId="1" type="noConversion"/>
  </si>
  <si>
    <t xml:space="preserve">b </t>
    <phoneticPr fontId="1" type="noConversion"/>
  </si>
  <si>
    <t xml:space="preserve">coupon </t>
    <phoneticPr fontId="1" type="noConversion"/>
  </si>
  <si>
    <t>maturity (yr)</t>
    <phoneticPr fontId="1" type="noConversion"/>
  </si>
  <si>
    <t>par</t>
    <phoneticPr fontId="1" type="noConversion"/>
  </si>
  <si>
    <t>price</t>
    <phoneticPr fontId="1" type="noConversion"/>
  </si>
  <si>
    <t>yield to maturity</t>
    <phoneticPr fontId="1" type="noConversion"/>
  </si>
  <si>
    <t>settlement</t>
    <phoneticPr fontId="1" type="noConversion"/>
  </si>
  <si>
    <t>price per $100</t>
    <phoneticPr fontId="1" type="noConversion"/>
  </si>
  <si>
    <t>frequency</t>
    <phoneticPr fontId="1" type="noConversion"/>
  </si>
  <si>
    <t xml:space="preserve">coupon payment dates are the same </t>
    <phoneticPr fontId="1" type="noConversion"/>
  </si>
  <si>
    <t>period</t>
  </si>
  <si>
    <t>period</t>
    <phoneticPr fontId="1" type="noConversion"/>
  </si>
  <si>
    <t>b</t>
    <phoneticPr fontId="1" type="noConversion"/>
  </si>
  <si>
    <t>portfolio</t>
    <phoneticPr fontId="1" type="noConversion"/>
  </si>
  <si>
    <t>present value</t>
    <phoneticPr fontId="1" type="noConversion"/>
  </si>
  <si>
    <t>portfolio price</t>
    <phoneticPr fontId="1" type="noConversion"/>
  </si>
  <si>
    <t>yield</t>
    <phoneticPr fontId="1" type="noConversion"/>
  </si>
  <si>
    <t>sum</t>
    <phoneticPr fontId="1" type="noConversion"/>
  </si>
  <si>
    <t>diff</t>
    <phoneticPr fontId="1" type="noConversion"/>
  </si>
  <si>
    <t>average</t>
    <phoneticPr fontId="1" type="noConversion"/>
  </si>
  <si>
    <t>weighted average</t>
    <phoneticPr fontId="1" type="noConversion"/>
  </si>
  <si>
    <t>discount margin for floating rate security</t>
    <phoneticPr fontId="1" type="noConversion"/>
  </si>
  <si>
    <t>maturity</t>
    <phoneticPr fontId="1" type="noConversion"/>
  </si>
  <si>
    <t>current ref rate</t>
    <phoneticPr fontId="1" type="noConversion"/>
  </si>
  <si>
    <t>reference plus spread</t>
    <phoneticPr fontId="1" type="noConversion"/>
  </si>
  <si>
    <t>spread</t>
    <phoneticPr fontId="1" type="noConversion"/>
  </si>
  <si>
    <t>reference</t>
  </si>
  <si>
    <t>reference</t>
    <phoneticPr fontId="1" type="noConversion"/>
  </si>
  <si>
    <t>cash flow</t>
    <phoneticPr fontId="1" type="noConversion"/>
  </si>
  <si>
    <t>discount margin and present value of cash flows</t>
    <phoneticPr fontId="1" type="noConversion"/>
  </si>
  <si>
    <t>case 1</t>
    <phoneticPr fontId="1" type="noConversion"/>
  </si>
  <si>
    <t>case 2</t>
    <phoneticPr fontId="1" type="noConversion"/>
  </si>
  <si>
    <t>case 3</t>
    <phoneticPr fontId="1" type="noConversion"/>
  </si>
  <si>
    <t>interest on interest</t>
    <phoneticPr fontId="1" type="noConversion"/>
  </si>
  <si>
    <t>par</t>
    <phoneticPr fontId="1" type="noConversion"/>
  </si>
  <si>
    <t>reinvestment rate</t>
    <phoneticPr fontId="1" type="noConversion"/>
  </si>
  <si>
    <t>period</t>
    <phoneticPr fontId="1" type="noConversion"/>
  </si>
  <si>
    <t>frequency</t>
    <phoneticPr fontId="1" type="noConversion"/>
  </si>
  <si>
    <t>coupon</t>
    <phoneticPr fontId="1" type="noConversion"/>
  </si>
  <si>
    <t>value at maturity</t>
    <phoneticPr fontId="1" type="noConversion"/>
  </si>
  <si>
    <t>reinvestment frequency</t>
    <phoneticPr fontId="1" type="noConversion"/>
  </si>
  <si>
    <t>sum</t>
    <phoneticPr fontId="1" type="noConversion"/>
  </si>
  <si>
    <t>int-on-int</t>
    <phoneticPr fontId="1" type="noConversion"/>
  </si>
  <si>
    <t>yield</t>
    <phoneticPr fontId="1" type="noConversion"/>
  </si>
  <si>
    <t>total dollar return</t>
    <phoneticPr fontId="1" type="noConversion"/>
  </si>
  <si>
    <t xml:space="preserve">ratio </t>
    <phoneticPr fontId="1" type="noConversion"/>
  </si>
  <si>
    <t>no. periods</t>
    <phoneticPr fontId="1" type="noConversion"/>
  </si>
  <si>
    <t>pv</t>
    <phoneticPr fontId="1" type="noConversion"/>
  </si>
  <si>
    <t>diff</t>
    <phoneticPr fontId="1" type="noConversion"/>
  </si>
  <si>
    <t>int-on-int for r=y</t>
    <phoneticPr fontId="1" type="noConversion"/>
  </si>
  <si>
    <t xml:space="preserve">total return </t>
    <phoneticPr fontId="1" type="noConversion"/>
  </si>
  <si>
    <t>principal</t>
    <phoneticPr fontId="1" type="noConversion"/>
  </si>
  <si>
    <t xml:space="preserve">maturity </t>
    <phoneticPr fontId="1" type="noConversion"/>
  </si>
  <si>
    <t>yield</t>
    <phoneticPr fontId="1" type="noConversion"/>
  </si>
  <si>
    <t>coupon</t>
    <phoneticPr fontId="1" type="noConversion"/>
  </si>
  <si>
    <t>price</t>
    <phoneticPr fontId="1" type="noConversion"/>
  </si>
  <si>
    <t xml:space="preserve">selling at par </t>
    <phoneticPr fontId="1" type="noConversion"/>
  </si>
  <si>
    <t>period</t>
    <phoneticPr fontId="1" type="noConversion"/>
  </si>
  <si>
    <t xml:space="preserve">value at the end of investment horizon </t>
    <phoneticPr fontId="1" type="noConversion"/>
  </si>
  <si>
    <t>first 4 periods</t>
    <phoneticPr fontId="1" type="noConversion"/>
  </si>
  <si>
    <t>last 8 periods</t>
    <phoneticPr fontId="1" type="noConversion"/>
  </si>
  <si>
    <t>required yield</t>
    <phoneticPr fontId="1" type="noConversion"/>
  </si>
  <si>
    <t>sum</t>
    <phoneticPr fontId="1" type="noConversion"/>
  </si>
  <si>
    <t>value at the end of investment horizon</t>
    <phoneticPr fontId="1" type="noConversion"/>
  </si>
  <si>
    <t>total future dollar</t>
    <phoneticPr fontId="1" type="noConversion"/>
  </si>
  <si>
    <t>semi-annual basis return</t>
    <phoneticPr fontId="1" type="noConversion"/>
  </si>
  <si>
    <t xml:space="preserve">price-yield relationship </t>
    <phoneticPr fontId="1" type="noConversion"/>
  </si>
  <si>
    <t>frequency fixed at m=2</t>
    <phoneticPr fontId="1" type="noConversion"/>
  </si>
  <si>
    <t>face value fixed at F=100</t>
    <phoneticPr fontId="1" type="noConversion"/>
  </si>
  <si>
    <t xml:space="preserve">current yield 9% </t>
    <phoneticPr fontId="1" type="noConversion"/>
  </si>
  <si>
    <t>yield change</t>
    <phoneticPr fontId="1" type="noConversion"/>
  </si>
  <si>
    <t>coupon rate fixed at 6%</t>
    <phoneticPr fontId="1" type="noConversion"/>
  </si>
  <si>
    <t>maturity = 10</t>
    <phoneticPr fontId="1" type="noConversion"/>
  </si>
  <si>
    <t>yield change fixed at +1%</t>
    <phoneticPr fontId="1" type="noConversion"/>
  </si>
  <si>
    <t>original yield level</t>
    <phoneticPr fontId="1" type="noConversion"/>
  </si>
  <si>
    <t>DV01</t>
    <phoneticPr fontId="1" type="noConversion"/>
  </si>
  <si>
    <t>face value</t>
    <phoneticPr fontId="1" type="noConversion"/>
  </si>
  <si>
    <t>frequeny</t>
    <phoneticPr fontId="1" type="noConversion"/>
  </si>
  <si>
    <t>bond</t>
    <phoneticPr fontId="1" type="noConversion"/>
  </si>
  <si>
    <t>mat</t>
    <phoneticPr fontId="1" type="noConversion"/>
  </si>
  <si>
    <t>coupon rate</t>
    <phoneticPr fontId="1" type="noConversion"/>
  </si>
  <si>
    <t>initial price
at .09</t>
    <phoneticPr fontId="1" type="noConversion"/>
  </si>
  <si>
    <t>price 
at .0901</t>
    <phoneticPr fontId="1" type="noConversion"/>
  </si>
  <si>
    <t>DV01</t>
    <phoneticPr fontId="1" type="noConversion"/>
  </si>
  <si>
    <t>settlement</t>
    <phoneticPr fontId="1" type="noConversion"/>
  </si>
  <si>
    <t>maturity</t>
    <phoneticPr fontId="1" type="noConversion"/>
  </si>
  <si>
    <t>yield change</t>
    <phoneticPr fontId="1" type="noConversion"/>
  </si>
  <si>
    <t>yield for price $1 decrease</t>
    <phoneticPr fontId="1" type="noConversion"/>
  </si>
  <si>
    <t xml:space="preserve">principal </t>
    <phoneticPr fontId="1" type="noConversion"/>
  </si>
  <si>
    <t xml:space="preserve">frequency </t>
    <phoneticPr fontId="1" type="noConversion"/>
  </si>
  <si>
    <t>current yield</t>
    <phoneticPr fontId="1" type="noConversion"/>
  </si>
  <si>
    <t>dollar coupon</t>
    <phoneticPr fontId="1" type="noConversion"/>
  </si>
  <si>
    <t xml:space="preserve">per period </t>
    <phoneticPr fontId="1" type="noConversion"/>
  </si>
  <si>
    <t xml:space="preserve">maturity </t>
    <phoneticPr fontId="1" type="noConversion"/>
  </si>
  <si>
    <t xml:space="preserve">periods </t>
    <phoneticPr fontId="1" type="noConversion"/>
  </si>
  <si>
    <t>price</t>
    <phoneticPr fontId="1" type="noConversion"/>
  </si>
  <si>
    <t>coupon
per period</t>
    <phoneticPr fontId="1" type="noConversion"/>
  </si>
  <si>
    <t>duration
in periods</t>
    <phoneticPr fontId="1" type="noConversion"/>
  </si>
  <si>
    <t>dollar 
coupon</t>
    <phoneticPr fontId="1" type="noConversion"/>
  </si>
  <si>
    <t xml:space="preserve">modified duration </t>
    <phoneticPr fontId="1" type="noConversion"/>
  </si>
  <si>
    <t>maturity
in periods</t>
    <phoneticPr fontId="1" type="noConversion"/>
  </si>
  <si>
    <t>in addition, conduct scenario analysis with fixed coupon rate 3% per period</t>
    <phoneticPr fontId="1" type="noConversion"/>
  </si>
  <si>
    <t>first order approximation</t>
    <phoneticPr fontId="1" type="noConversion"/>
  </si>
  <si>
    <t>no of periods</t>
    <phoneticPr fontId="1" type="noConversion"/>
  </si>
  <si>
    <t>coupon</t>
    <phoneticPr fontId="1" type="noConversion"/>
  </si>
  <si>
    <t>per period</t>
    <phoneticPr fontId="1" type="noConversion"/>
  </si>
  <si>
    <t>yield 
per period</t>
    <phoneticPr fontId="1" type="noConversion"/>
  </si>
  <si>
    <t>modified duration</t>
    <phoneticPr fontId="1" type="noConversion"/>
  </si>
  <si>
    <t>approximate</t>
    <phoneticPr fontId="1" type="noConversion"/>
  </si>
  <si>
    <t>second order approximation</t>
    <phoneticPr fontId="1" type="noConversion"/>
  </si>
  <si>
    <t>linear</t>
    <phoneticPr fontId="1" type="noConversion"/>
  </si>
  <si>
    <t>quadratic</t>
    <phoneticPr fontId="1" type="noConversion"/>
  </si>
  <si>
    <t>coefficient</t>
    <phoneticPr fontId="1" type="noConversion"/>
  </si>
  <si>
    <t>convexity</t>
    <phoneticPr fontId="1" type="noConversion"/>
  </si>
  <si>
    <t>quad_formula</t>
    <phoneticPr fontId="1" type="noConversion"/>
  </si>
  <si>
    <t>propertis of convexity</t>
    <phoneticPr fontId="1" type="noConversion"/>
  </si>
  <si>
    <t>price</t>
    <phoneticPr fontId="1" type="noConversion"/>
  </si>
  <si>
    <t>yield 
per period</t>
    <phoneticPr fontId="1" type="noConversion"/>
  </si>
  <si>
    <t>coupon rate
per period</t>
    <phoneticPr fontId="1" type="noConversion"/>
  </si>
  <si>
    <t>target duration</t>
    <phoneticPr fontId="1" type="noConversion"/>
  </si>
  <si>
    <t>no of periods</t>
    <phoneticPr fontId="1" type="noConversion"/>
  </si>
  <si>
    <t>coupon
per period</t>
    <phoneticPr fontId="1" type="noConversion"/>
  </si>
  <si>
    <t>diff</t>
    <phoneticPr fontId="1" type="noConversion"/>
  </si>
  <si>
    <t xml:space="preserve">key rate durations </t>
    <phoneticPr fontId="1" type="noConversion"/>
  </si>
  <si>
    <t>barbell</t>
    <phoneticPr fontId="1" type="noConversion"/>
  </si>
  <si>
    <t>coupon</t>
    <phoneticPr fontId="1" type="noConversion"/>
  </si>
  <si>
    <t>maturity</t>
    <phoneticPr fontId="1" type="noConversion"/>
  </si>
  <si>
    <t>weight</t>
    <phoneticPr fontId="1" type="noConversion"/>
  </si>
  <si>
    <t>sum</t>
    <phoneticPr fontId="1" type="noConversion"/>
  </si>
  <si>
    <t>bullet</t>
    <phoneticPr fontId="1" type="noConversion"/>
  </si>
  <si>
    <t>ladder</t>
    <phoneticPr fontId="1" type="noConversion"/>
  </si>
  <si>
    <t>verticies</t>
    <phoneticPr fontId="1" type="noConversion"/>
  </si>
  <si>
    <t xml:space="preserve">duration </t>
    <phoneticPr fontId="1" type="noConversion"/>
  </si>
  <si>
    <t>maturity</t>
    <phoneticPr fontId="1" type="noConversion"/>
  </si>
  <si>
    <t>barbell</t>
    <phoneticPr fontId="1" type="noConversion"/>
  </si>
  <si>
    <t>weights</t>
    <phoneticPr fontId="1" type="noConversion"/>
  </si>
  <si>
    <t>bullet</t>
    <phoneticPr fontId="1" type="noConversion"/>
  </si>
  <si>
    <t>ladder</t>
    <phoneticPr fontId="1" type="noConversion"/>
  </si>
  <si>
    <t>time point</t>
  </si>
  <si>
    <t>A</t>
    <phoneticPr fontId="1" type="noConversion"/>
  </si>
  <si>
    <t>price $100 par</t>
    <phoneticPr fontId="1" type="noConversion"/>
  </si>
  <si>
    <t>coupon</t>
    <phoneticPr fontId="1" type="noConversion"/>
  </si>
  <si>
    <t>purchase price</t>
    <phoneticPr fontId="1" type="noConversion"/>
  </si>
  <si>
    <t>cash flow in 0.5 year</t>
    <phoneticPr fontId="1" type="noConversion"/>
  </si>
  <si>
    <t>cash flow in 1  year</t>
    <phoneticPr fontId="1" type="noConversion"/>
  </si>
  <si>
    <t>C</t>
    <phoneticPr fontId="1" type="noConversion"/>
  </si>
  <si>
    <t>D</t>
    <phoneticPr fontId="1" type="noConversion"/>
  </si>
  <si>
    <t>maturity (yr)</t>
    <phoneticPr fontId="1" type="noConversion"/>
  </si>
  <si>
    <t>position (par)</t>
    <phoneticPr fontId="1" type="noConversion"/>
  </si>
  <si>
    <t>arbitrage example</t>
    <phoneticPr fontId="1" type="noConversion"/>
  </si>
  <si>
    <t>Period</t>
  </si>
  <si>
    <t>Years</t>
  </si>
  <si>
    <t>02/01/2023</t>
  </si>
  <si>
    <t>Date</t>
  </si>
  <si>
    <t>1 Mo</t>
  </si>
  <si>
    <t>2 Mo</t>
  </si>
  <si>
    <t>3 Mo</t>
  </si>
  <si>
    <t>4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</si>
  <si>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</si>
  <si>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</si>
  <si>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</si>
  <si>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</si>
  <si>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</si>
  <si>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</si>
  <si>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</si>
  <si>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</si>
  <si>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</si>
  <si>
    <t>01/05/2022</t>
  </si>
  <si>
    <t>01/03/2018</t>
  </si>
  <si>
    <t>09/01/2006</t>
  </si>
  <si>
    <t>time in years</t>
    <phoneticPr fontId="1" type="noConversion"/>
  </si>
  <si>
    <t>par yield curve</t>
    <phoneticPr fontId="1" type="noConversion"/>
  </si>
  <si>
    <t>bootstrapping</t>
    <phoneticPr fontId="1" type="noConversion"/>
  </si>
  <si>
    <t>par yield</t>
    <phoneticPr fontId="1" type="noConversion"/>
  </si>
  <si>
    <t>zero</t>
    <phoneticPr fontId="1" type="noConversion"/>
  </si>
  <si>
    <t>spot rate</t>
    <phoneticPr fontId="1" type="noConversion"/>
  </si>
  <si>
    <t>inverted power</t>
    <phoneticPr fontId="1" type="noConversion"/>
  </si>
  <si>
    <t xml:space="preserve">pricing </t>
    <phoneticPr fontId="1" type="noConversion"/>
  </si>
  <si>
    <t xml:space="preserve">par </t>
    <phoneticPr fontId="1" type="noConversion"/>
  </si>
  <si>
    <t>coupon</t>
    <phoneticPr fontId="1" type="noConversion"/>
  </si>
  <si>
    <t>maturity (yr)</t>
    <phoneticPr fontId="1" type="noConversion"/>
  </si>
  <si>
    <t>cash flow</t>
    <phoneticPr fontId="1" type="noConversion"/>
  </si>
  <si>
    <t>pv</t>
    <phoneticPr fontId="1" type="noConversion"/>
  </si>
  <si>
    <t>sum</t>
    <phoneticPr fontId="1" type="noConversion"/>
  </si>
  <si>
    <t>spot rate</t>
  </si>
  <si>
    <t>forward curve</t>
    <phoneticPr fontId="1" type="noConversion"/>
  </si>
  <si>
    <t>forward rate</t>
    <phoneticPr fontId="1" type="noConversion"/>
  </si>
  <si>
    <t>1+forward/2</t>
    <phoneticPr fontId="1" type="noConversion"/>
  </si>
  <si>
    <t xml:space="preserve">product </t>
    <phoneticPr fontId="1" type="noConversion"/>
  </si>
  <si>
    <t>Day</t>
  </si>
  <si>
    <t>3 mos</t>
  </si>
  <si>
    <t>6 mos</t>
  </si>
  <si>
    <t>1 yr</t>
  </si>
  <si>
    <t>2 yrs</t>
  </si>
  <si>
    <t>3 yrs</t>
  </si>
  <si>
    <t>4/23/2001</t>
  </si>
  <si>
    <t>4/10/1992</t>
  </si>
  <si>
    <t>8/14/1981</t>
  </si>
  <si>
    <t>1/3/1990</t>
  </si>
  <si>
    <t>1/4/2001</t>
  </si>
  <si>
    <t>Normal</t>
  </si>
  <si>
    <t>Steep</t>
  </si>
  <si>
    <t>Inverted</t>
  </si>
  <si>
    <t>Flat</t>
  </si>
  <si>
    <t>Humped</t>
  </si>
  <si>
    <t>5 yrs</t>
    <phoneticPr fontId="1" type="noConversion"/>
  </si>
  <si>
    <t>7 yrs</t>
    <phoneticPr fontId="1" type="noConversion"/>
  </si>
  <si>
    <t>10 yrs</t>
    <phoneticPr fontId="1" type="noConversion"/>
  </si>
  <si>
    <t>20 yrs</t>
    <phoneticPr fontId="1" type="noConversion"/>
  </si>
  <si>
    <t>30 yrs</t>
    <phoneticPr fontId="1" type="noConversion"/>
  </si>
  <si>
    <t>shape</t>
    <phoneticPr fontId="1" type="noConversion"/>
  </si>
  <si>
    <t>shape of term structure</t>
    <phoneticPr fontId="1" type="noConversion"/>
  </si>
  <si>
    <t xml:space="preserve">n.a. </t>
    <phoneticPr fontId="1" type="noConversion"/>
  </si>
  <si>
    <t>time point</t>
    <phoneticPr fontId="1" type="noConversion"/>
  </si>
  <si>
    <t>present value of a series of future values</t>
    <phoneticPr fontId="1" type="noConversion"/>
  </si>
  <si>
    <t>year</t>
    <phoneticPr fontId="1" type="noConversion"/>
  </si>
  <si>
    <t>payment</t>
    <phoneticPr fontId="1" type="noConversion"/>
  </si>
  <si>
    <t>expected return</t>
    <phoneticPr fontId="1" type="noConversion"/>
  </si>
  <si>
    <t>pv</t>
    <phoneticPr fontId="1" type="noConversion"/>
  </si>
  <si>
    <t>product2</t>
  </si>
  <si>
    <t xml:space="preserve">z2 ,z3 있으면 f[2,3] 구할 수 있음. </t>
  </si>
  <si>
    <t>c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</si>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</sst>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_-* #,##0_-;\-* #,##0_-;_-* &quot;-&quot;_-;_-@_-"/>
    <numFmt numFmtId="165" formatCode="_-* #,##0.00_-;\-* #,##0.00_-;_-* &quot;-&quot;??_-;_-@_-"/>
    <numFmt numFmtId="166" formatCode="0.0_ "/>
    <numFmt numFmtId="167" formatCode="0.E+00"/>
    <numFmt numFmtId="168" formatCode="_-* #,##0.00_-;\-* #,##0.00_-;_-* &quot;-&quot;_-;_-@_-"/>
    <numFmt numFmtId="169" formatCode="_-* #,##0.000_-;\-* #,##0.000_-;_-* &quot;-&quot;??_-;_-@_-"/>
    <numFmt numFmtId="170" formatCode="0.00.E+00"/>
    <numFmt numFmtId="171" formatCode="0.00000"/>
    <numFmt numFmtId="172" formatCode="_-* #,##0.000_-;\-* #,##0.000_-;_-* &quot;-&quot;_-;_-@_-"/>
    <numFmt numFmtId="173" formatCode="0.000"/>
    <numFmt numFmtId="174" formatCode="0.0000"/>
    <numFmt numFmtId="175" formatCode="0.00000000000000_ "/>
    <numFmt numFmtId="176" formatCode="0.00000000"/>
  </numFmts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26"/>
      <color theme="1"/>
      <name val="Calibri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2" fontId="0" fillId="2" borderId="6" xfId="0" applyNumberFormat="1" applyFill="1" applyBorder="1">
      <alignment vertical="center"/>
    </xf>
    <xf numFmtId="0" fontId="0" fillId="0" borderId="0" xfId="0" applyAlignment="1">
      <alignment vertical="center" wrapText="1"/>
    </xf>
    <xf numFmtId="166" fontId="0" fillId="0" borderId="0" xfId="0" applyNumberFormat="1">
      <alignment vertical="center"/>
    </xf>
    <xf numFmtId="0" fontId="0" fillId="2" borderId="0" xfId="0" applyFill="1">
      <alignment vertical="center"/>
    </xf>
    <xf numFmtId="2" fontId="0" fillId="2" borderId="0" xfId="0" applyNumberFormat="1" applyFill="1">
      <alignment vertical="center"/>
    </xf>
    <xf numFmtId="0" fontId="3" fillId="0" borderId="0" xfId="0" applyFont="1">
      <alignment vertical="center"/>
    </xf>
    <xf numFmtId="164" fontId="0" fillId="0" borderId="0" xfId="1" applyFont="1">
      <alignment vertical="center"/>
    </xf>
    <xf numFmtId="165" fontId="0" fillId="0" borderId="0" xfId="0" applyNumberFormat="1">
      <alignment vertical="center"/>
    </xf>
    <xf numFmtId="168" fontId="0" fillId="0" borderId="0" xfId="1" applyNumberFormat="1" applyFont="1">
      <alignment vertical="center"/>
    </xf>
    <xf numFmtId="164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171" fontId="0" fillId="0" borderId="0" xfId="0" applyNumberFormat="1">
      <alignment vertical="center"/>
    </xf>
    <xf numFmtId="14" fontId="0" fillId="0" borderId="0" xfId="0" applyNumberFormat="1">
      <alignment vertical="center"/>
    </xf>
    <xf numFmtId="164" fontId="0" fillId="3" borderId="0" xfId="1" applyFont="1" applyFill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72" fontId="0" fillId="3" borderId="0" xfId="1" applyNumberFormat="1" applyFont="1" applyFill="1">
      <alignment vertical="center"/>
    </xf>
    <xf numFmtId="173" fontId="0" fillId="0" borderId="0" xfId="0" applyNumberFormat="1">
      <alignment vertical="center"/>
    </xf>
    <xf numFmtId="173" fontId="0" fillId="3" borderId="0" xfId="0" applyNumberFormat="1" applyFill="1">
      <alignment vertical="center"/>
    </xf>
    <xf numFmtId="174" fontId="0" fillId="0" borderId="0" xfId="0" applyNumberFormat="1">
      <alignment vertical="center"/>
    </xf>
    <xf numFmtId="0" fontId="0" fillId="4" borderId="0" xfId="0" applyFill="1">
      <alignment vertical="center"/>
    </xf>
    <xf numFmtId="1" fontId="0" fillId="0" borderId="0" xfId="0" applyNumberFormat="1">
      <alignment vertical="center"/>
    </xf>
    <xf numFmtId="14" fontId="0" fillId="0" borderId="0" xfId="0" applyNumberFormat="1" applyAlignment="1">
      <alignment horizontal="right" vertical="center"/>
    </xf>
    <xf numFmtId="0" fontId="0" fillId="2" borderId="0" xfId="0" applyFill="1" applyAlignment="1">
      <alignment horizontal="right" vertical="center"/>
    </xf>
    <xf numFmtId="14" fontId="0" fillId="0" borderId="2" xfId="0" applyNumberFormat="1" applyBorder="1">
      <alignment vertical="center"/>
    </xf>
    <xf numFmtId="0" fontId="0" fillId="0" borderId="0" xfId="0" applyAlignment="1">
      <alignment horizontal="left" vertical="center" wrapText="1"/>
    </xf>
    <xf numFmtId="0" fontId="0" fillId="5" borderId="0" xfId="0" applyFill="1">
      <alignment vertical="center"/>
    </xf>
    <xf numFmtId="176" fontId="0" fillId="0" borderId="0" xfId="0" applyNumberFormat="1">
      <alignment vertical="center"/>
    </xf>
    <xf numFmtId="165" fontId="0" fillId="6" borderId="0" xfId="0" applyNumberFormat="1" applyFill="1">
      <alignment vertical="center"/>
    </xf>
    <xf numFmtId="164" fontId="0" fillId="6" borderId="0" xfId="0" applyNumberFormat="1" applyFill="1">
      <alignment vertical="center"/>
    </xf>
    <xf numFmtId="164" fontId="0" fillId="6" borderId="0" xfId="1" applyFont="1" applyFill="1">
      <alignment vertical="center"/>
    </xf>
    <xf numFmtId="0" fontId="0" fillId="6" borderId="0" xfId="0" applyFill="1">
      <alignment vertical="center"/>
    </xf>
    <xf numFmtId="174" fontId="0" fillId="6" borderId="0" xfId="0" applyNumberFormat="1" applyFill="1">
      <alignment vertical="center"/>
    </xf>
    <xf numFmtId="2" fontId="0" fillId="6" borderId="0" xfId="0" applyNumberFormat="1" applyFill="1">
      <alignment vertical="center"/>
    </xf>
    <xf numFmtId="173" fontId="0" fillId="6" borderId="0" xfId="0" applyNumberFormat="1" applyFill="1">
      <alignment vertical="center"/>
    </xf>
    <xf numFmtId="10" fontId="0" fillId="6" borderId="0" xfId="2" applyNumberFormat="1" applyFont="1" applyFill="1">
      <alignment vertical="center"/>
    </xf>
    <xf numFmtId="14" fontId="0" fillId="6" borderId="4" xfId="0" applyNumberFormat="1" applyFill="1" applyBorder="1">
      <alignment vertical="center"/>
    </xf>
    <xf numFmtId="14" fontId="0" fillId="6" borderId="6" xfId="0" applyNumberFormat="1" applyFill="1" applyBorder="1">
      <alignment vertical="center"/>
    </xf>
    <xf numFmtId="167" fontId="0" fillId="6" borderId="0" xfId="0" applyNumberFormat="1" applyFill="1">
      <alignment vertical="center"/>
    </xf>
    <xf numFmtId="169" fontId="0" fillId="6" borderId="0" xfId="0" applyNumberFormat="1" applyFill="1">
      <alignment vertical="center"/>
    </xf>
    <xf numFmtId="170" fontId="0" fillId="6" borderId="0" xfId="0" applyNumberFormat="1" applyFill="1">
      <alignment vertical="center"/>
    </xf>
    <xf numFmtId="168" fontId="0" fillId="6" borderId="0" xfId="1" applyNumberFormat="1" applyFont="1" applyFill="1">
      <alignment vertical="center"/>
    </xf>
    <xf numFmtId="168" fontId="0" fillId="6" borderId="0" xfId="0" applyNumberFormat="1" applyFill="1">
      <alignment vertical="center"/>
    </xf>
    <xf numFmtId="175" fontId="0" fillId="6" borderId="0" xfId="0" applyNumberFormat="1" applyFill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4" fontId="0" fillId="2" borderId="0" xfId="0" applyNumberFormat="1" applyFill="1">
      <alignment vertical="center"/>
    </xf>
  </cellXfs>
  <cellStyles count="3">
    <cellStyle name="Comma [0]" xfId="1" builtinId="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comparison of bond prices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1st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price!$E$30:$E$70</c:f>
              <c:numCache>
                <c:formatCode>General</c:formatCode>
                <c:ptCount val="41"/>
                <c:pt idx="0">
                  <c:v>20</c:v>
                </c:pt>
                <c:pt idx="1">
                  <c:v>19.5</c:v>
                </c:pt>
                <c:pt idx="2">
                  <c:v>19</c:v>
                </c:pt>
                <c:pt idx="3">
                  <c:v>18.5</c:v>
                </c:pt>
                <c:pt idx="4">
                  <c:v>18</c:v>
                </c:pt>
                <c:pt idx="5">
                  <c:v>17.5</c:v>
                </c:pt>
                <c:pt idx="6">
                  <c:v>17</c:v>
                </c:pt>
                <c:pt idx="7">
                  <c:v>16.5</c:v>
                </c:pt>
                <c:pt idx="8">
                  <c:v>16</c:v>
                </c:pt>
                <c:pt idx="9">
                  <c:v>15.5</c:v>
                </c:pt>
                <c:pt idx="10">
                  <c:v>15</c:v>
                </c:pt>
                <c:pt idx="11">
                  <c:v>14.5</c:v>
                </c:pt>
                <c:pt idx="12">
                  <c:v>14</c:v>
                </c:pt>
                <c:pt idx="13">
                  <c:v>13.5</c:v>
                </c:pt>
                <c:pt idx="14">
                  <c:v>13</c:v>
                </c:pt>
                <c:pt idx="15">
                  <c:v>12.5</c:v>
                </c:pt>
                <c:pt idx="16">
                  <c:v>12</c:v>
                </c:pt>
                <c:pt idx="17">
                  <c:v>11.5</c:v>
                </c:pt>
                <c:pt idx="18">
                  <c:v>11</c:v>
                </c:pt>
                <c:pt idx="19">
                  <c:v>10.5</c:v>
                </c:pt>
                <c:pt idx="20">
                  <c:v>10</c:v>
                </c:pt>
                <c:pt idx="21">
                  <c:v>9.5</c:v>
                </c:pt>
                <c:pt idx="22">
                  <c:v>9</c:v>
                </c:pt>
                <c:pt idx="23">
                  <c:v>8.5</c:v>
                </c:pt>
                <c:pt idx="24">
                  <c:v>8</c:v>
                </c:pt>
                <c:pt idx="25">
                  <c:v>7.5</c:v>
                </c:pt>
                <c:pt idx="26">
                  <c:v>7</c:v>
                </c:pt>
                <c:pt idx="27">
                  <c:v>6.5</c:v>
                </c:pt>
                <c:pt idx="28">
                  <c:v>6</c:v>
                </c:pt>
                <c:pt idx="29">
                  <c:v>5.5</c:v>
                </c:pt>
                <c:pt idx="30">
                  <c:v>5</c:v>
                </c:pt>
                <c:pt idx="31">
                  <c:v>4.5</c:v>
                </c:pt>
                <c:pt idx="32">
                  <c:v>4</c:v>
                </c:pt>
                <c:pt idx="33">
                  <c:v>3.5</c:v>
                </c:pt>
                <c:pt idx="34">
                  <c:v>3</c:v>
                </c:pt>
                <c:pt idx="35">
                  <c:v>2.5</c:v>
                </c:pt>
                <c:pt idx="36">
                  <c:v>2</c:v>
                </c:pt>
                <c:pt idx="37">
                  <c:v>1.5</c:v>
                </c:pt>
                <c:pt idx="38">
                  <c:v>1</c:v>
                </c:pt>
                <c:pt idx="39">
                  <c:v>0.5</c:v>
                </c:pt>
                <c:pt idx="40">
                  <c:v>0</c:v>
                </c:pt>
              </c:numCache>
            </c:numRef>
          </c:xVal>
          <c:yVal>
            <c:numRef>
              <c:f>price!$F$30:$F$70</c:f>
              <c:numCache>
                <c:formatCode>0.00</c:formatCode>
                <c:ptCount val="41"/>
                <c:pt idx="0">
                  <c:v>849.53703128475104</c:v>
                </c:pt>
                <c:pt idx="1">
                  <c:v>850.509253161836</c:v>
                </c:pt>
                <c:pt idx="2">
                  <c:v>851.53980835154618</c:v>
                </c:pt>
                <c:pt idx="3">
                  <c:v>852.63219685263891</c:v>
                </c:pt>
                <c:pt idx="4">
                  <c:v>853.7901286637973</c:v>
                </c:pt>
                <c:pt idx="5">
                  <c:v>855.01753638362493</c:v>
                </c:pt>
                <c:pt idx="6">
                  <c:v>856.31858856664269</c:v>
                </c:pt>
                <c:pt idx="7">
                  <c:v>857.69770388064126</c:v>
                </c:pt>
                <c:pt idx="8">
                  <c:v>859.15956611347974</c:v>
                </c:pt>
                <c:pt idx="9">
                  <c:v>860.70914008028842</c:v>
                </c:pt>
                <c:pt idx="10">
                  <c:v>862.35168848510557</c:v>
                </c:pt>
                <c:pt idx="11">
                  <c:v>864.09278979421219</c:v>
                </c:pt>
                <c:pt idx="12">
                  <c:v>865.93835718186483</c:v>
                </c:pt>
                <c:pt idx="13">
                  <c:v>867.89465861277665</c:v>
                </c:pt>
                <c:pt idx="14">
                  <c:v>869.96833812954333</c:v>
                </c:pt>
                <c:pt idx="15">
                  <c:v>872.16643841731593</c:v>
                </c:pt>
                <c:pt idx="16">
                  <c:v>874.49642472235485</c:v>
                </c:pt>
                <c:pt idx="17">
                  <c:v>876.96621020569614</c:v>
                </c:pt>
                <c:pt idx="18">
                  <c:v>879.58418281803779</c:v>
                </c:pt>
                <c:pt idx="19">
                  <c:v>882.35923378712016</c:v>
                </c:pt>
                <c:pt idx="20">
                  <c:v>885.30078781434736</c:v>
                </c:pt>
                <c:pt idx="21">
                  <c:v>888.41883508320825</c:v>
                </c:pt>
                <c:pt idx="22">
                  <c:v>891.72396518820074</c:v>
                </c:pt>
                <c:pt idx="23">
                  <c:v>895.22740309949268</c:v>
                </c:pt>
                <c:pt idx="24">
                  <c:v>898.94104728546222</c:v>
                </c:pt>
                <c:pt idx="25">
                  <c:v>902.87751012259014</c:v>
                </c:pt>
                <c:pt idx="26">
                  <c:v>907.05016072994545</c:v>
                </c:pt>
                <c:pt idx="27">
                  <c:v>911.47317037374228</c:v>
                </c:pt>
                <c:pt idx="28">
                  <c:v>916.16156059616674</c:v>
                </c:pt>
                <c:pt idx="29">
                  <c:v>921.13125423193674</c:v>
                </c:pt>
                <c:pt idx="30">
                  <c:v>926.39912948585288</c:v>
                </c:pt>
                <c:pt idx="31">
                  <c:v>931.98307725500422</c:v>
                </c:pt>
                <c:pt idx="32">
                  <c:v>937.90206189030448</c:v>
                </c:pt>
                <c:pt idx="33">
                  <c:v>944.17618560372273</c:v>
                </c:pt>
                <c:pt idx="34">
                  <c:v>950.82675673994606</c:v>
                </c:pt>
                <c:pt idx="35">
                  <c:v>957.87636214434281</c:v>
                </c:pt>
                <c:pt idx="36">
                  <c:v>965.34894387300346</c:v>
                </c:pt>
                <c:pt idx="37">
                  <c:v>973.26988050538364</c:v>
                </c:pt>
                <c:pt idx="38">
                  <c:v>981.66607333570664</c:v>
                </c:pt>
                <c:pt idx="39">
                  <c:v>990.56603773584902</c:v>
                </c:pt>
                <c:pt idx="40">
                  <c:v>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522-4D75-AA2A-DC5CF69B2CA1}"/>
            </c:ext>
          </c:extLst>
        </c:ser>
        <c:ser>
          <c:idx val="1"/>
          <c:order val="1"/>
          <c:tx>
            <c:v>2nd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price!$K$30:$K$70</c:f>
              <c:numCache>
                <c:formatCode>General</c:formatCode>
                <c:ptCount val="41"/>
                <c:pt idx="0">
                  <c:v>20</c:v>
                </c:pt>
                <c:pt idx="1">
                  <c:v>19.5</c:v>
                </c:pt>
                <c:pt idx="2">
                  <c:v>19</c:v>
                </c:pt>
                <c:pt idx="3">
                  <c:v>18.5</c:v>
                </c:pt>
                <c:pt idx="4">
                  <c:v>18</c:v>
                </c:pt>
                <c:pt idx="5">
                  <c:v>17.5</c:v>
                </c:pt>
                <c:pt idx="6">
                  <c:v>17</c:v>
                </c:pt>
                <c:pt idx="7">
                  <c:v>16.5</c:v>
                </c:pt>
                <c:pt idx="8">
                  <c:v>16</c:v>
                </c:pt>
                <c:pt idx="9">
                  <c:v>15.5</c:v>
                </c:pt>
                <c:pt idx="10">
                  <c:v>15</c:v>
                </c:pt>
                <c:pt idx="11">
                  <c:v>14.5</c:v>
                </c:pt>
                <c:pt idx="12">
                  <c:v>14</c:v>
                </c:pt>
                <c:pt idx="13">
                  <c:v>13.5</c:v>
                </c:pt>
                <c:pt idx="14">
                  <c:v>13</c:v>
                </c:pt>
                <c:pt idx="15">
                  <c:v>12.5</c:v>
                </c:pt>
                <c:pt idx="16">
                  <c:v>12</c:v>
                </c:pt>
                <c:pt idx="17">
                  <c:v>11.5</c:v>
                </c:pt>
                <c:pt idx="18">
                  <c:v>11</c:v>
                </c:pt>
                <c:pt idx="19">
                  <c:v>10.5</c:v>
                </c:pt>
                <c:pt idx="20">
                  <c:v>10</c:v>
                </c:pt>
                <c:pt idx="21">
                  <c:v>9.5</c:v>
                </c:pt>
                <c:pt idx="22">
                  <c:v>9</c:v>
                </c:pt>
                <c:pt idx="23">
                  <c:v>8.5</c:v>
                </c:pt>
                <c:pt idx="24">
                  <c:v>8</c:v>
                </c:pt>
                <c:pt idx="25">
                  <c:v>7.5</c:v>
                </c:pt>
                <c:pt idx="26">
                  <c:v>7</c:v>
                </c:pt>
                <c:pt idx="27">
                  <c:v>6.5</c:v>
                </c:pt>
                <c:pt idx="28">
                  <c:v>6</c:v>
                </c:pt>
                <c:pt idx="29">
                  <c:v>5.5</c:v>
                </c:pt>
                <c:pt idx="30">
                  <c:v>5</c:v>
                </c:pt>
                <c:pt idx="31">
                  <c:v>4.5</c:v>
                </c:pt>
                <c:pt idx="32">
                  <c:v>4</c:v>
                </c:pt>
                <c:pt idx="33">
                  <c:v>3.5</c:v>
                </c:pt>
                <c:pt idx="34">
                  <c:v>3</c:v>
                </c:pt>
                <c:pt idx="35">
                  <c:v>2.5</c:v>
                </c:pt>
                <c:pt idx="36">
                  <c:v>2</c:v>
                </c:pt>
                <c:pt idx="37">
                  <c:v>1.5</c:v>
                </c:pt>
                <c:pt idx="38">
                  <c:v>1</c:v>
                </c:pt>
                <c:pt idx="39">
                  <c:v>0.5</c:v>
                </c:pt>
                <c:pt idx="40">
                  <c:v>0</c:v>
                </c:pt>
              </c:numCache>
            </c:numRef>
          </c:xVal>
          <c:yVal>
            <c:numRef>
              <c:f>price!$L$30:$L$70</c:f>
              <c:numCache>
                <c:formatCode>0.00</c:formatCode>
                <c:ptCount val="41"/>
                <c:pt idx="0">
                  <c:v>1220.9983991771542</c:v>
                </c:pt>
                <c:pt idx="1">
                  <c:v>1218.6173367450629</c:v>
                </c:pt>
                <c:pt idx="2">
                  <c:v>1216.1434128781204</c:v>
                </c:pt>
                <c:pt idx="3">
                  <c:v>1213.573005980367</c:v>
                </c:pt>
                <c:pt idx="4">
                  <c:v>1210.9023532136014</c:v>
                </c:pt>
                <c:pt idx="5">
                  <c:v>1208.127544988932</c:v>
                </c:pt>
                <c:pt idx="6">
                  <c:v>1205.2445192435002</c:v>
                </c:pt>
                <c:pt idx="7">
                  <c:v>1202.2490554939968</c:v>
                </c:pt>
                <c:pt idx="8">
                  <c:v>1199.1367686582626</c:v>
                </c:pt>
                <c:pt idx="9">
                  <c:v>1195.9031026359348</c:v>
                </c:pt>
                <c:pt idx="10">
                  <c:v>1192.5433236387362</c:v>
                </c:pt>
                <c:pt idx="11">
                  <c:v>1189.0525132606472</c:v>
                </c:pt>
                <c:pt idx="12">
                  <c:v>1185.4255612778124</c:v>
                </c:pt>
                <c:pt idx="13">
                  <c:v>1181.6571581676471</c:v>
                </c:pt>
                <c:pt idx="14">
                  <c:v>1177.7417873361853</c:v>
                </c:pt>
                <c:pt idx="15">
                  <c:v>1173.6737170422964</c:v>
                </c:pt>
                <c:pt idx="16">
                  <c:v>1169.4469920069462</c:v>
                </c:pt>
                <c:pt idx="17">
                  <c:v>1165.055424695217</c:v>
                </c:pt>
                <c:pt idx="18">
                  <c:v>1160.4925862583304</c:v>
                </c:pt>
                <c:pt idx="19">
                  <c:v>1155.7517971224054</c:v>
                </c:pt>
                <c:pt idx="20">
                  <c:v>1150.8261172101793</c:v>
                </c:pt>
                <c:pt idx="21">
                  <c:v>1145.7083357813763</c:v>
                </c:pt>
                <c:pt idx="22">
                  <c:v>1140.3909608768499</c:v>
                </c:pt>
                <c:pt idx="23">
                  <c:v>1134.8662083510471</c:v>
                </c:pt>
                <c:pt idx="24">
                  <c:v>1129.125990476738</c:v>
                </c:pt>
                <c:pt idx="25">
                  <c:v>1123.1619041053309</c:v>
                </c:pt>
                <c:pt idx="26">
                  <c:v>1116.9652183654387</c:v>
                </c:pt>
                <c:pt idx="27">
                  <c:v>1110.5268618816908</c:v>
                </c:pt>
                <c:pt idx="28">
                  <c:v>1103.8374094950768</c:v>
                </c:pt>
                <c:pt idx="29">
                  <c:v>1096.8870684653848</c:v>
                </c:pt>
                <c:pt idx="30">
                  <c:v>1089.6656641355348</c:v>
                </c:pt>
                <c:pt idx="31">
                  <c:v>1082.1626250368208</c:v>
                </c:pt>
                <c:pt idx="32">
                  <c:v>1074.366967413257</c:v>
                </c:pt>
                <c:pt idx="33">
                  <c:v>1066.2672791423738</c:v>
                </c:pt>
                <c:pt idx="34">
                  <c:v>1057.8517030289265</c:v>
                </c:pt>
                <c:pt idx="35">
                  <c:v>1049.1079194470547</c:v>
                </c:pt>
                <c:pt idx="36">
                  <c:v>1040.0231283054898</c:v>
                </c:pt>
                <c:pt idx="37">
                  <c:v>1030.5840303094039</c:v>
                </c:pt>
                <c:pt idx="38">
                  <c:v>1020.7768074914707</c:v>
                </c:pt>
                <c:pt idx="39">
                  <c:v>1010.5871029836381</c:v>
                </c:pt>
                <c:pt idx="40">
                  <c:v>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522-4D75-AA2A-DC5CF69B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0247423"/>
        <c:axId val="830084335"/>
      </c:scatterChart>
      <c:valAx>
        <c:axId val="750247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maturity (in years)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084335"/>
        <c:crosses val="autoZero"/>
        <c:crossBetween val="midCat"/>
      </c:valAx>
      <c:valAx>
        <c:axId val="830084335"/>
        <c:scaling>
          <c:orientation val="minMax"/>
          <c:min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bond price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2474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price vs. yield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price!$O$30:$O$52</c:f>
              <c:numCache>
                <c:formatCode>General</c:formatCode>
                <c:ptCount val="23"/>
                <c:pt idx="0">
                  <c:v>0.01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2.5000000000000001E-2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0.04</c:v>
                </c:pt>
                <c:pt idx="7">
                  <c:v>4.4999999999999998E-2</c:v>
                </c:pt>
                <c:pt idx="8">
                  <c:v>0.05</c:v>
                </c:pt>
                <c:pt idx="9">
                  <c:v>5.5E-2</c:v>
                </c:pt>
                <c:pt idx="10">
                  <c:v>0.06</c:v>
                </c:pt>
                <c:pt idx="11">
                  <c:v>6.5000000000000002E-2</c:v>
                </c:pt>
                <c:pt idx="12">
                  <c:v>7.0000000000000007E-2</c:v>
                </c:pt>
                <c:pt idx="13">
                  <c:v>7.4999999999999997E-2</c:v>
                </c:pt>
                <c:pt idx="14">
                  <c:v>0.08</c:v>
                </c:pt>
                <c:pt idx="15">
                  <c:v>8.5000000000000006E-2</c:v>
                </c:pt>
                <c:pt idx="16">
                  <c:v>0.09</c:v>
                </c:pt>
                <c:pt idx="17">
                  <c:v>9.5000000000000001E-2</c:v>
                </c:pt>
                <c:pt idx="18">
                  <c:v>0.1</c:v>
                </c:pt>
                <c:pt idx="19">
                  <c:v>0.105</c:v>
                </c:pt>
                <c:pt idx="20">
                  <c:v>0.11</c:v>
                </c:pt>
                <c:pt idx="21">
                  <c:v>0.115</c:v>
                </c:pt>
                <c:pt idx="22">
                  <c:v>0.12</c:v>
                </c:pt>
              </c:numCache>
            </c:numRef>
          </c:xVal>
          <c:yVal>
            <c:numRef>
              <c:f>price!$P$30:$P$52</c:f>
              <c:numCache>
                <c:formatCode>General</c:formatCode>
                <c:ptCount val="23"/>
                <c:pt idx="0">
                  <c:v>1854.4338616001187</c:v>
                </c:pt>
                <c:pt idx="1">
                  <c:v>1786.5908369822578</c:v>
                </c:pt>
                <c:pt idx="2">
                  <c:v>1721.8221186508185</c:v>
                </c:pt>
                <c:pt idx="3">
                  <c:v>1659.9743550334597</c:v>
                </c:pt>
                <c:pt idx="4">
                  <c:v>1600.9023574778628</c:v>
                </c:pt>
                <c:pt idx="5">
                  <c:v>1544.4686424043848</c:v>
                </c:pt>
                <c:pt idx="6">
                  <c:v>1490.5430003379133</c:v>
                </c:pt>
                <c:pt idx="7">
                  <c:v>1439.0020901743369</c:v>
                </c:pt>
                <c:pt idx="8">
                  <c:v>1389.7290571411697</c:v>
                </c:pt>
                <c:pt idx="9">
                  <c:v>1342.6131730099514</c:v>
                </c:pt>
                <c:pt idx="10">
                  <c:v>1297.5494972091101</c:v>
                </c:pt>
                <c:pt idx="11">
                  <c:v>1254.4385575713491</c:v>
                </c:pt>
                <c:pt idx="12">
                  <c:v>1213.186049529284</c:v>
                </c:pt>
                <c:pt idx="13">
                  <c:v>1173.7025526476104</c:v>
                </c:pt>
                <c:pt idx="14">
                  <c:v>1135.9032634496771</c:v>
                </c:pt>
                <c:pt idx="15">
                  <c:v>1099.7077435615206</c:v>
                </c:pt>
                <c:pt idx="16">
                  <c:v>1065.0396822572684</c:v>
                </c:pt>
                <c:pt idx="17">
                  <c:v>1031.8266725468206</c:v>
                </c:pt>
                <c:pt idx="18">
                  <c:v>999.99999999999989</c:v>
                </c:pt>
                <c:pt idx="19">
                  <c:v>969.49444355121568</c:v>
                </c:pt>
                <c:pt idx="20">
                  <c:v>940.24808757535845</c:v>
                </c:pt>
                <c:pt idx="21">
                  <c:v>912.20214456931103</c:v>
                </c:pt>
                <c:pt idx="22">
                  <c:v>885.30078781434736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E59-42CE-B500-7966C8389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2986976"/>
        <c:axId val="594049232"/>
      </c:scatterChart>
      <c:valAx>
        <c:axId val="67298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yield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049232"/>
        <c:crosses val="autoZero"/>
        <c:crossBetween val="midCat"/>
      </c:valAx>
      <c:valAx>
        <c:axId val="594049232"/>
        <c:scaling>
          <c:orientation val="minMax"/>
          <c:min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bond price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986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full price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'accrued interest'!$E$6:$E$104</c:f>
              <c:numCache>
                <c:formatCode>General</c:formatCode>
                <c:ptCount val="99"/>
                <c:pt idx="0">
                  <c:v>9.9</c:v>
                </c:pt>
                <c:pt idx="1">
                  <c:v>9.8000000000000007</c:v>
                </c:pt>
                <c:pt idx="2">
                  <c:v>9.7000000000000011</c:v>
                </c:pt>
                <c:pt idx="3">
                  <c:v>9.6000000000000014</c:v>
                </c:pt>
                <c:pt idx="4">
                  <c:v>9.5000000000000018</c:v>
                </c:pt>
                <c:pt idx="5">
                  <c:v>9.4000000000000021</c:v>
                </c:pt>
                <c:pt idx="6">
                  <c:v>9.3000000000000025</c:v>
                </c:pt>
                <c:pt idx="7">
                  <c:v>9.2000000000000028</c:v>
                </c:pt>
                <c:pt idx="8">
                  <c:v>9.1000000000000032</c:v>
                </c:pt>
                <c:pt idx="9">
                  <c:v>9.0000000000000036</c:v>
                </c:pt>
                <c:pt idx="10">
                  <c:v>8.9000000000000039</c:v>
                </c:pt>
                <c:pt idx="11">
                  <c:v>8.8000000000000043</c:v>
                </c:pt>
                <c:pt idx="12">
                  <c:v>8.7000000000000046</c:v>
                </c:pt>
                <c:pt idx="13">
                  <c:v>8.600000000000005</c:v>
                </c:pt>
                <c:pt idx="14">
                  <c:v>8.5000000000000053</c:v>
                </c:pt>
                <c:pt idx="15">
                  <c:v>8.4000000000000057</c:v>
                </c:pt>
                <c:pt idx="16">
                  <c:v>8.300000000000006</c:v>
                </c:pt>
                <c:pt idx="17">
                  <c:v>8.2000000000000064</c:v>
                </c:pt>
                <c:pt idx="18">
                  <c:v>8.1000000000000068</c:v>
                </c:pt>
                <c:pt idx="19">
                  <c:v>8.0000000000000071</c:v>
                </c:pt>
                <c:pt idx="20">
                  <c:v>7.9000000000000075</c:v>
                </c:pt>
                <c:pt idx="21">
                  <c:v>7.8000000000000078</c:v>
                </c:pt>
                <c:pt idx="22">
                  <c:v>7.7000000000000082</c:v>
                </c:pt>
                <c:pt idx="23">
                  <c:v>7.6000000000000085</c:v>
                </c:pt>
                <c:pt idx="24">
                  <c:v>7.5000000000000089</c:v>
                </c:pt>
                <c:pt idx="25">
                  <c:v>7.4000000000000092</c:v>
                </c:pt>
                <c:pt idx="26">
                  <c:v>7.3000000000000096</c:v>
                </c:pt>
                <c:pt idx="27">
                  <c:v>7.2000000000000099</c:v>
                </c:pt>
                <c:pt idx="28">
                  <c:v>7.1000000000000103</c:v>
                </c:pt>
                <c:pt idx="29">
                  <c:v>7.0000000000000107</c:v>
                </c:pt>
                <c:pt idx="30">
                  <c:v>6.900000000000011</c:v>
                </c:pt>
                <c:pt idx="31">
                  <c:v>6.8000000000000114</c:v>
                </c:pt>
                <c:pt idx="32">
                  <c:v>6.7000000000000117</c:v>
                </c:pt>
                <c:pt idx="33">
                  <c:v>6.6000000000000121</c:v>
                </c:pt>
                <c:pt idx="34">
                  <c:v>6.5000000000000124</c:v>
                </c:pt>
                <c:pt idx="35">
                  <c:v>6.4000000000000128</c:v>
                </c:pt>
                <c:pt idx="36">
                  <c:v>6.3000000000000131</c:v>
                </c:pt>
                <c:pt idx="37">
                  <c:v>6.2000000000000135</c:v>
                </c:pt>
                <c:pt idx="38">
                  <c:v>6.1000000000000139</c:v>
                </c:pt>
                <c:pt idx="39">
                  <c:v>6.0000000000000142</c:v>
                </c:pt>
                <c:pt idx="40">
                  <c:v>5.9000000000000146</c:v>
                </c:pt>
                <c:pt idx="41">
                  <c:v>5.8000000000000149</c:v>
                </c:pt>
                <c:pt idx="42">
                  <c:v>5.7000000000000153</c:v>
                </c:pt>
                <c:pt idx="43">
                  <c:v>5.6000000000000156</c:v>
                </c:pt>
                <c:pt idx="44">
                  <c:v>5.500000000000016</c:v>
                </c:pt>
                <c:pt idx="45">
                  <c:v>5.4000000000000163</c:v>
                </c:pt>
                <c:pt idx="46">
                  <c:v>5.3000000000000167</c:v>
                </c:pt>
                <c:pt idx="47">
                  <c:v>5.2000000000000171</c:v>
                </c:pt>
                <c:pt idx="48">
                  <c:v>5.1000000000000174</c:v>
                </c:pt>
                <c:pt idx="49">
                  <c:v>5.0000000000000178</c:v>
                </c:pt>
                <c:pt idx="50">
                  <c:v>4.9000000000000181</c:v>
                </c:pt>
                <c:pt idx="51">
                  <c:v>4.8000000000000185</c:v>
                </c:pt>
                <c:pt idx="52">
                  <c:v>4.7000000000000188</c:v>
                </c:pt>
                <c:pt idx="53">
                  <c:v>4.6000000000000192</c:v>
                </c:pt>
                <c:pt idx="54">
                  <c:v>4.5000000000000195</c:v>
                </c:pt>
                <c:pt idx="55">
                  <c:v>4.4000000000000199</c:v>
                </c:pt>
                <c:pt idx="56">
                  <c:v>4.3000000000000203</c:v>
                </c:pt>
                <c:pt idx="57">
                  <c:v>4.2000000000000206</c:v>
                </c:pt>
                <c:pt idx="58">
                  <c:v>4.100000000000021</c:v>
                </c:pt>
                <c:pt idx="59">
                  <c:v>4.0000000000000213</c:v>
                </c:pt>
                <c:pt idx="60">
                  <c:v>3.9000000000000212</c:v>
                </c:pt>
                <c:pt idx="61">
                  <c:v>3.8000000000000211</c:v>
                </c:pt>
                <c:pt idx="62">
                  <c:v>3.700000000000021</c:v>
                </c:pt>
                <c:pt idx="63">
                  <c:v>3.600000000000021</c:v>
                </c:pt>
                <c:pt idx="64">
                  <c:v>3.5000000000000209</c:v>
                </c:pt>
                <c:pt idx="65">
                  <c:v>3.4000000000000208</c:v>
                </c:pt>
                <c:pt idx="66">
                  <c:v>3.3000000000000207</c:v>
                </c:pt>
                <c:pt idx="67">
                  <c:v>3.2000000000000206</c:v>
                </c:pt>
                <c:pt idx="68">
                  <c:v>3.1000000000000205</c:v>
                </c:pt>
                <c:pt idx="69">
                  <c:v>3.0000000000000204</c:v>
                </c:pt>
                <c:pt idx="70">
                  <c:v>2.9000000000000203</c:v>
                </c:pt>
                <c:pt idx="71">
                  <c:v>2.8000000000000203</c:v>
                </c:pt>
                <c:pt idx="72">
                  <c:v>2.7000000000000202</c:v>
                </c:pt>
                <c:pt idx="73">
                  <c:v>2.6000000000000201</c:v>
                </c:pt>
                <c:pt idx="74">
                  <c:v>2.50000000000002</c:v>
                </c:pt>
                <c:pt idx="75">
                  <c:v>2.4000000000000199</c:v>
                </c:pt>
                <c:pt idx="76">
                  <c:v>2.3000000000000198</c:v>
                </c:pt>
                <c:pt idx="77">
                  <c:v>2.2000000000000197</c:v>
                </c:pt>
                <c:pt idx="78">
                  <c:v>2.1000000000000196</c:v>
                </c:pt>
                <c:pt idx="79">
                  <c:v>2.0000000000000195</c:v>
                </c:pt>
                <c:pt idx="80">
                  <c:v>1.9000000000000195</c:v>
                </c:pt>
                <c:pt idx="81">
                  <c:v>1.8000000000000194</c:v>
                </c:pt>
                <c:pt idx="82">
                  <c:v>1.7000000000000193</c:v>
                </c:pt>
                <c:pt idx="83">
                  <c:v>1.6000000000000192</c:v>
                </c:pt>
                <c:pt idx="84">
                  <c:v>1.5000000000000191</c:v>
                </c:pt>
                <c:pt idx="85">
                  <c:v>1.400000000000019</c:v>
                </c:pt>
                <c:pt idx="86">
                  <c:v>1.3000000000000189</c:v>
                </c:pt>
                <c:pt idx="87">
                  <c:v>1.2000000000000188</c:v>
                </c:pt>
                <c:pt idx="88">
                  <c:v>1.1000000000000187</c:v>
                </c:pt>
                <c:pt idx="89">
                  <c:v>1.0000000000000187</c:v>
                </c:pt>
                <c:pt idx="90">
                  <c:v>0.90000000000001867</c:v>
                </c:pt>
                <c:pt idx="91">
                  <c:v>0.8000000000000187</c:v>
                </c:pt>
                <c:pt idx="92">
                  <c:v>0.70000000000001872</c:v>
                </c:pt>
                <c:pt idx="93">
                  <c:v>0.60000000000001874</c:v>
                </c:pt>
                <c:pt idx="94">
                  <c:v>0.50000000000001876</c:v>
                </c:pt>
                <c:pt idx="95">
                  <c:v>0.40000000000001878</c:v>
                </c:pt>
                <c:pt idx="96">
                  <c:v>0.30000000000001881</c:v>
                </c:pt>
                <c:pt idx="97">
                  <c:v>0.2000000000000188</c:v>
                </c:pt>
                <c:pt idx="98">
                  <c:v>0.1000000000000188</c:v>
                </c:pt>
              </c:numCache>
            </c:numRef>
          </c:xVal>
          <c:yVal>
            <c:numRef>
              <c:f>'accrued interest'!$J$6:$J$104</c:f>
              <c:numCache>
                <c:formatCode>0.00</c:formatCode>
                <c:ptCount val="99"/>
                <c:pt idx="0">
                  <c:v>950.37050780850541</c:v>
                </c:pt>
                <c:pt idx="1">
                  <c:v>960.6019028885363</c:v>
                </c:pt>
                <c:pt idx="2">
                  <c:v>970.94344600496288</c:v>
                </c:pt>
                <c:pt idx="3">
                  <c:v>981.39632297749336</c:v>
                </c:pt>
                <c:pt idx="4">
                  <c:v>941.96173239200323</c:v>
                </c:pt>
                <c:pt idx="5">
                  <c:v>952.10260119547252</c:v>
                </c:pt>
                <c:pt idx="6">
                  <c:v>962.35264345743087</c:v>
                </c:pt>
                <c:pt idx="7">
                  <c:v>972.71303450558094</c:v>
                </c:pt>
                <c:pt idx="8">
                  <c:v>983.18496232084067</c:v>
                </c:pt>
                <c:pt idx="9">
                  <c:v>943.76962767356349</c:v>
                </c:pt>
                <c:pt idx="10">
                  <c:v>953.92995971872313</c:v>
                </c:pt>
                <c:pt idx="11">
                  <c:v>964.19967475761484</c:v>
                </c:pt>
                <c:pt idx="12">
                  <c:v>974.5799503737328</c:v>
                </c:pt>
                <c:pt idx="13">
                  <c:v>985.07197682807214</c:v>
                </c:pt>
                <c:pt idx="14">
                  <c:v>945.67695719560925</c:v>
                </c:pt>
                <c:pt idx="15">
                  <c:v>955.8578229607524</c:v>
                </c:pt>
                <c:pt idx="16">
                  <c:v>966.14829277930903</c:v>
                </c:pt>
                <c:pt idx="17">
                  <c:v>976.5495466146333</c:v>
                </c:pt>
                <c:pt idx="18">
                  <c:v>987.06277713320139</c:v>
                </c:pt>
                <c:pt idx="19">
                  <c:v>947.68918984136781</c:v>
                </c:pt>
                <c:pt idx="20">
                  <c:v>957.89171868109338</c:v>
                </c:pt>
                <c:pt idx="21">
                  <c:v>968.20408479219623</c:v>
                </c:pt>
                <c:pt idx="22">
                  <c:v>978.6274706487834</c:v>
                </c:pt>
                <c:pt idx="23">
                  <c:v>989.16307145511269</c:v>
                </c:pt>
                <c:pt idx="24">
                  <c:v>949.81209528264321</c:v>
                </c:pt>
                <c:pt idx="25">
                  <c:v>960.03747866605295</c:v>
                </c:pt>
                <c:pt idx="26">
                  <c:v>970.37294536579202</c:v>
                </c:pt>
                <c:pt idx="27">
                  <c:v>980.81968050481123</c:v>
                </c:pt>
                <c:pt idx="28">
                  <c:v>991.37888196472909</c:v>
                </c:pt>
                <c:pt idx="29">
                  <c:v>952.05176052318848</c:v>
                </c:pt>
                <c:pt idx="30">
                  <c:v>962.30125545018541</c:v>
                </c:pt>
                <c:pt idx="31">
                  <c:v>972.66109327093602</c:v>
                </c:pt>
                <c:pt idx="32">
                  <c:v>983.13246190292102</c:v>
                </c:pt>
                <c:pt idx="33">
                  <c:v>993.71656205237446</c:v>
                </c:pt>
                <c:pt idx="34">
                  <c:v>954.41460735196392</c:v>
                </c:pt>
                <c:pt idx="35">
                  <c:v>964.68953995744505</c:v>
                </c:pt>
                <c:pt idx="36">
                  <c:v>975.07508931086261</c:v>
                </c:pt>
                <c:pt idx="37">
                  <c:v>985.5724462779267</c:v>
                </c:pt>
                <c:pt idx="38">
                  <c:v>996.18281454484031</c:v>
                </c:pt>
                <c:pt idx="39">
                  <c:v>956.90741075632184</c:v>
                </c:pt>
                <c:pt idx="40">
                  <c:v>967.20918011260392</c:v>
                </c:pt>
                <c:pt idx="41">
                  <c:v>977.62185513298527</c:v>
                </c:pt>
                <c:pt idx="42">
                  <c:v>988.14662979355762</c:v>
                </c:pt>
                <c:pt idx="43">
                  <c:v>998.7847109243919</c:v>
                </c:pt>
                <c:pt idx="44">
                  <c:v>959.53731834791961</c:v>
                </c:pt>
                <c:pt idx="45">
                  <c:v>969.86740047629678</c:v>
                </c:pt>
                <c:pt idx="46">
                  <c:v>980.30869307532475</c:v>
                </c:pt>
                <c:pt idx="47">
                  <c:v>990.86239340254861</c:v>
                </c:pt>
                <c:pt idx="48">
                  <c:v>1001.5297116048189</c:v>
                </c:pt>
                <c:pt idx="49">
                  <c:v>962.31187085705506</c:v>
                </c:pt>
                <c:pt idx="50">
                  <c:v>972.6718229599926</c:v>
                </c:pt>
                <c:pt idx="51">
                  <c:v>983.14330710449281</c:v>
                </c:pt>
                <c:pt idx="52">
                  <c:v>993.72752401003368</c:v>
                </c:pt>
                <c:pt idx="53">
                  <c:v>1004.425687322669</c:v>
                </c:pt>
                <c:pt idx="54">
                  <c:v>965.23902375419311</c:v>
                </c:pt>
                <c:pt idx="55">
                  <c:v>975.63048868029182</c:v>
                </c:pt>
                <c:pt idx="56">
                  <c:v>986.13382490526556</c:v>
                </c:pt>
                <c:pt idx="57">
                  <c:v>996.75023680093057</c:v>
                </c:pt>
                <c:pt idx="58">
                  <c:v>1007.4809417050012</c:v>
                </c:pt>
                <c:pt idx="59">
                  <c:v>968.32717006067378</c:v>
                </c:pt>
                <c:pt idx="60">
                  <c:v>978.75188101520735</c:v>
                </c:pt>
                <c:pt idx="61">
                  <c:v>989.28882118508022</c:v>
                </c:pt>
                <c:pt idx="62">
                  <c:v>999.93919879532712</c:v>
                </c:pt>
                <c:pt idx="63">
                  <c:v>1010.7042350783618</c:v>
                </c:pt>
                <c:pt idx="64">
                  <c:v>971.58516441401071</c:v>
                </c:pt>
                <c:pt idx="65">
                  <c:v>982.04494992854347</c:v>
                </c:pt>
                <c:pt idx="66">
                  <c:v>992.61734226028523</c:v>
                </c:pt>
                <c:pt idx="67">
                  <c:v>1003.3035536994154</c:v>
                </c:pt>
                <c:pt idx="68">
                  <c:v>1014.104809587257</c:v>
                </c:pt>
                <c:pt idx="69">
                  <c:v>975.0223484567814</c:v>
                </c:pt>
                <c:pt idx="70">
                  <c:v>985.51913763211314</c:v>
                </c:pt>
                <c:pt idx="71">
                  <c:v>996.12893199462656</c:v>
                </c:pt>
                <c:pt idx="72">
                  <c:v>1006.8529481232287</c:v>
                </c:pt>
                <c:pt idx="73">
                  <c:v>1017.6924156941418</c:v>
                </c:pt>
                <c:pt idx="74">
                  <c:v>978.64857762190434</c:v>
                </c:pt>
                <c:pt idx="75">
                  <c:v>989.18440565937931</c:v>
                </c:pt>
                <c:pt idx="76">
                  <c:v>999.8336591643565</c:v>
                </c:pt>
                <c:pt idx="77">
                  <c:v>1010.5975592403515</c:v>
                </c:pt>
                <c:pt idx="78">
                  <c:v>1021.4773401369052</c:v>
                </c:pt>
                <c:pt idx="79">
                  <c:v>982.47424939110908</c:v>
                </c:pt>
                <c:pt idx="80">
                  <c:v>993.05126342814492</c:v>
                </c:pt>
                <c:pt idx="81">
                  <c:v>1003.7421463284214</c:v>
                </c:pt>
                <c:pt idx="82">
                  <c:v>1014.5481239689161</c:v>
                </c:pt>
                <c:pt idx="83">
                  <c:v>1025.4704354240205</c:v>
                </c:pt>
                <c:pt idx="84">
                  <c:v>986.51033310762011</c:v>
                </c:pt>
                <c:pt idx="85">
                  <c:v>997.13079837419264</c:v>
                </c:pt>
                <c:pt idx="86">
                  <c:v>1007.8656002865102</c:v>
                </c:pt>
                <c:pt idx="87">
                  <c:v>1018.7159697575519</c:v>
                </c:pt>
                <c:pt idx="88">
                  <c:v>1029.6831509519272</c:v>
                </c:pt>
                <c:pt idx="89">
                  <c:v>990.76840142853928</c:v>
                </c:pt>
                <c:pt idx="90">
                  <c:v>1001.434707742273</c:v>
                </c:pt>
                <c:pt idx="91">
                  <c:v>1012.2158442122937</c:v>
                </c:pt>
                <c:pt idx="92">
                  <c:v>1023.1130470645626</c:v>
                </c:pt>
                <c:pt idx="93">
                  <c:v>1034.1275658338689</c:v>
                </c:pt>
                <c:pt idx="94">
                  <c:v>995.26066350710892</c:v>
                </c:pt>
                <c:pt idx="95">
                  <c:v>1005.9753321255978</c:v>
                </c:pt>
                <c:pt idx="96">
                  <c:v>1016.8053515539954</c:v>
                </c:pt>
                <c:pt idx="97">
                  <c:v>1027.7519636234588</c:v>
                </c:pt>
                <c:pt idx="98">
                  <c:v>1038.816423534317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406-4394-A9C1-5F0C909605C5}"/>
            </c:ext>
          </c:extLst>
        </c:ser>
        <c:ser>
          <c:idx val="1"/>
          <c:order val="1"/>
          <c:tx>
            <c:v>clean price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'accrued interest'!$E$6:$E$104</c:f>
              <c:numCache>
                <c:formatCode>General</c:formatCode>
                <c:ptCount val="99"/>
                <c:pt idx="0">
                  <c:v>9.9</c:v>
                </c:pt>
                <c:pt idx="1">
                  <c:v>9.8000000000000007</c:v>
                </c:pt>
                <c:pt idx="2">
                  <c:v>9.7000000000000011</c:v>
                </c:pt>
                <c:pt idx="3">
                  <c:v>9.6000000000000014</c:v>
                </c:pt>
                <c:pt idx="4">
                  <c:v>9.5000000000000018</c:v>
                </c:pt>
                <c:pt idx="5">
                  <c:v>9.4000000000000021</c:v>
                </c:pt>
                <c:pt idx="6">
                  <c:v>9.3000000000000025</c:v>
                </c:pt>
                <c:pt idx="7">
                  <c:v>9.2000000000000028</c:v>
                </c:pt>
                <c:pt idx="8">
                  <c:v>9.1000000000000032</c:v>
                </c:pt>
                <c:pt idx="9">
                  <c:v>9.0000000000000036</c:v>
                </c:pt>
                <c:pt idx="10">
                  <c:v>8.9000000000000039</c:v>
                </c:pt>
                <c:pt idx="11">
                  <c:v>8.8000000000000043</c:v>
                </c:pt>
                <c:pt idx="12">
                  <c:v>8.7000000000000046</c:v>
                </c:pt>
                <c:pt idx="13">
                  <c:v>8.600000000000005</c:v>
                </c:pt>
                <c:pt idx="14">
                  <c:v>8.5000000000000053</c:v>
                </c:pt>
                <c:pt idx="15">
                  <c:v>8.4000000000000057</c:v>
                </c:pt>
                <c:pt idx="16">
                  <c:v>8.300000000000006</c:v>
                </c:pt>
                <c:pt idx="17">
                  <c:v>8.2000000000000064</c:v>
                </c:pt>
                <c:pt idx="18">
                  <c:v>8.1000000000000068</c:v>
                </c:pt>
                <c:pt idx="19">
                  <c:v>8.0000000000000071</c:v>
                </c:pt>
                <c:pt idx="20">
                  <c:v>7.9000000000000075</c:v>
                </c:pt>
                <c:pt idx="21">
                  <c:v>7.8000000000000078</c:v>
                </c:pt>
                <c:pt idx="22">
                  <c:v>7.7000000000000082</c:v>
                </c:pt>
                <c:pt idx="23">
                  <c:v>7.6000000000000085</c:v>
                </c:pt>
                <c:pt idx="24">
                  <c:v>7.5000000000000089</c:v>
                </c:pt>
                <c:pt idx="25">
                  <c:v>7.4000000000000092</c:v>
                </c:pt>
                <c:pt idx="26">
                  <c:v>7.3000000000000096</c:v>
                </c:pt>
                <c:pt idx="27">
                  <c:v>7.2000000000000099</c:v>
                </c:pt>
                <c:pt idx="28">
                  <c:v>7.1000000000000103</c:v>
                </c:pt>
                <c:pt idx="29">
                  <c:v>7.0000000000000107</c:v>
                </c:pt>
                <c:pt idx="30">
                  <c:v>6.900000000000011</c:v>
                </c:pt>
                <c:pt idx="31">
                  <c:v>6.8000000000000114</c:v>
                </c:pt>
                <c:pt idx="32">
                  <c:v>6.7000000000000117</c:v>
                </c:pt>
                <c:pt idx="33">
                  <c:v>6.6000000000000121</c:v>
                </c:pt>
                <c:pt idx="34">
                  <c:v>6.5000000000000124</c:v>
                </c:pt>
                <c:pt idx="35">
                  <c:v>6.4000000000000128</c:v>
                </c:pt>
                <c:pt idx="36">
                  <c:v>6.3000000000000131</c:v>
                </c:pt>
                <c:pt idx="37">
                  <c:v>6.2000000000000135</c:v>
                </c:pt>
                <c:pt idx="38">
                  <c:v>6.1000000000000139</c:v>
                </c:pt>
                <c:pt idx="39">
                  <c:v>6.0000000000000142</c:v>
                </c:pt>
                <c:pt idx="40">
                  <c:v>5.9000000000000146</c:v>
                </c:pt>
                <c:pt idx="41">
                  <c:v>5.8000000000000149</c:v>
                </c:pt>
                <c:pt idx="42">
                  <c:v>5.7000000000000153</c:v>
                </c:pt>
                <c:pt idx="43">
                  <c:v>5.6000000000000156</c:v>
                </c:pt>
                <c:pt idx="44">
                  <c:v>5.500000000000016</c:v>
                </c:pt>
                <c:pt idx="45">
                  <c:v>5.4000000000000163</c:v>
                </c:pt>
                <c:pt idx="46">
                  <c:v>5.3000000000000167</c:v>
                </c:pt>
                <c:pt idx="47">
                  <c:v>5.2000000000000171</c:v>
                </c:pt>
                <c:pt idx="48">
                  <c:v>5.1000000000000174</c:v>
                </c:pt>
                <c:pt idx="49">
                  <c:v>5.0000000000000178</c:v>
                </c:pt>
                <c:pt idx="50">
                  <c:v>4.9000000000000181</c:v>
                </c:pt>
                <c:pt idx="51">
                  <c:v>4.8000000000000185</c:v>
                </c:pt>
                <c:pt idx="52">
                  <c:v>4.7000000000000188</c:v>
                </c:pt>
                <c:pt idx="53">
                  <c:v>4.6000000000000192</c:v>
                </c:pt>
                <c:pt idx="54">
                  <c:v>4.5000000000000195</c:v>
                </c:pt>
                <c:pt idx="55">
                  <c:v>4.4000000000000199</c:v>
                </c:pt>
                <c:pt idx="56">
                  <c:v>4.3000000000000203</c:v>
                </c:pt>
                <c:pt idx="57">
                  <c:v>4.2000000000000206</c:v>
                </c:pt>
                <c:pt idx="58">
                  <c:v>4.100000000000021</c:v>
                </c:pt>
                <c:pt idx="59">
                  <c:v>4.0000000000000213</c:v>
                </c:pt>
                <c:pt idx="60">
                  <c:v>3.9000000000000212</c:v>
                </c:pt>
                <c:pt idx="61">
                  <c:v>3.8000000000000211</c:v>
                </c:pt>
                <c:pt idx="62">
                  <c:v>3.700000000000021</c:v>
                </c:pt>
                <c:pt idx="63">
                  <c:v>3.600000000000021</c:v>
                </c:pt>
                <c:pt idx="64">
                  <c:v>3.5000000000000209</c:v>
                </c:pt>
                <c:pt idx="65">
                  <c:v>3.4000000000000208</c:v>
                </c:pt>
                <c:pt idx="66">
                  <c:v>3.3000000000000207</c:v>
                </c:pt>
                <c:pt idx="67">
                  <c:v>3.2000000000000206</c:v>
                </c:pt>
                <c:pt idx="68">
                  <c:v>3.1000000000000205</c:v>
                </c:pt>
                <c:pt idx="69">
                  <c:v>3.0000000000000204</c:v>
                </c:pt>
                <c:pt idx="70">
                  <c:v>2.9000000000000203</c:v>
                </c:pt>
                <c:pt idx="71">
                  <c:v>2.8000000000000203</c:v>
                </c:pt>
                <c:pt idx="72">
                  <c:v>2.7000000000000202</c:v>
                </c:pt>
                <c:pt idx="73">
                  <c:v>2.6000000000000201</c:v>
                </c:pt>
                <c:pt idx="74">
                  <c:v>2.50000000000002</c:v>
                </c:pt>
                <c:pt idx="75">
                  <c:v>2.4000000000000199</c:v>
                </c:pt>
                <c:pt idx="76">
                  <c:v>2.3000000000000198</c:v>
                </c:pt>
                <c:pt idx="77">
                  <c:v>2.2000000000000197</c:v>
                </c:pt>
                <c:pt idx="78">
                  <c:v>2.1000000000000196</c:v>
                </c:pt>
                <c:pt idx="79">
                  <c:v>2.0000000000000195</c:v>
                </c:pt>
                <c:pt idx="80">
                  <c:v>1.9000000000000195</c:v>
                </c:pt>
                <c:pt idx="81">
                  <c:v>1.8000000000000194</c:v>
                </c:pt>
                <c:pt idx="82">
                  <c:v>1.7000000000000193</c:v>
                </c:pt>
                <c:pt idx="83">
                  <c:v>1.6000000000000192</c:v>
                </c:pt>
                <c:pt idx="84">
                  <c:v>1.5000000000000191</c:v>
                </c:pt>
                <c:pt idx="85">
                  <c:v>1.400000000000019</c:v>
                </c:pt>
                <c:pt idx="86">
                  <c:v>1.3000000000000189</c:v>
                </c:pt>
                <c:pt idx="87">
                  <c:v>1.2000000000000188</c:v>
                </c:pt>
                <c:pt idx="88">
                  <c:v>1.1000000000000187</c:v>
                </c:pt>
                <c:pt idx="89">
                  <c:v>1.0000000000000187</c:v>
                </c:pt>
                <c:pt idx="90">
                  <c:v>0.90000000000001867</c:v>
                </c:pt>
                <c:pt idx="91">
                  <c:v>0.8000000000000187</c:v>
                </c:pt>
                <c:pt idx="92">
                  <c:v>0.70000000000001872</c:v>
                </c:pt>
                <c:pt idx="93">
                  <c:v>0.60000000000001874</c:v>
                </c:pt>
                <c:pt idx="94">
                  <c:v>0.50000000000001876</c:v>
                </c:pt>
                <c:pt idx="95">
                  <c:v>0.40000000000001878</c:v>
                </c:pt>
                <c:pt idx="96">
                  <c:v>0.30000000000001881</c:v>
                </c:pt>
                <c:pt idx="97">
                  <c:v>0.2000000000000188</c:v>
                </c:pt>
                <c:pt idx="98">
                  <c:v>0.1000000000000188</c:v>
                </c:pt>
              </c:numCache>
            </c:numRef>
          </c:xVal>
          <c:yVal>
            <c:numRef>
              <c:f>'accrued interest'!$L$6:$L$104</c:f>
              <c:numCache>
                <c:formatCode>0.0_ </c:formatCode>
                <c:ptCount val="99"/>
                <c:pt idx="0">
                  <c:v>940.37050780850541</c:v>
                </c:pt>
                <c:pt idx="1">
                  <c:v>940.60190288853642</c:v>
                </c:pt>
                <c:pt idx="2">
                  <c:v>940.94344600496299</c:v>
                </c:pt>
                <c:pt idx="3">
                  <c:v>941.39632297749347</c:v>
                </c:pt>
                <c:pt idx="4">
                  <c:v>941.96173239200323</c:v>
                </c:pt>
                <c:pt idx="5">
                  <c:v>942.10260119547274</c:v>
                </c:pt>
                <c:pt idx="6">
                  <c:v>942.3526434574311</c:v>
                </c:pt>
                <c:pt idx="7">
                  <c:v>942.71303450558116</c:v>
                </c:pt>
                <c:pt idx="8">
                  <c:v>943.18496232084101</c:v>
                </c:pt>
                <c:pt idx="9">
                  <c:v>943.76962767356349</c:v>
                </c:pt>
                <c:pt idx="10">
                  <c:v>943.92995971872347</c:v>
                </c:pt>
                <c:pt idx="11">
                  <c:v>944.1996747576153</c:v>
                </c:pt>
                <c:pt idx="12">
                  <c:v>944.57995037373325</c:v>
                </c:pt>
                <c:pt idx="13">
                  <c:v>945.07197682807259</c:v>
                </c:pt>
                <c:pt idx="14">
                  <c:v>945.67695719560925</c:v>
                </c:pt>
                <c:pt idx="15">
                  <c:v>945.85782296075297</c:v>
                </c:pt>
                <c:pt idx="16">
                  <c:v>946.1482927793096</c:v>
                </c:pt>
                <c:pt idx="17">
                  <c:v>946.54954661463398</c:v>
                </c:pt>
                <c:pt idx="18">
                  <c:v>947.06277713320208</c:v>
                </c:pt>
                <c:pt idx="19">
                  <c:v>947.68918984136781</c:v>
                </c:pt>
                <c:pt idx="20">
                  <c:v>947.89171868109418</c:v>
                </c:pt>
                <c:pt idx="21">
                  <c:v>948.20408479219702</c:v>
                </c:pt>
                <c:pt idx="22">
                  <c:v>948.6274706487842</c:v>
                </c:pt>
                <c:pt idx="23">
                  <c:v>949.1630714551136</c:v>
                </c:pt>
                <c:pt idx="24">
                  <c:v>949.81209528264321</c:v>
                </c:pt>
                <c:pt idx="25">
                  <c:v>950.03747866605386</c:v>
                </c:pt>
                <c:pt idx="26">
                  <c:v>950.37294536579293</c:v>
                </c:pt>
                <c:pt idx="27">
                  <c:v>950.81968050481225</c:v>
                </c:pt>
                <c:pt idx="28">
                  <c:v>951.37888196473011</c:v>
                </c:pt>
                <c:pt idx="29">
                  <c:v>952.05176052318848</c:v>
                </c:pt>
                <c:pt idx="30">
                  <c:v>952.30125545018655</c:v>
                </c:pt>
                <c:pt idx="31">
                  <c:v>952.66109327093716</c:v>
                </c:pt>
                <c:pt idx="32">
                  <c:v>953.13246190292216</c:v>
                </c:pt>
                <c:pt idx="33">
                  <c:v>953.71656205237571</c:v>
                </c:pt>
                <c:pt idx="34">
                  <c:v>954.41460735196392</c:v>
                </c:pt>
                <c:pt idx="35">
                  <c:v>954.6895399574463</c:v>
                </c:pt>
                <c:pt idx="36">
                  <c:v>955.07508931086397</c:v>
                </c:pt>
                <c:pt idx="37">
                  <c:v>955.57244627792807</c:v>
                </c:pt>
                <c:pt idx="38">
                  <c:v>956.18281454484168</c:v>
                </c:pt>
                <c:pt idx="39">
                  <c:v>956.90741075632184</c:v>
                </c:pt>
                <c:pt idx="40">
                  <c:v>957.2091801126054</c:v>
                </c:pt>
                <c:pt idx="41">
                  <c:v>957.62185513298675</c:v>
                </c:pt>
                <c:pt idx="42">
                  <c:v>958.1466297935591</c:v>
                </c:pt>
                <c:pt idx="43">
                  <c:v>958.78471092439349</c:v>
                </c:pt>
                <c:pt idx="44">
                  <c:v>959.53731834791961</c:v>
                </c:pt>
                <c:pt idx="45">
                  <c:v>959.86740047629837</c:v>
                </c:pt>
                <c:pt idx="46">
                  <c:v>960.30869307532646</c:v>
                </c:pt>
                <c:pt idx="47">
                  <c:v>960.86239340255031</c:v>
                </c:pt>
                <c:pt idx="48">
                  <c:v>961.52971160482059</c:v>
                </c:pt>
                <c:pt idx="49">
                  <c:v>962.31187085705506</c:v>
                </c:pt>
                <c:pt idx="50">
                  <c:v>962.67182295999442</c:v>
                </c:pt>
                <c:pt idx="51">
                  <c:v>963.14330710449462</c:v>
                </c:pt>
                <c:pt idx="52">
                  <c:v>963.72752401003561</c:v>
                </c:pt>
                <c:pt idx="53">
                  <c:v>964.42568732267091</c:v>
                </c:pt>
                <c:pt idx="54">
                  <c:v>965.23902375419311</c:v>
                </c:pt>
                <c:pt idx="55">
                  <c:v>965.63048868029387</c:v>
                </c:pt>
                <c:pt idx="56">
                  <c:v>966.1338249052676</c:v>
                </c:pt>
                <c:pt idx="57">
                  <c:v>966.75023680093261</c:v>
                </c:pt>
                <c:pt idx="58">
                  <c:v>967.48094170500326</c:v>
                </c:pt>
                <c:pt idx="59">
                  <c:v>968.32717006067378</c:v>
                </c:pt>
                <c:pt idx="60">
                  <c:v>968.75188101520951</c:v>
                </c:pt>
                <c:pt idx="61">
                  <c:v>969.28882118508238</c:v>
                </c:pt>
                <c:pt idx="62">
                  <c:v>969.93919879532928</c:v>
                </c:pt>
                <c:pt idx="63">
                  <c:v>970.70423507836381</c:v>
                </c:pt>
                <c:pt idx="64">
                  <c:v>971.58516441401071</c:v>
                </c:pt>
                <c:pt idx="65">
                  <c:v>972.04494992854552</c:v>
                </c:pt>
                <c:pt idx="66">
                  <c:v>972.61734226028727</c:v>
                </c:pt>
                <c:pt idx="67">
                  <c:v>973.30355369941742</c:v>
                </c:pt>
                <c:pt idx="68">
                  <c:v>974.10480958725907</c:v>
                </c:pt>
                <c:pt idx="69">
                  <c:v>975.0223484567814</c:v>
                </c:pt>
                <c:pt idx="70">
                  <c:v>975.51913763211519</c:v>
                </c:pt>
                <c:pt idx="71">
                  <c:v>976.1289319946286</c:v>
                </c:pt>
                <c:pt idx="72">
                  <c:v>976.8529481232307</c:v>
                </c:pt>
                <c:pt idx="73">
                  <c:v>977.69241569414385</c:v>
                </c:pt>
                <c:pt idx="74">
                  <c:v>978.64857762190434</c:v>
                </c:pt>
                <c:pt idx="75">
                  <c:v>979.18440565938135</c:v>
                </c:pt>
                <c:pt idx="76">
                  <c:v>979.83365916435844</c:v>
                </c:pt>
                <c:pt idx="77">
                  <c:v>980.59755924035346</c:v>
                </c:pt>
                <c:pt idx="78">
                  <c:v>981.47734013690717</c:v>
                </c:pt>
                <c:pt idx="79">
                  <c:v>982.47424939110908</c:v>
                </c:pt>
                <c:pt idx="80">
                  <c:v>983.05126342814685</c:v>
                </c:pt>
                <c:pt idx="81">
                  <c:v>983.74214632842336</c:v>
                </c:pt>
                <c:pt idx="82">
                  <c:v>984.54812396891805</c:v>
                </c:pt>
                <c:pt idx="83">
                  <c:v>985.47043542402241</c:v>
                </c:pt>
                <c:pt idx="84">
                  <c:v>986.51033310762011</c:v>
                </c:pt>
                <c:pt idx="85">
                  <c:v>987.13079837419457</c:v>
                </c:pt>
                <c:pt idx="86">
                  <c:v>987.86560028651218</c:v>
                </c:pt>
                <c:pt idx="87">
                  <c:v>988.71596975755381</c:v>
                </c:pt>
                <c:pt idx="88">
                  <c:v>989.68315095192906</c:v>
                </c:pt>
                <c:pt idx="89">
                  <c:v>990.76840142853928</c:v>
                </c:pt>
                <c:pt idx="90">
                  <c:v>991.43470774227478</c:v>
                </c:pt>
                <c:pt idx="91">
                  <c:v>992.21584421229556</c:v>
                </c:pt>
                <c:pt idx="92">
                  <c:v>993.1130470645644</c:v>
                </c:pt>
                <c:pt idx="93">
                  <c:v>994.12756583387068</c:v>
                </c:pt>
                <c:pt idx="94">
                  <c:v>995.26066350710892</c:v>
                </c:pt>
                <c:pt idx="95">
                  <c:v>995.97533212559972</c:v>
                </c:pt>
                <c:pt idx="96">
                  <c:v>996.8053515539973</c:v>
                </c:pt>
                <c:pt idx="97">
                  <c:v>997.75196362346071</c:v>
                </c:pt>
                <c:pt idx="98">
                  <c:v>998.81642353431891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406-4394-A9C1-5F0C909605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002208"/>
        <c:axId val="434003040"/>
      </c:scatterChart>
      <c:valAx>
        <c:axId val="434002208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time to maturity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003040"/>
        <c:crosses val="autoZero"/>
        <c:crossBetween val="midCat"/>
      </c:valAx>
      <c:valAx>
        <c:axId val="43400304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002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PV minus price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yield!$I$8:$I$27</c:f>
              <c:numCache>
                <c:formatCode>General</c:formatCode>
                <c:ptCount val="2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</c:numCache>
            </c:numRef>
          </c:xVal>
          <c:yVal>
            <c:numRef>
              <c:f>yield!$J$8:$J$27</c:f>
              <c:numCache>
                <c:formatCode>0.00</c:formatCode>
                <c:ptCount val="20"/>
                <c:pt idx="0">
                  <c:v>351.97886520637178</c:v>
                </c:pt>
                <c:pt idx="1">
                  <c:v>309.13375329129178</c:v>
                </c:pt>
                <c:pt idx="2">
                  <c:v>268.24818340515719</c:v>
                </c:pt>
                <c:pt idx="3">
                  <c:v>229.21329435243831</c:v>
                </c:pt>
                <c:pt idx="4">
                  <c:v>191.92727772892965</c:v>
                </c:pt>
                <c:pt idx="5">
                  <c:v>156.29485818418414</c:v>
                </c:pt>
                <c:pt idx="6">
                  <c:v>122.22681648916512</c:v>
                </c:pt>
                <c:pt idx="7">
                  <c:v>89.63955152124106</c:v>
                </c:pt>
                <c:pt idx="8">
                  <c:v>58.454677664013843</c:v>
                </c:pt>
                <c:pt idx="9">
                  <c:v>28.598654463492721</c:v>
                </c:pt>
                <c:pt idx="10">
                  <c:v>2.445689590672373E-3</c:v>
                </c:pt>
                <c:pt idx="11">
                  <c:v>-27.398794773011446</c:v>
                </c:pt>
                <c:pt idx="12">
                  <c:v>-53.666012534235051</c:v>
                </c:pt>
                <c:pt idx="13">
                  <c:v>-78.856519916965112</c:v>
                </c:pt>
                <c:pt idx="14">
                  <c:v>-103.02424269495873</c:v>
                </c:pt>
                <c:pt idx="15">
                  <c:v>-126.21994808286934</c:v>
                </c:pt>
                <c:pt idx="16">
                  <c:v>-148.49145555083851</c:v>
                </c:pt>
                <c:pt idx="17">
                  <c:v>-169.88383189210913</c:v>
                </c:pt>
                <c:pt idx="18">
                  <c:v>-190.43957184231192</c:v>
                </c:pt>
                <c:pt idx="19">
                  <c:v>-210.19876543209875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E2E-44C6-BFAB-EA4F6B7642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8964559"/>
        <c:axId val="685905279"/>
      </c:scatterChart>
      <c:valAx>
        <c:axId val="628964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905279"/>
        <c:crosses val="autoZero"/>
        <c:crossBetween val="midCat"/>
      </c:valAx>
      <c:valAx>
        <c:axId val="685905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964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bond price with 7% coupon, maturity 15 years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yield!$I$55:$I$83</c:f>
              <c:numCache>
                <c:formatCode>General</c:formatCode>
                <c:ptCount val="29"/>
                <c:pt idx="0">
                  <c:v>0.01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2.5000000000000001E-2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0.04</c:v>
                </c:pt>
                <c:pt idx="7">
                  <c:v>4.4999999999999998E-2</c:v>
                </c:pt>
                <c:pt idx="8">
                  <c:v>0.05</c:v>
                </c:pt>
                <c:pt idx="9">
                  <c:v>5.5E-2</c:v>
                </c:pt>
                <c:pt idx="10">
                  <c:v>0.06</c:v>
                </c:pt>
                <c:pt idx="11">
                  <c:v>6.5000000000000002E-2</c:v>
                </c:pt>
                <c:pt idx="12">
                  <c:v>7.0000000000000007E-2</c:v>
                </c:pt>
                <c:pt idx="13">
                  <c:v>7.4999999999999997E-2</c:v>
                </c:pt>
                <c:pt idx="14">
                  <c:v>0.08</c:v>
                </c:pt>
                <c:pt idx="15">
                  <c:v>8.5000000000000006E-2</c:v>
                </c:pt>
                <c:pt idx="16">
                  <c:v>0.09</c:v>
                </c:pt>
                <c:pt idx="17">
                  <c:v>9.5000000000000001E-2</c:v>
                </c:pt>
                <c:pt idx="18">
                  <c:v>0.1</c:v>
                </c:pt>
                <c:pt idx="19">
                  <c:v>0.105</c:v>
                </c:pt>
                <c:pt idx="20">
                  <c:v>0.11</c:v>
                </c:pt>
                <c:pt idx="21">
                  <c:v>0.115</c:v>
                </c:pt>
                <c:pt idx="22">
                  <c:v>0.12</c:v>
                </c:pt>
                <c:pt idx="23">
                  <c:v>0.125</c:v>
                </c:pt>
                <c:pt idx="24">
                  <c:v>0.13</c:v>
                </c:pt>
                <c:pt idx="25">
                  <c:v>0.13500000000000001</c:v>
                </c:pt>
                <c:pt idx="26">
                  <c:v>0.14000000000000001</c:v>
                </c:pt>
                <c:pt idx="27">
                  <c:v>0.14499999999999999</c:v>
                </c:pt>
                <c:pt idx="28">
                  <c:v>0.15</c:v>
                </c:pt>
              </c:numCache>
            </c:numRef>
          </c:xVal>
          <c:yVal>
            <c:numRef>
              <c:f>yield!$J$55:$J$83</c:f>
              <c:numCache>
                <c:formatCode>0.00</c:formatCode>
                <c:ptCount val="29"/>
                <c:pt idx="0">
                  <c:v>1833.8216189531172</c:v>
                </c:pt>
                <c:pt idx="1">
                  <c:v>1736.3147058240854</c:v>
                </c:pt>
                <c:pt idx="2">
                  <c:v>1645.1927055321889</c:v>
                </c:pt>
                <c:pt idx="3">
                  <c:v>1560.0003901926498</c:v>
                </c:pt>
                <c:pt idx="4">
                  <c:v>1480.3167601246862</c:v>
                </c:pt>
                <c:pt idx="5">
                  <c:v>1405.752363503776</c:v>
                </c:pt>
                <c:pt idx="6">
                  <c:v>1335.9468332650663</c:v>
                </c:pt>
                <c:pt idx="7">
                  <c:v>1270.5666230971251</c:v>
                </c:pt>
                <c:pt idx="8">
                  <c:v>1209.3029259276134</c:v>
                </c:pt>
                <c:pt idx="9">
                  <c:v>1151.8697597260239</c:v>
                </c:pt>
                <c:pt idx="10">
                  <c:v>1098.0022067473492</c:v>
                </c:pt>
                <c:pt idx="11">
                  <c:v>1047.454793524761</c:v>
                </c:pt>
                <c:pt idx="12">
                  <c:v>1000.0000000000017</c:v>
                </c:pt>
                <c:pt idx="13">
                  <c:v>955.42688716604039</c:v>
                </c:pt>
                <c:pt idx="14">
                  <c:v>913.53983349667669</c:v>
                </c:pt>
                <c:pt idx="15">
                  <c:v>874.1573712592467</c:v>
                </c:pt>
                <c:pt idx="16">
                  <c:v>837.11111455711318</c:v>
                </c:pt>
                <c:pt idx="17">
                  <c:v>802.24477163378197</c:v>
                </c:pt>
                <c:pt idx="18">
                  <c:v>769.41323459675755</c:v>
                </c:pt>
                <c:pt idx="19">
                  <c:v>738.48174029131746</c:v>
                </c:pt>
                <c:pt idx="20">
                  <c:v>709.32509657755918</c:v>
                </c:pt>
                <c:pt idx="21">
                  <c:v>681.82696874204225</c:v>
                </c:pt>
                <c:pt idx="22">
                  <c:v>655.8792212127637</c:v>
                </c:pt>
                <c:pt idx="23">
                  <c:v>631.38131014604369</c:v>
                </c:pt>
                <c:pt idx="24">
                  <c:v>608.23972281991416</c:v>
                </c:pt>
                <c:pt idx="25">
                  <c:v>586.36746010335878</c:v>
                </c:pt>
                <c:pt idx="26">
                  <c:v>565.68355857729478</c:v>
                </c:pt>
                <c:pt idx="27">
                  <c:v>546.11264916376149</c:v>
                </c:pt>
                <c:pt idx="28">
                  <c:v>527.58454937671468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9E9-43D7-BAB6-5BD147567B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1684047"/>
        <c:axId val="2081681967"/>
      </c:scatterChart>
      <c:valAx>
        <c:axId val="2081684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annual yield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681967"/>
        <c:crosses val="autoZero"/>
        <c:crossBetween val="midCat"/>
      </c:valAx>
      <c:valAx>
        <c:axId val="2081681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present value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684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yield!$I$55:$I$83</c:f>
              <c:numCache>
                <c:formatCode>General</c:formatCode>
                <c:ptCount val="29"/>
                <c:pt idx="0">
                  <c:v>0.01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2.5000000000000001E-2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0.04</c:v>
                </c:pt>
                <c:pt idx="7">
                  <c:v>4.4999999999999998E-2</c:v>
                </c:pt>
                <c:pt idx="8">
                  <c:v>0.05</c:v>
                </c:pt>
                <c:pt idx="9">
                  <c:v>5.5E-2</c:v>
                </c:pt>
                <c:pt idx="10">
                  <c:v>0.06</c:v>
                </c:pt>
                <c:pt idx="11">
                  <c:v>6.5000000000000002E-2</c:v>
                </c:pt>
                <c:pt idx="12">
                  <c:v>7.0000000000000007E-2</c:v>
                </c:pt>
                <c:pt idx="13">
                  <c:v>7.4999999999999997E-2</c:v>
                </c:pt>
                <c:pt idx="14">
                  <c:v>0.08</c:v>
                </c:pt>
                <c:pt idx="15">
                  <c:v>8.5000000000000006E-2</c:v>
                </c:pt>
                <c:pt idx="16">
                  <c:v>0.09</c:v>
                </c:pt>
                <c:pt idx="17">
                  <c:v>9.5000000000000001E-2</c:v>
                </c:pt>
                <c:pt idx="18">
                  <c:v>0.1</c:v>
                </c:pt>
                <c:pt idx="19">
                  <c:v>0.105</c:v>
                </c:pt>
                <c:pt idx="20">
                  <c:v>0.11</c:v>
                </c:pt>
                <c:pt idx="21">
                  <c:v>0.115</c:v>
                </c:pt>
                <c:pt idx="22">
                  <c:v>0.12</c:v>
                </c:pt>
                <c:pt idx="23">
                  <c:v>0.125</c:v>
                </c:pt>
                <c:pt idx="24">
                  <c:v>0.13</c:v>
                </c:pt>
                <c:pt idx="25">
                  <c:v>0.13500000000000001</c:v>
                </c:pt>
                <c:pt idx="26">
                  <c:v>0.14000000000000001</c:v>
                </c:pt>
                <c:pt idx="27">
                  <c:v>0.14499999999999999</c:v>
                </c:pt>
                <c:pt idx="28">
                  <c:v>0.15</c:v>
                </c:pt>
              </c:numCache>
            </c:numRef>
          </c:xVal>
          <c:yVal>
            <c:numRef>
              <c:f>yield!$L$55:$L$83</c:f>
              <c:numCache>
                <c:formatCode>0.00.E+00</c:formatCode>
                <c:ptCount val="29"/>
                <c:pt idx="0">
                  <c:v>-2.8171651635321676E-2</c:v>
                </c:pt>
                <c:pt idx="1">
                  <c:v>-2.5315272205666643E-2</c:v>
                </c:pt>
                <c:pt idx="2">
                  <c:v>-2.2548207127721442E-2</c:v>
                </c:pt>
                <c:pt idx="3">
                  <c:v>-1.9871783648307585E-2</c:v>
                </c:pt>
                <c:pt idx="4">
                  <c:v>-1.7287176559497942E-2</c:v>
                </c:pt>
                <c:pt idx="5">
                  <c:v>-1.479539911676056E-2</c:v>
                </c:pt>
                <c:pt idx="6">
                  <c:v>-1.239729475530052E-2</c:v>
                </c:pt>
                <c:pt idx="7">
                  <c:v>-1.0093529711467195E-2</c:v>
                </c:pt>
                <c:pt idx="8">
                  <c:v>-7.8845866483829782E-3</c:v>
                </c:pt>
                <c:pt idx="9">
                  <c:v>-5.7707593753044961E-3</c:v>
                </c:pt>
                <c:pt idx="10">
                  <c:v>-3.7521487387201929E-3</c:v>
                </c:pt>
                <c:pt idx="11">
                  <c:v>-1.8286597500260099E-3</c:v>
                </c:pt>
                <c:pt idx="12">
                  <c:v>1.2490009027033011E-16</c:v>
                </c:pt>
                <c:pt idx="13">
                  <c:v>1.7343206054918764E-3</c:v>
                </c:pt>
                <c:pt idx="14">
                  <c:v>3.3749887708047627E-3</c:v>
                </c:pt>
                <c:pt idx="15">
                  <c:v>4.9228853962952346E-3</c:v>
                </c:pt>
                <c:pt idx="16">
                  <c:v>6.3790818414415501E-3</c:v>
                </c:pt>
                <c:pt idx="17">
                  <c:v>7.7448348993984922E-3</c:v>
                </c:pt>
                <c:pt idx="18">
                  <c:v>9.021580533786433E-3</c:v>
                </c:pt>
                <c:pt idx="19">
                  <c:v>1.0210926444320353E-2</c:v>
                </c:pt>
                <c:pt idx="20">
                  <c:v>1.1314643542509925E-2</c:v>
                </c:pt>
                <c:pt idx="21">
                  <c:v>1.2334656431750329E-2</c:v>
                </c:pt>
                <c:pt idx="22">
                  <c:v>1.3273032997500045E-2</c:v>
                </c:pt>
                <c:pt idx="23">
                  <c:v>1.4131973222634001E-2</c:v>
                </c:pt>
                <c:pt idx="24">
                  <c:v>1.4913797350382202E-2</c:v>
                </c:pt>
                <c:pt idx="25">
                  <c:v>1.5620933522366473E-2</c:v>
                </c:pt>
                <c:pt idx="26">
                  <c:v>1.6255905022144607E-2</c:v>
                </c:pt>
                <c:pt idx="27">
                  <c:v>1.6821317255353907E-2</c:v>
                </c:pt>
                <c:pt idx="28">
                  <c:v>1.7319844596098199E-2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94-4096-A846-6DB11436EA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1684047"/>
        <c:axId val="2081677391"/>
      </c:scatterChart>
      <c:valAx>
        <c:axId val="2081684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YTM on bond equivalent basis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677391"/>
        <c:crosses val="autoZero"/>
        <c:crossBetween val="midCat"/>
      </c:valAx>
      <c:valAx>
        <c:axId val="2081677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YTM</a:t>
                </a:r>
                <a:r>
                  <a:rPr lang="en-US" altLang="ko-KR" baseline="0"/>
                  <a:t> - current yield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.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684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scenario for reference</a:t>
            </a:r>
            <a:r>
              <a:rPr lang="en-US" altLang="ko-KR" baseline="0"/>
              <a:t> rate over time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yield!$B$232:$B$243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yield!$C$232:$C$243</c:f>
              <c:numCache>
                <c:formatCode>0.000</c:formatCode>
                <c:ptCount val="12"/>
                <c:pt idx="0">
                  <c:v>0.1</c:v>
                </c:pt>
                <c:pt idx="1">
                  <c:v>0.10100000000000001</c:v>
                </c:pt>
                <c:pt idx="2">
                  <c:v>0.10200000000000001</c:v>
                </c:pt>
                <c:pt idx="3">
                  <c:v>0.10300000000000001</c:v>
                </c:pt>
                <c:pt idx="4">
                  <c:v>0.10400000000000001</c:v>
                </c:pt>
                <c:pt idx="5">
                  <c:v>0.10500000000000001</c:v>
                </c:pt>
                <c:pt idx="6">
                  <c:v>0.10600000000000001</c:v>
                </c:pt>
                <c:pt idx="7">
                  <c:v>0.10700000000000001</c:v>
                </c:pt>
                <c:pt idx="8">
                  <c:v>0.10800000000000001</c:v>
                </c:pt>
                <c:pt idx="9">
                  <c:v>0.10900000000000001</c:v>
                </c:pt>
                <c:pt idx="10">
                  <c:v>0.11000000000000001</c:v>
                </c:pt>
                <c:pt idx="11">
                  <c:v>0.11100000000000002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B12-47AA-83B1-725F9BB6F01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yield!$B$232:$B$243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yield!$D$232:$D$243</c:f>
              <c:numCache>
                <c:formatCode>0.000</c:formatCode>
                <c:ptCount val="12"/>
                <c:pt idx="0">
                  <c:v>0.1</c:v>
                </c:pt>
                <c:pt idx="1">
                  <c:v>9.9000000000000005E-2</c:v>
                </c:pt>
                <c:pt idx="2">
                  <c:v>9.8000000000000004E-2</c:v>
                </c:pt>
                <c:pt idx="3">
                  <c:v>9.7000000000000003E-2</c:v>
                </c:pt>
                <c:pt idx="4">
                  <c:v>9.6000000000000002E-2</c:v>
                </c:pt>
                <c:pt idx="5">
                  <c:v>9.5000000000000001E-2</c:v>
                </c:pt>
                <c:pt idx="6">
                  <c:v>9.4E-2</c:v>
                </c:pt>
                <c:pt idx="7">
                  <c:v>9.2999999999999999E-2</c:v>
                </c:pt>
                <c:pt idx="8">
                  <c:v>9.1999999999999998E-2</c:v>
                </c:pt>
                <c:pt idx="9">
                  <c:v>9.0999999999999998E-2</c:v>
                </c:pt>
                <c:pt idx="10">
                  <c:v>0.09</c:v>
                </c:pt>
                <c:pt idx="11">
                  <c:v>8.8999999999999996E-2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B12-47AA-83B1-725F9BB6F01F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yield!$B$232:$B$243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yield!$E$232:$E$243</c:f>
              <c:numCache>
                <c:formatCode>0.000</c:formatCode>
                <c:ptCount val="12"/>
                <c:pt idx="0">
                  <c:v>0.1</c:v>
                </c:pt>
                <c:pt idx="1">
                  <c:v>0.10200000000000001</c:v>
                </c:pt>
                <c:pt idx="2">
                  <c:v>0.10400000000000001</c:v>
                </c:pt>
                <c:pt idx="3">
                  <c:v>0.10600000000000001</c:v>
                </c:pt>
                <c:pt idx="4">
                  <c:v>0.10800000000000001</c:v>
                </c:pt>
                <c:pt idx="5">
                  <c:v>0.11000000000000001</c:v>
                </c:pt>
                <c:pt idx="6">
                  <c:v>0.10900000000000001</c:v>
                </c:pt>
                <c:pt idx="7">
                  <c:v>0.10800000000000001</c:v>
                </c:pt>
                <c:pt idx="8">
                  <c:v>0.10700000000000001</c:v>
                </c:pt>
                <c:pt idx="9">
                  <c:v>0.10600000000000001</c:v>
                </c:pt>
                <c:pt idx="10">
                  <c:v>0.10500000000000001</c:v>
                </c:pt>
                <c:pt idx="11">
                  <c:v>0.10400000000000001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B12-47AA-83B1-725F9BB6F0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520944"/>
        <c:axId val="844547456"/>
      </c:scatterChart>
      <c:valAx>
        <c:axId val="1518520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547456"/>
        <c:crosses val="autoZero"/>
        <c:crossBetween val="midCat"/>
      </c:valAx>
      <c:valAx>
        <c:axId val="844547456"/>
        <c:scaling>
          <c:orientation val="minMax"/>
          <c:min val="8.0000000000000016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520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int-on-int / total dollar</a:t>
            </a:r>
            <a:r>
              <a:rPr lang="en-US" altLang="ko-KR" baseline="0"/>
              <a:t> return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yield!$H$261:$H$280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yield!$K$261:$K$280</c:f>
              <c:numCache>
                <c:formatCode>General</c:formatCode>
                <c:ptCount val="20"/>
                <c:pt idx="0">
                  <c:v>0</c:v>
                </c:pt>
                <c:pt idx="1">
                  <c:v>1.6328434802892467E-3</c:v>
                </c:pt>
                <c:pt idx="2">
                  <c:v>4.8070969412454109E-3</c:v>
                </c:pt>
                <c:pt idx="3">
                  <c:v>9.4315799077532222E-3</c:v>
                </c:pt>
                <c:pt idx="4">
                  <c:v>1.5415735337674596E-2</c:v>
                </c:pt>
                <c:pt idx="5">
                  <c:v>2.2669976347338784E-2</c:v>
                </c:pt>
                <c:pt idx="6">
                  <c:v>3.1106007654942321E-2</c:v>
                </c:pt>
                <c:pt idx="7">
                  <c:v>4.0637120552838267E-2</c:v>
                </c:pt>
                <c:pt idx="8">
                  <c:v>5.1178460614123164E-2</c:v>
                </c:pt>
                <c:pt idx="9">
                  <c:v>6.2647267711828963E-2</c:v>
                </c:pt>
                <c:pt idx="10">
                  <c:v>7.4963088275696976E-2</c:v>
                </c:pt>
                <c:pt idx="11">
                  <c:v>8.8047960028225555E-2</c:v>
                </c:pt>
                <c:pt idx="12">
                  <c:v>0.1018265697258646</c:v>
                </c:pt>
                <c:pt idx="13">
                  <c:v>0.11622638468118994</c:v>
                </c:pt>
                <c:pt idx="14">
                  <c:v>0.13117775905695161</c:v>
                </c:pt>
                <c:pt idx="15">
                  <c:v>0.14661401610308436</c:v>
                </c:pt>
                <c:pt idx="16">
                  <c:v>0.16247150765395801</c:v>
                </c:pt>
                <c:pt idx="17">
                  <c:v>0.17868965231664413</c:v>
                </c:pt>
                <c:pt idx="18">
                  <c:v>0.1952109538637474</c:v>
                </c:pt>
                <c:pt idx="19">
                  <c:v>0.21198100139856718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460-487D-B8D8-FB80E2EEA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3818463"/>
        <c:axId val="1833850799"/>
      </c:scatterChart>
      <c:valAx>
        <c:axId val="1833818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no.</a:t>
                </a:r>
                <a:r>
                  <a:rPr lang="en-US" altLang="ko-KR" baseline="0"/>
                  <a:t> of periods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850799"/>
        <c:crosses val="autoZero"/>
        <c:crossBetween val="midCat"/>
      </c:valAx>
      <c:valAx>
        <c:axId val="1833850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818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price-yield</a:t>
            </a:r>
            <a:r>
              <a:rPr lang="en-US" altLang="ko-KR" baseline="0"/>
              <a:t> relationship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coupon 2%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volatility!$B$10:$B$22</c:f>
              <c:numCache>
                <c:formatCode>General</c:formatCode>
                <c:ptCount val="13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  <c:pt idx="12">
                  <c:v>0.15</c:v>
                </c:pt>
              </c:numCache>
            </c:numRef>
          </c:xVal>
          <c:yVal>
            <c:numRef>
              <c:f>volatility!$E$10:$E$22</c:f>
              <c:numCache>
                <c:formatCode>0.000</c:formatCode>
                <c:ptCount val="13"/>
                <c:pt idx="0">
                  <c:v>91.415680607459109</c:v>
                </c:pt>
                <c:pt idx="1">
                  <c:v>83.648566655402888</c:v>
                </c:pt>
                <c:pt idx="2">
                  <c:v>76.616256571529817</c:v>
                </c:pt>
                <c:pt idx="3">
                  <c:v>70.245050279089</c:v>
                </c:pt>
                <c:pt idx="4">
                  <c:v>64.468991745119339</c:v>
                </c:pt>
                <c:pt idx="5">
                  <c:v>59.229020965096908</c:v>
                </c:pt>
                <c:pt idx="6">
                  <c:v>54.472222419912129</c:v>
                </c:pt>
                <c:pt idx="7">
                  <c:v>50.151158629840047</c:v>
                </c:pt>
                <c:pt idx="8">
                  <c:v>46.223278817822674</c:v>
                </c:pt>
                <c:pt idx="9">
                  <c:v>42.650393907173694</c:v>
                </c:pt>
                <c:pt idx="10">
                  <c:v>39.398210139504755</c:v>
                </c:pt>
                <c:pt idx="11">
                  <c:v>36.435914526903026</c:v>
                </c:pt>
                <c:pt idx="12">
                  <c:v>33.735806165252569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329-4CEE-A488-A37BA29C9A26}"/>
            </c:ext>
          </c:extLst>
        </c:ser>
        <c:ser>
          <c:idx val="1"/>
          <c:order val="1"/>
          <c:tx>
            <c:v>4%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volatility!$B$10:$B$22</c:f>
              <c:numCache>
                <c:formatCode>General</c:formatCode>
                <c:ptCount val="13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  <c:pt idx="12">
                  <c:v>0.15</c:v>
                </c:pt>
              </c:numCache>
            </c:numRef>
          </c:xVal>
          <c:yVal>
            <c:numRef>
              <c:f>volatility!$G$10:$G$22</c:f>
              <c:numCache>
                <c:formatCode>0.000</c:formatCode>
                <c:ptCount val="13"/>
                <c:pt idx="0">
                  <c:v>108.58431939254089</c:v>
                </c:pt>
                <c:pt idx="1">
                  <c:v>100</c:v>
                </c:pt>
                <c:pt idx="2">
                  <c:v>92.205418857176596</c:v>
                </c:pt>
                <c:pt idx="3">
                  <c:v>85.122525139544507</c:v>
                </c:pt>
                <c:pt idx="4">
                  <c:v>78.681395047071604</c:v>
                </c:pt>
                <c:pt idx="5">
                  <c:v>72.819347310064614</c:v>
                </c:pt>
                <c:pt idx="6">
                  <c:v>67.480158871365802</c:v>
                </c:pt>
                <c:pt idx="7">
                  <c:v>62.61336897238003</c:v>
                </c:pt>
                <c:pt idx="8">
                  <c:v>58.173661302750972</c:v>
                </c:pt>
                <c:pt idx="9">
                  <c:v>54.120315125738955</c:v>
                </c:pt>
                <c:pt idx="10">
                  <c:v>50.416717386867532</c:v>
                </c:pt>
                <c:pt idx="11">
                  <c:v>47.02992877241919</c:v>
                </c:pt>
                <c:pt idx="12">
                  <c:v>43.930297524444477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329-4CEE-A488-A37BA29C9A26}"/>
            </c:ext>
          </c:extLst>
        </c:ser>
        <c:ser>
          <c:idx val="2"/>
          <c:order val="2"/>
          <c:tx>
            <c:v>6%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volatility!$B$10:$B$22</c:f>
              <c:numCache>
                <c:formatCode>General</c:formatCode>
                <c:ptCount val="13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  <c:pt idx="12">
                  <c:v>0.15</c:v>
                </c:pt>
              </c:numCache>
            </c:numRef>
          </c:xVal>
          <c:yVal>
            <c:numRef>
              <c:f>volatility!$I$10:$I$22</c:f>
              <c:numCache>
                <c:formatCode>0.000</c:formatCode>
                <c:ptCount val="13"/>
                <c:pt idx="0">
                  <c:v>125.7529581776227</c:v>
                </c:pt>
                <c:pt idx="1">
                  <c:v>116.35143334459711</c:v>
                </c:pt>
                <c:pt idx="2">
                  <c:v>107.79458114282339</c:v>
                </c:pt>
                <c:pt idx="3">
                  <c:v>99.999999999999986</c:v>
                </c:pt>
                <c:pt idx="4">
                  <c:v>92.893798349023854</c:v>
                </c:pt>
                <c:pt idx="5">
                  <c:v>86.409673655032293</c:v>
                </c:pt>
                <c:pt idx="6">
                  <c:v>80.48809532281949</c:v>
                </c:pt>
                <c:pt idx="7">
                  <c:v>75.07557931492002</c:v>
                </c:pt>
                <c:pt idx="8">
                  <c:v>70.12404378767927</c:v>
                </c:pt>
                <c:pt idx="9">
                  <c:v>65.590236344304216</c:v>
                </c:pt>
                <c:pt idx="10">
                  <c:v>61.435224634230309</c:v>
                </c:pt>
                <c:pt idx="11">
                  <c:v>57.623943017935353</c:v>
                </c:pt>
                <c:pt idx="12">
                  <c:v>54.124788883636391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329-4CEE-A488-A37BA29C9A26}"/>
            </c:ext>
          </c:extLst>
        </c:ser>
        <c:ser>
          <c:idx val="3"/>
          <c:order val="3"/>
          <c:tx>
            <c:v>8%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volatility!$B$10:$B$22</c:f>
              <c:numCache>
                <c:formatCode>General</c:formatCode>
                <c:ptCount val="13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  <c:pt idx="12">
                  <c:v>0.15</c:v>
                </c:pt>
              </c:numCache>
            </c:numRef>
          </c:xVal>
          <c:yVal>
            <c:numRef>
              <c:f>volatility!$K$10:$K$22</c:f>
              <c:numCache>
                <c:formatCode>0.000</c:formatCode>
                <c:ptCount val="13"/>
                <c:pt idx="0">
                  <c:v>142.92159696270448</c:v>
                </c:pt>
                <c:pt idx="1">
                  <c:v>132.70286668919422</c:v>
                </c:pt>
                <c:pt idx="2">
                  <c:v>123.38374342847017</c:v>
                </c:pt>
                <c:pt idx="3">
                  <c:v>114.87747486045551</c:v>
                </c:pt>
                <c:pt idx="4">
                  <c:v>107.10620165097613</c:v>
                </c:pt>
                <c:pt idx="5">
                  <c:v>100</c:v>
                </c:pt>
                <c:pt idx="6">
                  <c:v>93.496031774273163</c:v>
                </c:pt>
                <c:pt idx="7">
                  <c:v>87.53778965746001</c:v>
                </c:pt>
                <c:pt idx="8">
                  <c:v>82.074426272607568</c:v>
                </c:pt>
                <c:pt idx="9">
                  <c:v>77.060157562869477</c:v>
                </c:pt>
                <c:pt idx="10">
                  <c:v>72.453731881593072</c:v>
                </c:pt>
                <c:pt idx="11">
                  <c:v>68.21795726345151</c:v>
                </c:pt>
                <c:pt idx="12">
                  <c:v>64.319280242828299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329-4CEE-A488-A37BA29C9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1510751"/>
        <c:axId val="890299551"/>
      </c:scatterChart>
      <c:valAx>
        <c:axId val="811510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required yield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299551"/>
        <c:crosses val="autoZero"/>
        <c:crossBetween val="midCat"/>
      </c:valAx>
      <c:valAx>
        <c:axId val="890299551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price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5107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relative price change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coupon 2%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volatility!$B$28:$B$40</c:f>
              <c:numCache>
                <c:formatCode>General</c:formatCode>
                <c:ptCount val="13"/>
                <c:pt idx="0">
                  <c:v>-0.06</c:v>
                </c:pt>
                <c:pt idx="1">
                  <c:v>-4.9999999999999996E-2</c:v>
                </c:pt>
                <c:pt idx="2">
                  <c:v>-3.9999999999999994E-2</c:v>
                </c:pt>
                <c:pt idx="3">
                  <c:v>-0.03</c:v>
                </c:pt>
                <c:pt idx="4">
                  <c:v>-1.999999999999999E-2</c:v>
                </c:pt>
                <c:pt idx="5">
                  <c:v>-9.999999999999995E-3</c:v>
                </c:pt>
                <c:pt idx="6">
                  <c:v>0</c:v>
                </c:pt>
                <c:pt idx="7">
                  <c:v>1.0000000000000009E-2</c:v>
                </c:pt>
                <c:pt idx="8">
                  <c:v>2.0000000000000004E-2</c:v>
                </c:pt>
                <c:pt idx="9">
                  <c:v>0.03</c:v>
                </c:pt>
                <c:pt idx="10">
                  <c:v>4.0000000000000008E-2</c:v>
                </c:pt>
                <c:pt idx="11">
                  <c:v>5.0000000000000017E-2</c:v>
                </c:pt>
                <c:pt idx="12">
                  <c:v>0.06</c:v>
                </c:pt>
              </c:numCache>
            </c:numRef>
          </c:xVal>
          <c:yVal>
            <c:numRef>
              <c:f>volatility!$E$28:$E$40</c:f>
              <c:numCache>
                <c:formatCode>0.000</c:formatCode>
                <c:ptCount val="13"/>
                <c:pt idx="0">
                  <c:v>0.67820728706017386</c:v>
                </c:pt>
                <c:pt idx="1">
                  <c:v>0.53561876015591847</c:v>
                </c:pt>
                <c:pt idx="2">
                  <c:v>0.40651974837588073</c:v>
                </c:pt>
                <c:pt idx="3">
                  <c:v>0.28955726714412833</c:v>
                </c:pt>
                <c:pt idx="4">
                  <c:v>0.18352049689004293</c:v>
                </c:pt>
                <c:pt idx="5">
                  <c:v>8.7325215198966216E-2</c:v>
                </c:pt>
                <c:pt idx="6">
                  <c:v>0</c:v>
                </c:pt>
                <c:pt idx="7">
                  <c:v>-7.9326005037248695E-2</c:v>
                </c:pt>
                <c:pt idx="8">
                  <c:v>-0.15143394625063217</c:v>
                </c:pt>
                <c:pt idx="9">
                  <c:v>-0.21702489796739058</c:v>
                </c:pt>
                <c:pt idx="10">
                  <c:v>-0.27672842433719247</c:v>
                </c:pt>
                <c:pt idx="11">
                  <c:v>-0.33111018959299876</c:v>
                </c:pt>
                <c:pt idx="12">
                  <c:v>-0.38067872639393974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7C0-41A4-8D0C-071DDA776E15}"/>
            </c:ext>
          </c:extLst>
        </c:ser>
        <c:ser>
          <c:idx val="1"/>
          <c:order val="1"/>
          <c:tx>
            <c:v>4%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volatility!$B$28:$B$40</c:f>
              <c:numCache>
                <c:formatCode>General</c:formatCode>
                <c:ptCount val="13"/>
                <c:pt idx="0">
                  <c:v>-0.06</c:v>
                </c:pt>
                <c:pt idx="1">
                  <c:v>-4.9999999999999996E-2</c:v>
                </c:pt>
                <c:pt idx="2">
                  <c:v>-3.9999999999999994E-2</c:v>
                </c:pt>
                <c:pt idx="3">
                  <c:v>-0.03</c:v>
                </c:pt>
                <c:pt idx="4">
                  <c:v>-1.999999999999999E-2</c:v>
                </c:pt>
                <c:pt idx="5">
                  <c:v>-9.999999999999995E-3</c:v>
                </c:pt>
                <c:pt idx="6">
                  <c:v>0</c:v>
                </c:pt>
                <c:pt idx="7">
                  <c:v>1.0000000000000009E-2</c:v>
                </c:pt>
                <c:pt idx="8">
                  <c:v>2.0000000000000004E-2</c:v>
                </c:pt>
                <c:pt idx="9">
                  <c:v>0.03</c:v>
                </c:pt>
                <c:pt idx="10">
                  <c:v>4.0000000000000008E-2</c:v>
                </c:pt>
                <c:pt idx="11">
                  <c:v>5.0000000000000017E-2</c:v>
                </c:pt>
                <c:pt idx="12">
                  <c:v>0.06</c:v>
                </c:pt>
              </c:numCache>
            </c:numRef>
          </c:xVal>
          <c:yVal>
            <c:numRef>
              <c:f>volatility!$G$28:$G$40</c:f>
              <c:numCache>
                <c:formatCode>0.000</c:formatCode>
                <c:ptCount val="13"/>
                <c:pt idx="0">
                  <c:v>0.60912957539904411</c:v>
                </c:pt>
                <c:pt idx="1">
                  <c:v>0.48191708010980255</c:v>
                </c:pt>
                <c:pt idx="2">
                  <c:v>0.36640785083128469</c:v>
                </c:pt>
                <c:pt idx="3">
                  <c:v>0.26144523906367062</c:v>
                </c:pt>
                <c:pt idx="4">
                  <c:v>0.16599303207122232</c:v>
                </c:pt>
                <c:pt idx="5">
                  <c:v>7.9122345412325601E-2</c:v>
                </c:pt>
                <c:pt idx="6">
                  <c:v>0</c:v>
                </c:pt>
                <c:pt idx="7">
                  <c:v>-7.2121790766128763E-2</c:v>
                </c:pt>
                <c:pt idx="8">
                  <c:v>-0.13791457702930665</c:v>
                </c:pt>
                <c:pt idx="9">
                  <c:v>-0.19798180634242546</c:v>
                </c:pt>
                <c:pt idx="10">
                  <c:v>-0.2528660538133215</c:v>
                </c:pt>
                <c:pt idx="11">
                  <c:v>-0.30305545275804563</c:v>
                </c:pt>
                <c:pt idx="12">
                  <c:v>-0.34898941764220354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7C0-41A4-8D0C-071DDA776E15}"/>
            </c:ext>
          </c:extLst>
        </c:ser>
        <c:ser>
          <c:idx val="2"/>
          <c:order val="2"/>
          <c:tx>
            <c:v>6%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volatility!$B$28:$B$40</c:f>
              <c:numCache>
                <c:formatCode>General</c:formatCode>
                <c:ptCount val="13"/>
                <c:pt idx="0">
                  <c:v>-0.06</c:v>
                </c:pt>
                <c:pt idx="1">
                  <c:v>-4.9999999999999996E-2</c:v>
                </c:pt>
                <c:pt idx="2">
                  <c:v>-3.9999999999999994E-2</c:v>
                </c:pt>
                <c:pt idx="3">
                  <c:v>-0.03</c:v>
                </c:pt>
                <c:pt idx="4">
                  <c:v>-1.999999999999999E-2</c:v>
                </c:pt>
                <c:pt idx="5">
                  <c:v>-9.999999999999995E-3</c:v>
                </c:pt>
                <c:pt idx="6">
                  <c:v>0</c:v>
                </c:pt>
                <c:pt idx="7">
                  <c:v>1.0000000000000009E-2</c:v>
                </c:pt>
                <c:pt idx="8">
                  <c:v>2.0000000000000004E-2</c:v>
                </c:pt>
                <c:pt idx="9">
                  <c:v>0.03</c:v>
                </c:pt>
                <c:pt idx="10">
                  <c:v>4.0000000000000008E-2</c:v>
                </c:pt>
                <c:pt idx="11">
                  <c:v>5.0000000000000017E-2</c:v>
                </c:pt>
                <c:pt idx="12">
                  <c:v>0.06</c:v>
                </c:pt>
              </c:numCache>
            </c:numRef>
          </c:xVal>
          <c:yVal>
            <c:numRef>
              <c:f>volatility!$I$28:$I$40</c:f>
              <c:numCache>
                <c:formatCode>0.000</c:formatCode>
                <c:ptCount val="13"/>
                <c:pt idx="0">
                  <c:v>0.56237960002974496</c:v>
                </c:pt>
                <c:pt idx="1">
                  <c:v>0.44557319784917149</c:v>
                </c:pt>
                <c:pt idx="2">
                  <c:v>0.33926117533883465</c:v>
                </c:pt>
                <c:pt idx="3">
                  <c:v>0.24241975908266525</c:v>
                </c:pt>
                <c:pt idx="4">
                  <c:v>0.15413090565067919</c:v>
                </c:pt>
                <c:pt idx="5">
                  <c:v>7.3570859248969625E-2</c:v>
                </c:pt>
                <c:pt idx="6">
                  <c:v>0</c:v>
                </c:pt>
                <c:pt idx="7">
                  <c:v>-6.7246168345655291E-2</c:v>
                </c:pt>
                <c:pt idx="8">
                  <c:v>-0.12876502411409241</c:v>
                </c:pt>
                <c:pt idx="9">
                  <c:v>-0.1850939436293447</c:v>
                </c:pt>
                <c:pt idx="10">
                  <c:v>-0.23671663010750146</c:v>
                </c:pt>
                <c:pt idx="11">
                  <c:v>-0.28406874598263521</c:v>
                </c:pt>
                <c:pt idx="12">
                  <c:v>-0.32754292834792348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7C0-41A4-8D0C-071DDA776E15}"/>
            </c:ext>
          </c:extLst>
        </c:ser>
        <c:ser>
          <c:idx val="3"/>
          <c:order val="3"/>
          <c:tx>
            <c:v>8%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volatility!$B$28:$B$40</c:f>
              <c:numCache>
                <c:formatCode>General</c:formatCode>
                <c:ptCount val="13"/>
                <c:pt idx="0">
                  <c:v>-0.06</c:v>
                </c:pt>
                <c:pt idx="1">
                  <c:v>-4.9999999999999996E-2</c:v>
                </c:pt>
                <c:pt idx="2">
                  <c:v>-3.9999999999999994E-2</c:v>
                </c:pt>
                <c:pt idx="3">
                  <c:v>-0.03</c:v>
                </c:pt>
                <c:pt idx="4">
                  <c:v>-1.999999999999999E-2</c:v>
                </c:pt>
                <c:pt idx="5">
                  <c:v>-9.999999999999995E-3</c:v>
                </c:pt>
                <c:pt idx="6">
                  <c:v>0</c:v>
                </c:pt>
                <c:pt idx="7">
                  <c:v>1.0000000000000009E-2</c:v>
                </c:pt>
                <c:pt idx="8">
                  <c:v>2.0000000000000004E-2</c:v>
                </c:pt>
                <c:pt idx="9">
                  <c:v>0.03</c:v>
                </c:pt>
                <c:pt idx="10">
                  <c:v>4.0000000000000008E-2</c:v>
                </c:pt>
                <c:pt idx="11">
                  <c:v>5.0000000000000017E-2</c:v>
                </c:pt>
                <c:pt idx="12">
                  <c:v>0.06</c:v>
                </c:pt>
              </c:numCache>
            </c:numRef>
          </c:xVal>
          <c:yVal>
            <c:numRef>
              <c:f>volatility!$K$28:$K$40</c:f>
              <c:numCache>
                <c:formatCode>0.000</c:formatCode>
                <c:ptCount val="13"/>
                <c:pt idx="0">
                  <c:v>0.52863810635042918</c:v>
                </c:pt>
                <c:pt idx="1">
                  <c:v>0.41934223486166616</c:v>
                </c:pt>
                <c:pt idx="2">
                  <c:v>0.31966823711143916</c:v>
                </c:pt>
                <c:pt idx="3">
                  <c:v>0.22868824141973659</c:v>
                </c:pt>
                <c:pt idx="4">
                  <c:v>0.14556949229205696</c:v>
                </c:pt>
                <c:pt idx="5">
                  <c:v>6.9564109859007961E-2</c:v>
                </c:pt>
                <c:pt idx="6">
                  <c:v>0</c:v>
                </c:pt>
                <c:pt idx="7">
                  <c:v>-6.3727219259937115E-2</c:v>
                </c:pt>
                <c:pt idx="8">
                  <c:v>-0.12216139321549711</c:v>
                </c:pt>
                <c:pt idx="9">
                  <c:v>-0.17579221170674608</c:v>
                </c:pt>
                <c:pt idx="10">
                  <c:v>-0.22506088754100681</c:v>
                </c:pt>
                <c:pt idx="11">
                  <c:v>-0.27036521263116642</c:v>
                </c:pt>
                <c:pt idx="12">
                  <c:v>-0.31206406280307275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7C0-41A4-8D0C-071DDA776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391343"/>
        <c:axId val="892049551"/>
      </c:scatterChart>
      <c:valAx>
        <c:axId val="812391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yield change</a:t>
                </a:r>
                <a:endParaRPr lang="ko-KR" altLang="en-US"/>
              </a:p>
            </c:rich>
          </c:tx>
          <c:layout>
            <c:manualLayout>
              <c:xMode val="edge"/>
              <c:yMode val="edge"/>
              <c:x val="0.44532792868347076"/>
              <c:y val="0.86790946147808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049551"/>
        <c:crosses val="autoZero"/>
        <c:crossBetween val="midCat"/>
      </c:valAx>
      <c:valAx>
        <c:axId val="892049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3913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price-yield relationship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maturity 5-yr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volatility!$B$51:$B$63</c:f>
              <c:numCache>
                <c:formatCode>General</c:formatCode>
                <c:ptCount val="13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  <c:pt idx="12">
                  <c:v>0.15</c:v>
                </c:pt>
              </c:numCache>
            </c:numRef>
          </c:xVal>
          <c:yVal>
            <c:numRef>
              <c:f>volatility!$E$51:$E$63</c:f>
              <c:numCache>
                <c:formatCode>0.000</c:formatCode>
                <c:ptCount val="13"/>
                <c:pt idx="0">
                  <c:v>113.83327682778155</c:v>
                </c:pt>
                <c:pt idx="1">
                  <c:v>108.98258500624222</c:v>
                </c:pt>
                <c:pt idx="2">
                  <c:v>104.37603196548547</c:v>
                </c:pt>
                <c:pt idx="3">
                  <c:v>100.00000000000001</c:v>
                </c:pt>
                <c:pt idx="4">
                  <c:v>95.841697338711015</c:v>
                </c:pt>
                <c:pt idx="5">
                  <c:v>91.889104220644953</c:v>
                </c:pt>
                <c:pt idx="6">
                  <c:v>88.130922734334774</c:v>
                </c:pt>
                <c:pt idx="7">
                  <c:v>84.556530141630375</c:v>
                </c:pt>
                <c:pt idx="8">
                  <c:v>81.155935428527584</c:v>
                </c:pt>
                <c:pt idx="9">
                  <c:v>77.919738845755887</c:v>
                </c:pt>
                <c:pt idx="10">
                  <c:v>74.839094220336179</c:v>
                </c:pt>
                <c:pt idx="11">
                  <c:v>71.9056738362696</c:v>
                </c:pt>
                <c:pt idx="12">
                  <c:v>69.111635698087866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92D-4076-9648-80849E6B080D}"/>
            </c:ext>
          </c:extLst>
        </c:ser>
        <c:ser>
          <c:idx val="1"/>
          <c:order val="1"/>
          <c:tx>
            <c:v>10-yr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volatility!$B$51:$B$63</c:f>
              <c:numCache>
                <c:formatCode>General</c:formatCode>
                <c:ptCount val="13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  <c:pt idx="12">
                  <c:v>0.15</c:v>
                </c:pt>
              </c:numCache>
            </c:numRef>
          </c:xVal>
          <c:yVal>
            <c:numRef>
              <c:f>volatility!$G$51:$G$63</c:f>
              <c:numCache>
                <c:formatCode>0.000</c:formatCode>
                <c:ptCount val="13"/>
                <c:pt idx="0">
                  <c:v>125.7529581776227</c:v>
                </c:pt>
                <c:pt idx="1">
                  <c:v>116.35143334459711</c:v>
                </c:pt>
                <c:pt idx="2">
                  <c:v>107.79458114282339</c:v>
                </c:pt>
                <c:pt idx="3">
                  <c:v>99.999999999999986</c:v>
                </c:pt>
                <c:pt idx="4">
                  <c:v>92.893798349023854</c:v>
                </c:pt>
                <c:pt idx="5">
                  <c:v>86.409673655032293</c:v>
                </c:pt>
                <c:pt idx="6">
                  <c:v>80.48809532281949</c:v>
                </c:pt>
                <c:pt idx="7">
                  <c:v>75.07557931492002</c:v>
                </c:pt>
                <c:pt idx="8">
                  <c:v>70.12404378767927</c:v>
                </c:pt>
                <c:pt idx="9">
                  <c:v>65.590236344304216</c:v>
                </c:pt>
                <c:pt idx="10">
                  <c:v>61.435224634230309</c:v>
                </c:pt>
                <c:pt idx="11">
                  <c:v>57.623943017935353</c:v>
                </c:pt>
                <c:pt idx="12">
                  <c:v>54.124788883636391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92D-4076-9648-80849E6B080D}"/>
            </c:ext>
          </c:extLst>
        </c:ser>
        <c:ser>
          <c:idx val="2"/>
          <c:order val="2"/>
          <c:tx>
            <c:v>20-yr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volatility!$B$51:$B$63</c:f>
              <c:numCache>
                <c:formatCode>General</c:formatCode>
                <c:ptCount val="13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  <c:pt idx="12">
                  <c:v>0.15</c:v>
                </c:pt>
              </c:numCache>
            </c:numRef>
          </c:xVal>
          <c:yVal>
            <c:numRef>
              <c:f>volatility!$I$51:$I$63</c:f>
              <c:numCache>
                <c:formatCode>0.000</c:formatCode>
                <c:ptCount val="13"/>
                <c:pt idx="0">
                  <c:v>144.87376780626153</c:v>
                </c:pt>
                <c:pt idx="1">
                  <c:v>127.35547924073818</c:v>
                </c:pt>
                <c:pt idx="2">
                  <c:v>112.55138752604387</c:v>
                </c:pt>
                <c:pt idx="3">
                  <c:v>100</c:v>
                </c:pt>
                <c:pt idx="4">
                  <c:v>89.322463831351243</c:v>
                </c:pt>
                <c:pt idx="5">
                  <c:v>80.207226116573523</c:v>
                </c:pt>
                <c:pt idx="6">
                  <c:v>72.397623369580344</c:v>
                </c:pt>
                <c:pt idx="7">
                  <c:v>65.681827292011107</c:v>
                </c:pt>
                <c:pt idx="8">
                  <c:v>59.884688286569656</c:v>
                </c:pt>
                <c:pt idx="9">
                  <c:v>54.861109385425273</c:v>
                </c:pt>
                <c:pt idx="10">
                  <c:v>50.490655964402897</c:v>
                </c:pt>
                <c:pt idx="11">
                  <c:v>46.673164629446525</c:v>
                </c:pt>
                <c:pt idx="12">
                  <c:v>43.3251610167883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92D-4076-9648-80849E6B080D}"/>
            </c:ext>
          </c:extLst>
        </c:ser>
        <c:ser>
          <c:idx val="3"/>
          <c:order val="3"/>
          <c:tx>
            <c:v>30-yr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volatility!$B$51:$B$63</c:f>
              <c:numCache>
                <c:formatCode>General</c:formatCode>
                <c:ptCount val="13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  <c:pt idx="12">
                  <c:v>0.15</c:v>
                </c:pt>
              </c:numCache>
            </c:numRef>
          </c:xVal>
          <c:yVal>
            <c:numRef>
              <c:f>volatility!$K$51:$K$63</c:f>
              <c:numCache>
                <c:formatCode>0.000</c:formatCode>
                <c:ptCount val="13"/>
                <c:pt idx="0">
                  <c:v>159.07040332801418</c:v>
                </c:pt>
                <c:pt idx="1">
                  <c:v>134.76088667704647</c:v>
                </c:pt>
                <c:pt idx="2">
                  <c:v>115.45432824252875</c:v>
                </c:pt>
                <c:pt idx="3">
                  <c:v>100</c:v>
                </c:pt>
                <c:pt idx="4">
                  <c:v>87.527632940875748</c:v>
                </c:pt>
                <c:pt idx="5">
                  <c:v>77.376510025522606</c:v>
                </c:pt>
                <c:pt idx="6">
                  <c:v>69.042966942691322</c:v>
                </c:pt>
                <c:pt idx="7">
                  <c:v>62.141420949859771</c:v>
                </c:pt>
                <c:pt idx="8">
                  <c:v>56.375364590517847</c:v>
                </c:pt>
                <c:pt idx="9">
                  <c:v>51.515716884285908</c:v>
                </c:pt>
                <c:pt idx="10">
                  <c:v>47.384619893079424</c:v>
                </c:pt>
                <c:pt idx="11">
                  <c:v>43.843275398257575</c:v>
                </c:pt>
                <c:pt idx="12">
                  <c:v>40.782786622770544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92D-4076-9648-80849E6B08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2149263"/>
        <c:axId val="116710799"/>
      </c:scatterChart>
      <c:valAx>
        <c:axId val="262149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10799"/>
        <c:crosses val="autoZero"/>
        <c:crossBetween val="midCat"/>
      </c:valAx>
      <c:valAx>
        <c:axId val="116710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1492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relative price change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maturity 5-yr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volatility!$B$69:$B$81</c:f>
              <c:numCache>
                <c:formatCode>General</c:formatCode>
                <c:ptCount val="13"/>
                <c:pt idx="0">
                  <c:v>-0.06</c:v>
                </c:pt>
                <c:pt idx="1">
                  <c:v>-4.9999999999999996E-2</c:v>
                </c:pt>
                <c:pt idx="2">
                  <c:v>-3.9999999999999994E-2</c:v>
                </c:pt>
                <c:pt idx="3">
                  <c:v>-0.03</c:v>
                </c:pt>
                <c:pt idx="4">
                  <c:v>-1.999999999999999E-2</c:v>
                </c:pt>
                <c:pt idx="5">
                  <c:v>-9.999999999999995E-3</c:v>
                </c:pt>
                <c:pt idx="6">
                  <c:v>0</c:v>
                </c:pt>
                <c:pt idx="7">
                  <c:v>1.0000000000000009E-2</c:v>
                </c:pt>
                <c:pt idx="8">
                  <c:v>2.0000000000000004E-2</c:v>
                </c:pt>
                <c:pt idx="9">
                  <c:v>0.03</c:v>
                </c:pt>
                <c:pt idx="10">
                  <c:v>4.0000000000000008E-2</c:v>
                </c:pt>
                <c:pt idx="11">
                  <c:v>5.0000000000000017E-2</c:v>
                </c:pt>
                <c:pt idx="12">
                  <c:v>0.06</c:v>
                </c:pt>
              </c:numCache>
            </c:numRef>
          </c:xVal>
          <c:yVal>
            <c:numRef>
              <c:f>volatility!$E$69:$E$81</c:f>
              <c:numCache>
                <c:formatCode>0.000</c:formatCode>
                <c:ptCount val="13"/>
                <c:pt idx="0">
                  <c:v>0.29163831826571168</c:v>
                </c:pt>
                <c:pt idx="1">
                  <c:v>0.23659870593620688</c:v>
                </c:pt>
                <c:pt idx="2">
                  <c:v>0.18432927657095538</c:v>
                </c:pt>
                <c:pt idx="3">
                  <c:v>0.13467551340003373</c:v>
                </c:pt>
                <c:pt idx="4">
                  <c:v>8.7492271329325508E-2</c:v>
                </c:pt>
                <c:pt idx="5">
                  <c:v>4.2643165074295025E-2</c:v>
                </c:pt>
                <c:pt idx="6">
                  <c:v>0</c:v>
                </c:pt>
                <c:pt idx="7">
                  <c:v>-4.0557757502201412E-2</c:v>
                </c:pt>
                <c:pt idx="8">
                  <c:v>-7.9143473021754895E-2</c:v>
                </c:pt>
                <c:pt idx="9">
                  <c:v>-0.115863803211954</c:v>
                </c:pt>
                <c:pt idx="10">
                  <c:v>-0.15081912343146561</c:v>
                </c:pt>
                <c:pt idx="11">
                  <c:v>-0.18410392623455432</c:v>
                </c:pt>
                <c:pt idx="12">
                  <c:v>-0.21580719282356062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554-4725-B06A-CC5F14FDA6E2}"/>
            </c:ext>
          </c:extLst>
        </c:ser>
        <c:ser>
          <c:idx val="1"/>
          <c:order val="1"/>
          <c:tx>
            <c:v>10-yr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volatility!$B$69:$B$81</c:f>
              <c:numCache>
                <c:formatCode>General</c:formatCode>
                <c:ptCount val="13"/>
                <c:pt idx="0">
                  <c:v>-0.06</c:v>
                </c:pt>
                <c:pt idx="1">
                  <c:v>-4.9999999999999996E-2</c:v>
                </c:pt>
                <c:pt idx="2">
                  <c:v>-3.9999999999999994E-2</c:v>
                </c:pt>
                <c:pt idx="3">
                  <c:v>-0.03</c:v>
                </c:pt>
                <c:pt idx="4">
                  <c:v>-1.999999999999999E-2</c:v>
                </c:pt>
                <c:pt idx="5">
                  <c:v>-9.999999999999995E-3</c:v>
                </c:pt>
                <c:pt idx="6">
                  <c:v>0</c:v>
                </c:pt>
                <c:pt idx="7">
                  <c:v>1.0000000000000009E-2</c:v>
                </c:pt>
                <c:pt idx="8">
                  <c:v>2.0000000000000004E-2</c:v>
                </c:pt>
                <c:pt idx="9">
                  <c:v>0.03</c:v>
                </c:pt>
                <c:pt idx="10">
                  <c:v>4.0000000000000008E-2</c:v>
                </c:pt>
                <c:pt idx="11">
                  <c:v>5.0000000000000017E-2</c:v>
                </c:pt>
                <c:pt idx="12">
                  <c:v>0.06</c:v>
                </c:pt>
              </c:numCache>
            </c:numRef>
          </c:xVal>
          <c:yVal>
            <c:numRef>
              <c:f>volatility!$G$69:$G$81</c:f>
              <c:numCache>
                <c:formatCode>0.000</c:formatCode>
                <c:ptCount val="13"/>
                <c:pt idx="0">
                  <c:v>0.56237960002974496</c:v>
                </c:pt>
                <c:pt idx="1">
                  <c:v>0.44557319784917149</c:v>
                </c:pt>
                <c:pt idx="2">
                  <c:v>0.33926117533883465</c:v>
                </c:pt>
                <c:pt idx="3">
                  <c:v>0.24241975908266525</c:v>
                </c:pt>
                <c:pt idx="4">
                  <c:v>0.15413090565067919</c:v>
                </c:pt>
                <c:pt idx="5">
                  <c:v>7.3570859248969625E-2</c:v>
                </c:pt>
                <c:pt idx="6">
                  <c:v>0</c:v>
                </c:pt>
                <c:pt idx="7">
                  <c:v>-6.7246168345655291E-2</c:v>
                </c:pt>
                <c:pt idx="8">
                  <c:v>-0.12876502411409241</c:v>
                </c:pt>
                <c:pt idx="9">
                  <c:v>-0.1850939436293447</c:v>
                </c:pt>
                <c:pt idx="10">
                  <c:v>-0.23671663010750146</c:v>
                </c:pt>
                <c:pt idx="11">
                  <c:v>-0.28406874598263521</c:v>
                </c:pt>
                <c:pt idx="12">
                  <c:v>-0.32754292834792348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554-4725-B06A-CC5F14FDA6E2}"/>
            </c:ext>
          </c:extLst>
        </c:ser>
        <c:ser>
          <c:idx val="2"/>
          <c:order val="2"/>
          <c:tx>
            <c:v>20-yr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volatility!$B$69:$B$81</c:f>
              <c:numCache>
                <c:formatCode>General</c:formatCode>
                <c:ptCount val="13"/>
                <c:pt idx="0">
                  <c:v>-0.06</c:v>
                </c:pt>
                <c:pt idx="1">
                  <c:v>-4.9999999999999996E-2</c:v>
                </c:pt>
                <c:pt idx="2">
                  <c:v>-3.9999999999999994E-2</c:v>
                </c:pt>
                <c:pt idx="3">
                  <c:v>-0.03</c:v>
                </c:pt>
                <c:pt idx="4">
                  <c:v>-1.999999999999999E-2</c:v>
                </c:pt>
                <c:pt idx="5">
                  <c:v>-9.999999999999995E-3</c:v>
                </c:pt>
                <c:pt idx="6">
                  <c:v>0</c:v>
                </c:pt>
                <c:pt idx="7">
                  <c:v>1.0000000000000009E-2</c:v>
                </c:pt>
                <c:pt idx="8">
                  <c:v>2.0000000000000004E-2</c:v>
                </c:pt>
                <c:pt idx="9">
                  <c:v>0.03</c:v>
                </c:pt>
                <c:pt idx="10">
                  <c:v>4.0000000000000008E-2</c:v>
                </c:pt>
                <c:pt idx="11">
                  <c:v>5.0000000000000017E-2</c:v>
                </c:pt>
                <c:pt idx="12">
                  <c:v>0.06</c:v>
                </c:pt>
              </c:numCache>
            </c:numRef>
          </c:xVal>
          <c:yVal>
            <c:numRef>
              <c:f>volatility!$I$69:$I$81</c:f>
              <c:numCache>
                <c:formatCode>0.000</c:formatCode>
                <c:ptCount val="13"/>
                <c:pt idx="0">
                  <c:v>1.0010845807285689</c:v>
                </c:pt>
                <c:pt idx="1">
                  <c:v>0.75911132594236153</c:v>
                </c:pt>
                <c:pt idx="2">
                  <c:v>0.55462820860132156</c:v>
                </c:pt>
                <c:pt idx="3">
                  <c:v>0.38126081141521945</c:v>
                </c:pt>
                <c:pt idx="4">
                  <c:v>0.23377618869298808</c:v>
                </c:pt>
                <c:pt idx="5">
                  <c:v>0.10787098227142325</c:v>
                </c:pt>
                <c:pt idx="6">
                  <c:v>0</c:v>
                </c:pt>
                <c:pt idx="7">
                  <c:v>-9.2762659394024324E-2</c:v>
                </c:pt>
                <c:pt idx="8">
                  <c:v>-0.17283626865945309</c:v>
                </c:pt>
                <c:pt idx="9">
                  <c:v>-0.24222499535148376</c:v>
                </c:pt>
                <c:pt idx="10">
                  <c:v>-0.30259235573722165</c:v>
                </c:pt>
                <c:pt idx="11">
                  <c:v>-0.35532186752614575</c:v>
                </c:pt>
                <c:pt idx="12">
                  <c:v>-0.4015665293925596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554-4725-B06A-CC5F14FDA6E2}"/>
            </c:ext>
          </c:extLst>
        </c:ser>
        <c:ser>
          <c:idx val="3"/>
          <c:order val="3"/>
          <c:tx>
            <c:v>30-yr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volatility!$B$69:$B$81</c:f>
              <c:numCache>
                <c:formatCode>General</c:formatCode>
                <c:ptCount val="13"/>
                <c:pt idx="0">
                  <c:v>-0.06</c:v>
                </c:pt>
                <c:pt idx="1">
                  <c:v>-4.9999999999999996E-2</c:v>
                </c:pt>
                <c:pt idx="2">
                  <c:v>-3.9999999999999994E-2</c:v>
                </c:pt>
                <c:pt idx="3">
                  <c:v>-0.03</c:v>
                </c:pt>
                <c:pt idx="4">
                  <c:v>-1.999999999999999E-2</c:v>
                </c:pt>
                <c:pt idx="5">
                  <c:v>-9.999999999999995E-3</c:v>
                </c:pt>
                <c:pt idx="6">
                  <c:v>0</c:v>
                </c:pt>
                <c:pt idx="7">
                  <c:v>1.0000000000000009E-2</c:v>
                </c:pt>
                <c:pt idx="8">
                  <c:v>2.0000000000000004E-2</c:v>
                </c:pt>
                <c:pt idx="9">
                  <c:v>0.03</c:v>
                </c:pt>
                <c:pt idx="10">
                  <c:v>4.0000000000000008E-2</c:v>
                </c:pt>
                <c:pt idx="11">
                  <c:v>5.0000000000000017E-2</c:v>
                </c:pt>
                <c:pt idx="12">
                  <c:v>0.06</c:v>
                </c:pt>
              </c:numCache>
            </c:numRef>
          </c:xVal>
          <c:yVal>
            <c:numRef>
              <c:f>volatility!$K$69:$K$81</c:f>
              <c:numCache>
                <c:formatCode>0.000</c:formatCode>
                <c:ptCount val="13"/>
                <c:pt idx="0">
                  <c:v>1.3039334833343643</c:v>
                </c:pt>
                <c:pt idx="1">
                  <c:v>0.95184089914478753</c:v>
                </c:pt>
                <c:pt idx="2">
                  <c:v>0.67220983331091322</c:v>
                </c:pt>
                <c:pt idx="3">
                  <c:v>0.44837344668290929</c:v>
                </c:pt>
                <c:pt idx="4">
                  <c:v>0.26772699402572758</c:v>
                </c:pt>
                <c:pt idx="5">
                  <c:v>0.12070082517960865</c:v>
                </c:pt>
                <c:pt idx="6">
                  <c:v>0</c:v>
                </c:pt>
                <c:pt idx="7">
                  <c:v>-9.9960159570780541E-2</c:v>
                </c:pt>
                <c:pt idx="8">
                  <c:v>-0.18347418880026026</c:v>
                </c:pt>
                <c:pt idx="9">
                  <c:v>-0.25386003577965871</c:v>
                </c:pt>
                <c:pt idx="10">
                  <c:v>-0.31369374765701002</c:v>
                </c:pt>
                <c:pt idx="11">
                  <c:v>-0.36498564097557673</c:v>
                </c:pt>
                <c:pt idx="12">
                  <c:v>-0.40931294773844179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554-4725-B06A-CC5F14FDA6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1513551"/>
        <c:axId val="890309951"/>
      </c:scatterChart>
      <c:valAx>
        <c:axId val="811513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yield change</a:t>
                </a:r>
                <a:endParaRPr lang="ko-KR" altLang="en-US"/>
              </a:p>
            </c:rich>
          </c:tx>
          <c:layout>
            <c:manualLayout>
              <c:xMode val="edge"/>
              <c:yMode val="edge"/>
              <c:x val="0.44327231389069999"/>
              <c:y val="0.869720874673947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309951"/>
        <c:crosses val="autoZero"/>
        <c:crossBetween val="midCat"/>
      </c:valAx>
      <c:valAx>
        <c:axId val="890309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5135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relative</a:t>
            </a:r>
            <a:r>
              <a:rPr lang="en-US" altLang="ko-KR" baseline="0"/>
              <a:t> price change for 1% increase in yield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maturity 5-yr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volatility!$B$92:$B$103</c:f>
              <c:numCache>
                <c:formatCode>General</c:formatCode>
                <c:ptCount val="12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</c:numCache>
            </c:numRef>
          </c:xVal>
          <c:yVal>
            <c:numRef>
              <c:f>volatility!$E$92:$E$103</c:f>
              <c:numCache>
                <c:formatCode>0.00%</c:formatCode>
                <c:ptCount val="12"/>
                <c:pt idx="0">
                  <c:v>-4.261224798859075E-2</c:v>
                </c:pt>
                <c:pt idx="1">
                  <c:v>-4.2268707798524874E-2</c:v>
                </c:pt>
                <c:pt idx="2">
                  <c:v>-4.1925640236376266E-2</c:v>
                </c:pt>
                <c:pt idx="3">
                  <c:v>-4.1583026612889991E-2</c:v>
                </c:pt>
                <c:pt idx="4">
                  <c:v>-4.1240850567340559E-2</c:v>
                </c:pt>
                <c:pt idx="5">
                  <c:v>-4.0899098083337485E-2</c:v>
                </c:pt>
                <c:pt idx="6">
                  <c:v>-4.0557757502201412E-2</c:v>
                </c:pt>
                <c:pt idx="7">
                  <c:v>-4.0216819533711562E-2</c:v>
                </c:pt>
                <c:pt idx="8">
                  <c:v>-3.9876277264054842E-2</c:v>
                </c:pt>
                <c:pt idx="9">
                  <c:v>-3.9536126160765545E-2</c:v>
                </c:pt>
                <c:pt idx="10">
                  <c:v>-3.9196364074506329E-2</c:v>
                </c:pt>
                <c:pt idx="11">
                  <c:v>-3.8856991237489882E-2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B28-4DFC-864A-BC45369787F3}"/>
            </c:ext>
          </c:extLst>
        </c:ser>
        <c:ser>
          <c:idx val="1"/>
          <c:order val="1"/>
          <c:tx>
            <c:v>10-yr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volatility!$B$92:$B$103</c:f>
              <c:numCache>
                <c:formatCode>General</c:formatCode>
                <c:ptCount val="12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</c:numCache>
            </c:numRef>
          </c:xVal>
          <c:yVal>
            <c:numRef>
              <c:f>volatility!$G$92:$G$103</c:f>
              <c:numCache>
                <c:formatCode>0.00%</c:formatCode>
                <c:ptCount val="12"/>
                <c:pt idx="0">
                  <c:v>-7.4761858243892657E-2</c:v>
                </c:pt>
                <c:pt idx="1">
                  <c:v>-7.3543161057852732E-2</c:v>
                </c:pt>
                <c:pt idx="2">
                  <c:v>-7.2309582357353422E-2</c:v>
                </c:pt>
                <c:pt idx="3">
                  <c:v>-7.1062016509761336E-2</c:v>
                </c:pt>
                <c:pt idx="4">
                  <c:v>-6.9801480930182E-2</c:v>
                </c:pt>
                <c:pt idx="5">
                  <c:v>-6.8529113486218388E-2</c:v>
                </c:pt>
                <c:pt idx="6">
                  <c:v>-6.7246168345655291E-2</c:v>
                </c:pt>
                <c:pt idx="7">
                  <c:v>-6.5954010244403338E-2</c:v>
                </c:pt>
                <c:pt idx="8">
                  <c:v>-6.4654107186152304E-2</c:v>
                </c:pt>
                <c:pt idx="9">
                  <c:v>-6.3348021621128431E-2</c:v>
                </c:pt>
                <c:pt idx="10">
                  <c:v>-6.2037400188350515E-2</c:v>
                </c:pt>
                <c:pt idx="11">
                  <c:v>-6.072396214208834E-2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B28-4DFC-864A-BC45369787F3}"/>
            </c:ext>
          </c:extLst>
        </c:ser>
        <c:ser>
          <c:idx val="2"/>
          <c:order val="2"/>
          <c:tx>
            <c:v>20-yr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volatility!$B$92:$B$103</c:f>
              <c:numCache>
                <c:formatCode>General</c:formatCode>
                <c:ptCount val="12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</c:numCache>
            </c:numRef>
          </c:xVal>
          <c:yVal>
            <c:numRef>
              <c:f>volatility!$I$92:$I$103</c:f>
              <c:numCache>
                <c:formatCode>0.00%</c:formatCode>
                <c:ptCount val="12"/>
                <c:pt idx="0">
                  <c:v>-0.12092105307118407</c:v>
                </c:pt>
                <c:pt idx="1">
                  <c:v>-0.11624228343336805</c:v>
                </c:pt>
                <c:pt idx="2">
                  <c:v>-0.11151695062968046</c:v>
                </c:pt>
                <c:pt idx="3">
                  <c:v>-0.10677536168648757</c:v>
                </c:pt>
                <c:pt idx="4">
                  <c:v>-0.10204865969649135</c:v>
                </c:pt>
                <c:pt idx="5">
                  <c:v>-9.7367819897457478E-2</c:v>
                </c:pt>
                <c:pt idx="6">
                  <c:v>-9.2762659394024324E-2</c:v>
                </c:pt>
                <c:pt idx="7">
                  <c:v>-8.826092763327488E-2</c:v>
                </c:pt>
                <c:pt idx="8">
                  <c:v>-8.3887535276208847E-2</c:v>
                </c:pt>
                <c:pt idx="9">
                  <c:v>-7.9663963597926366E-2</c:v>
                </c:pt>
                <c:pt idx="10">
                  <c:v>-7.5607877577344093E-2</c:v>
                </c:pt>
                <c:pt idx="11">
                  <c:v>-7.1732946313778329E-2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B28-4DFC-864A-BC45369787F3}"/>
            </c:ext>
          </c:extLst>
        </c:ser>
        <c:ser>
          <c:idx val="3"/>
          <c:order val="3"/>
          <c:tx>
            <c:v>30-yr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volatility!$B$92:$B$103</c:f>
              <c:numCache>
                <c:formatCode>General</c:formatCode>
                <c:ptCount val="12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0.14000000000000001</c:v>
                </c:pt>
              </c:numCache>
            </c:numRef>
          </c:xVal>
          <c:yVal>
            <c:numRef>
              <c:f>volatility!$K$92:$K$103</c:f>
              <c:numCache>
                <c:formatCode>0.00%</c:formatCode>
                <c:ptCount val="12"/>
                <c:pt idx="0">
                  <c:v>-0.15282237388208417</c:v>
                </c:pt>
                <c:pt idx="1">
                  <c:v>-0.14326529685713452</c:v>
                </c:pt>
                <c:pt idx="2">
                  <c:v>-0.13385663818566129</c:v>
                </c:pt>
                <c:pt idx="3">
                  <c:v>-0.12472367059124252</c:v>
                </c:pt>
                <c:pt idx="4">
                  <c:v>-0.11597620744765426</c:v>
                </c:pt>
                <c:pt idx="5">
                  <c:v>-0.10770120130880119</c:v>
                </c:pt>
                <c:pt idx="6">
                  <c:v>-9.9960159570780541E-2</c:v>
                </c:pt>
                <c:pt idx="7">
                  <c:v>-9.2789258295113641E-2</c:v>
                </c:pt>
                <c:pt idx="8">
                  <c:v>-8.6201619120868905E-2</c:v>
                </c:pt>
                <c:pt idx="9">
                  <c:v>-8.0191002689251376E-2</c:v>
                </c:pt>
                <c:pt idx="10">
                  <c:v>-7.4736159175966446E-2</c:v>
                </c:pt>
                <c:pt idx="11">
                  <c:v>-6.9805203823997616E-2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B28-4DFC-864A-BC4536978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7484399"/>
        <c:axId val="267705775"/>
      </c:scatterChart>
      <c:valAx>
        <c:axId val="897484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original yield level</a:t>
                </a:r>
                <a:endParaRPr lang="ko-KR" altLang="en-US"/>
              </a:p>
            </c:rich>
          </c:tx>
          <c:layout>
            <c:manualLayout>
              <c:xMode val="edge"/>
              <c:yMode val="edge"/>
              <c:x val="0.44343067659665536"/>
              <c:y val="0.876198063940644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705775"/>
        <c:crosses val="autoZero"/>
        <c:crossBetween val="midCat"/>
      </c:valAx>
      <c:valAx>
        <c:axId val="267705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4843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4% yield</a:t>
            </a:r>
            <a:r>
              <a:rPr lang="en-US" altLang="ko-KR" baseline="0"/>
              <a:t> per period, maturity 20 periods, $100 par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v>modified duration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volatility!$B$147:$B$157</c:f>
              <c:numCache>
                <c:formatCode>General</c:formatCode>
                <c:ptCount val="11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</c:numCache>
            </c:numRef>
          </c:xVal>
          <c:yVal>
            <c:numRef>
              <c:f>volatility!$E$147:$E$157</c:f>
              <c:numCache>
                <c:formatCode>0.0000</c:formatCode>
                <c:ptCount val="11"/>
                <c:pt idx="0">
                  <c:v>19.230769230769226</c:v>
                </c:pt>
                <c:pt idx="1">
                  <c:v>17.88611257110891</c:v>
                </c:pt>
                <c:pt idx="2">
                  <c:v>16.849992546512791</c:v>
                </c:pt>
                <c:pt idx="3">
                  <c:v>16.027146028446868</c:v>
                </c:pt>
                <c:pt idx="4">
                  <c:v>15.357867938627363</c:v>
                </c:pt>
                <c:pt idx="5">
                  <c:v>14.802836706586088</c:v>
                </c:pt>
                <c:pt idx="6">
                  <c:v>14.335099584752941</c:v>
                </c:pt>
                <c:pt idx="7">
                  <c:v>13.935563860462411</c:v>
                </c:pt>
                <c:pt idx="8">
                  <c:v>13.590326344967698</c:v>
                </c:pt>
                <c:pt idx="9">
                  <c:v>13.289022378172387</c:v>
                </c:pt>
                <c:pt idx="10">
                  <c:v>13.023767425140321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380-4E75-BF0D-3D20E8E8CF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083647"/>
        <c:axId val="199084479"/>
      </c:scatterChart>
      <c:scatterChart>
        <c:scatterStyle val="smoothMarker"/>
        <c:varyColors val="0"/>
        <c:ser>
          <c:idx val="0"/>
          <c:order val="0"/>
          <c:tx>
            <c:v>price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volatility!$B$147:$B$157</c:f>
              <c:numCache>
                <c:formatCode>General</c:formatCode>
                <c:ptCount val="11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</c:numCache>
            </c:numRef>
          </c:xVal>
          <c:yVal>
            <c:numRef>
              <c:f>volatility!$D$147:$D$157</c:f>
              <c:numCache>
                <c:formatCode>0.0000</c:formatCode>
                <c:ptCount val="11"/>
                <c:pt idx="0">
                  <c:v>45.638694620129208</c:v>
                </c:pt>
                <c:pt idx="1">
                  <c:v>52.433857792613054</c:v>
                </c:pt>
                <c:pt idx="2">
                  <c:v>59.229020965096908</c:v>
                </c:pt>
                <c:pt idx="3">
                  <c:v>66.024184137580761</c:v>
                </c:pt>
                <c:pt idx="4">
                  <c:v>72.8193473100646</c:v>
                </c:pt>
                <c:pt idx="5">
                  <c:v>79.614510482548454</c:v>
                </c:pt>
                <c:pt idx="6">
                  <c:v>86.409673655032307</c:v>
                </c:pt>
                <c:pt idx="7">
                  <c:v>93.204836827516161</c:v>
                </c:pt>
                <c:pt idx="8">
                  <c:v>100</c:v>
                </c:pt>
                <c:pt idx="9">
                  <c:v>106.79516317248385</c:v>
                </c:pt>
                <c:pt idx="10">
                  <c:v>113.59032634496771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380-4E75-BF0D-3D20E8E8CF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484655"/>
        <c:axId val="200477167"/>
      </c:scatterChart>
      <c:valAx>
        <c:axId val="199083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coupon rate (per period)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084479"/>
        <c:crosses val="autoZero"/>
        <c:crossBetween val="midCat"/>
      </c:valAx>
      <c:valAx>
        <c:axId val="199084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duration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083647"/>
        <c:crosses val="autoZero"/>
        <c:crossBetween val="midCat"/>
      </c:valAx>
      <c:valAx>
        <c:axId val="200477167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price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84655"/>
        <c:crosses val="max"/>
        <c:crossBetween val="midCat"/>
      </c:valAx>
      <c:valAx>
        <c:axId val="200484655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00477167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3% coupon</a:t>
            </a:r>
            <a:r>
              <a:rPr lang="en-US" altLang="ko-KR" baseline="0"/>
              <a:t> per period, 4% yield per period, $100 par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volatility!$I$147:$I$162</c:f>
              <c:numCache>
                <c:formatCode>General</c:formatCode>
                <c:ptCount val="16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  <c:pt idx="6">
                  <c:v>22</c:v>
                </c:pt>
                <c:pt idx="7">
                  <c:v>24</c:v>
                </c:pt>
                <c:pt idx="8">
                  <c:v>26</c:v>
                </c:pt>
                <c:pt idx="9">
                  <c:v>28</c:v>
                </c:pt>
                <c:pt idx="10">
                  <c:v>30</c:v>
                </c:pt>
                <c:pt idx="11">
                  <c:v>32</c:v>
                </c:pt>
                <c:pt idx="12">
                  <c:v>34</c:v>
                </c:pt>
                <c:pt idx="13">
                  <c:v>36</c:v>
                </c:pt>
                <c:pt idx="14">
                  <c:v>38</c:v>
                </c:pt>
                <c:pt idx="15">
                  <c:v>40</c:v>
                </c:pt>
              </c:numCache>
            </c:numRef>
          </c:xVal>
          <c:yVal>
            <c:numRef>
              <c:f>volatility!$J$147:$J$162</c:f>
              <c:numCache>
                <c:formatCode>0.0000</c:formatCode>
                <c:ptCount val="16"/>
                <c:pt idx="0">
                  <c:v>8.3874189750702435</c:v>
                </c:pt>
                <c:pt idx="1">
                  <c:v>9.7561493957537149</c:v>
                </c:pt>
                <c:pt idx="2">
                  <c:v>11.030984398980948</c:v>
                </c:pt>
                <c:pt idx="3">
                  <c:v>12.216180107399618</c:v>
                </c:pt>
                <c:pt idx="4">
                  <c:v>13.316086585532918</c:v>
                </c:pt>
                <c:pt idx="5">
                  <c:v>14.335099584752941</c:v>
                </c:pt>
                <c:pt idx="6">
                  <c:v>15.277617451748585</c:v>
                </c:pt>
                <c:pt idx="7">
                  <c:v>16.148003277338926</c:v>
                </c:pt>
                <c:pt idx="8">
                  <c:v>16.950552224491005</c:v>
                </c:pt>
                <c:pt idx="9">
                  <c:v>17.689463862714728</c:v>
                </c:pt>
                <c:pt idx="10">
                  <c:v>18.368819249574241</c:v>
                </c:pt>
                <c:pt idx="11">
                  <c:v>18.992562436936403</c:v>
                </c:pt>
                <c:pt idx="12">
                  <c:v>19.564486037260821</c:v>
                </c:pt>
                <c:pt idx="13">
                  <c:v>20.088220460896014</c:v>
                </c:pt>
                <c:pt idx="14">
                  <c:v>20.567226426056695</c:v>
                </c:pt>
                <c:pt idx="15">
                  <c:v>21.00479034605814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F22-4B70-AD9D-CB4F281F99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2544463"/>
        <c:axId val="1262542383"/>
      </c:scatterChart>
      <c:valAx>
        <c:axId val="1262544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maturity in periods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542383"/>
        <c:crosses val="autoZero"/>
        <c:crossBetween val="midCat"/>
      </c:valAx>
      <c:valAx>
        <c:axId val="126254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duration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544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bond price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volatility!$B$181:$B$193</c:f>
              <c:numCache>
                <c:formatCode>General</c:formatCode>
                <c:ptCount val="13"/>
                <c:pt idx="0">
                  <c:v>1.4999999999999999E-2</c:v>
                </c:pt>
                <c:pt idx="1">
                  <c:v>0.02</c:v>
                </c:pt>
                <c:pt idx="2">
                  <c:v>2.5000000000000001E-2</c:v>
                </c:pt>
                <c:pt idx="3">
                  <c:v>0.03</c:v>
                </c:pt>
                <c:pt idx="4">
                  <c:v>3.5000000000000003E-2</c:v>
                </c:pt>
                <c:pt idx="5">
                  <c:v>0.04</c:v>
                </c:pt>
                <c:pt idx="6">
                  <c:v>4.4999999999999998E-2</c:v>
                </c:pt>
                <c:pt idx="7">
                  <c:v>0.05</c:v>
                </c:pt>
                <c:pt idx="8">
                  <c:v>5.5E-2</c:v>
                </c:pt>
                <c:pt idx="9">
                  <c:v>0.06</c:v>
                </c:pt>
                <c:pt idx="10">
                  <c:v>6.5000000000000002E-2</c:v>
                </c:pt>
                <c:pt idx="11">
                  <c:v>7.0000000000000007E-2</c:v>
                </c:pt>
                <c:pt idx="12">
                  <c:v>7.4999999999999997E-2</c:v>
                </c:pt>
              </c:numCache>
            </c:numRef>
          </c:xVal>
          <c:yVal>
            <c:numRef>
              <c:f>volatility!$C$181:$C$193</c:f>
              <c:numCache>
                <c:formatCode>0.0000</c:formatCode>
                <c:ptCount val="13"/>
                <c:pt idx="0">
                  <c:v>142.92159696270448</c:v>
                </c:pt>
                <c:pt idx="1">
                  <c:v>132.70286668919422</c:v>
                </c:pt>
                <c:pt idx="2">
                  <c:v>123.38374342847018</c:v>
                </c:pt>
                <c:pt idx="3">
                  <c:v>114.87747486045551</c:v>
                </c:pt>
                <c:pt idx="4">
                  <c:v>107.10620165097615</c:v>
                </c:pt>
                <c:pt idx="5">
                  <c:v>100</c:v>
                </c:pt>
                <c:pt idx="6">
                  <c:v>93.496031774273163</c:v>
                </c:pt>
                <c:pt idx="7">
                  <c:v>87.537789657459996</c:v>
                </c:pt>
                <c:pt idx="8">
                  <c:v>82.074426272607553</c:v>
                </c:pt>
                <c:pt idx="9">
                  <c:v>77.060157562869477</c:v>
                </c:pt>
                <c:pt idx="10">
                  <c:v>72.453731881593072</c:v>
                </c:pt>
                <c:pt idx="11">
                  <c:v>68.217957263451524</c:v>
                </c:pt>
                <c:pt idx="12">
                  <c:v>64.319280242828313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74-490C-A348-56C1677F555D}"/>
            </c:ext>
          </c:extLst>
        </c:ser>
        <c:ser>
          <c:idx val="1"/>
          <c:order val="1"/>
          <c:tx>
            <c:v>first order approximation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volatility!$B$181:$B$193</c:f>
              <c:numCache>
                <c:formatCode>General</c:formatCode>
                <c:ptCount val="13"/>
                <c:pt idx="0">
                  <c:v>1.4999999999999999E-2</c:v>
                </c:pt>
                <c:pt idx="1">
                  <c:v>0.02</c:v>
                </c:pt>
                <c:pt idx="2">
                  <c:v>2.5000000000000001E-2</c:v>
                </c:pt>
                <c:pt idx="3">
                  <c:v>0.03</c:v>
                </c:pt>
                <c:pt idx="4">
                  <c:v>3.5000000000000003E-2</c:v>
                </c:pt>
                <c:pt idx="5">
                  <c:v>0.04</c:v>
                </c:pt>
                <c:pt idx="6">
                  <c:v>4.4999999999999998E-2</c:v>
                </c:pt>
                <c:pt idx="7">
                  <c:v>0.05</c:v>
                </c:pt>
                <c:pt idx="8">
                  <c:v>5.5E-2</c:v>
                </c:pt>
                <c:pt idx="9">
                  <c:v>0.06</c:v>
                </c:pt>
                <c:pt idx="10">
                  <c:v>6.5000000000000002E-2</c:v>
                </c:pt>
                <c:pt idx="11">
                  <c:v>7.0000000000000007E-2</c:v>
                </c:pt>
                <c:pt idx="12">
                  <c:v>7.4999999999999997E-2</c:v>
                </c:pt>
              </c:numCache>
            </c:numRef>
          </c:xVal>
          <c:yVal>
            <c:numRef>
              <c:f>volatility!$D$181:$D$193</c:f>
              <c:numCache>
                <c:formatCode>0.0000</c:formatCode>
                <c:ptCount val="13"/>
                <c:pt idx="0">
                  <c:v>135.06480491828884</c:v>
                </c:pt>
                <c:pt idx="1">
                  <c:v>128.13667606095288</c:v>
                </c:pt>
                <c:pt idx="2">
                  <c:v>121.20854720361693</c:v>
                </c:pt>
                <c:pt idx="3">
                  <c:v>114.280418346281</c:v>
                </c:pt>
                <c:pt idx="4">
                  <c:v>107.35228948894505</c:v>
                </c:pt>
                <c:pt idx="5">
                  <c:v>100.42416063160911</c:v>
                </c:pt>
                <c:pt idx="6">
                  <c:v>93.496031774273163</c:v>
                </c:pt>
                <c:pt idx="7">
                  <c:v>86.567902916937214</c:v>
                </c:pt>
                <c:pt idx="8">
                  <c:v>79.639774059601265</c:v>
                </c:pt>
                <c:pt idx="9">
                  <c:v>72.711645202265331</c:v>
                </c:pt>
                <c:pt idx="10">
                  <c:v>65.783516344929367</c:v>
                </c:pt>
                <c:pt idx="11">
                  <c:v>58.855387487593418</c:v>
                </c:pt>
                <c:pt idx="12">
                  <c:v>51.927258630257491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074-490C-A348-56C1677F55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72527"/>
        <c:axId val="11367119"/>
      </c:scatterChart>
      <c:valAx>
        <c:axId val="11372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new</a:t>
                </a:r>
                <a:r>
                  <a:rPr lang="en-US" altLang="ko-KR" baseline="0"/>
                  <a:t> yield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7119"/>
        <c:crosses val="autoZero"/>
        <c:crossBetween val="midCat"/>
      </c:valAx>
      <c:valAx>
        <c:axId val="11367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price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25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bond price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volatility!$B$212:$B$224</c:f>
              <c:numCache>
                <c:formatCode>General</c:formatCode>
                <c:ptCount val="13"/>
                <c:pt idx="0">
                  <c:v>1.4999999999999999E-2</c:v>
                </c:pt>
                <c:pt idx="1">
                  <c:v>0.02</c:v>
                </c:pt>
                <c:pt idx="2">
                  <c:v>3.7906999999999996E-2</c:v>
                </c:pt>
                <c:pt idx="3">
                  <c:v>3.8906999999999997E-2</c:v>
                </c:pt>
                <c:pt idx="4">
                  <c:v>3.5000000000000003E-2</c:v>
                </c:pt>
                <c:pt idx="5">
                  <c:v>0.04</c:v>
                </c:pt>
                <c:pt idx="6">
                  <c:v>4.4999999999999998E-2</c:v>
                </c:pt>
                <c:pt idx="7">
                  <c:v>0.05</c:v>
                </c:pt>
                <c:pt idx="8">
                  <c:v>5.5E-2</c:v>
                </c:pt>
                <c:pt idx="9">
                  <c:v>0.06</c:v>
                </c:pt>
                <c:pt idx="10">
                  <c:v>6.5000000000000002E-2</c:v>
                </c:pt>
                <c:pt idx="11">
                  <c:v>7.0000000000000007E-2</c:v>
                </c:pt>
                <c:pt idx="12">
                  <c:v>7.4999999999999997E-2</c:v>
                </c:pt>
              </c:numCache>
            </c:numRef>
          </c:xVal>
          <c:yVal>
            <c:numRef>
              <c:f>volatility!$C$212:$C$224</c:f>
              <c:numCache>
                <c:formatCode>0.0000</c:formatCode>
                <c:ptCount val="13"/>
                <c:pt idx="0">
                  <c:v>142.92159696270448</c:v>
                </c:pt>
                <c:pt idx="1">
                  <c:v>132.70286668919422</c:v>
                </c:pt>
                <c:pt idx="2">
                  <c:v>102.8979081104354</c:v>
                </c:pt>
                <c:pt idx="3">
                  <c:v>101.49990342283613</c:v>
                </c:pt>
                <c:pt idx="4">
                  <c:v>107.10620165097615</c:v>
                </c:pt>
                <c:pt idx="5">
                  <c:v>100</c:v>
                </c:pt>
                <c:pt idx="6">
                  <c:v>93.496031774273163</c:v>
                </c:pt>
                <c:pt idx="7">
                  <c:v>87.537789657459996</c:v>
                </c:pt>
                <c:pt idx="8">
                  <c:v>82.074426272607553</c:v>
                </c:pt>
                <c:pt idx="9">
                  <c:v>77.060157562869477</c:v>
                </c:pt>
                <c:pt idx="10">
                  <c:v>72.453731881593072</c:v>
                </c:pt>
                <c:pt idx="11">
                  <c:v>68.217957263451524</c:v>
                </c:pt>
                <c:pt idx="12">
                  <c:v>64.319280242828313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53-4EAA-A5A6-D39D99D65601}"/>
            </c:ext>
          </c:extLst>
        </c:ser>
        <c:ser>
          <c:idx val="1"/>
          <c:order val="1"/>
          <c:tx>
            <c:v>linear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volatility!$B$212:$B$224</c:f>
              <c:numCache>
                <c:formatCode>General</c:formatCode>
                <c:ptCount val="13"/>
                <c:pt idx="0">
                  <c:v>1.4999999999999999E-2</c:v>
                </c:pt>
                <c:pt idx="1">
                  <c:v>0.02</c:v>
                </c:pt>
                <c:pt idx="2">
                  <c:v>3.7906999999999996E-2</c:v>
                </c:pt>
                <c:pt idx="3">
                  <c:v>3.8906999999999997E-2</c:v>
                </c:pt>
                <c:pt idx="4">
                  <c:v>3.5000000000000003E-2</c:v>
                </c:pt>
                <c:pt idx="5">
                  <c:v>0.04</c:v>
                </c:pt>
                <c:pt idx="6">
                  <c:v>4.4999999999999998E-2</c:v>
                </c:pt>
                <c:pt idx="7">
                  <c:v>0.05</c:v>
                </c:pt>
                <c:pt idx="8">
                  <c:v>5.5E-2</c:v>
                </c:pt>
                <c:pt idx="9">
                  <c:v>0.06</c:v>
                </c:pt>
                <c:pt idx="10">
                  <c:v>6.5000000000000002E-2</c:v>
                </c:pt>
                <c:pt idx="11">
                  <c:v>7.0000000000000007E-2</c:v>
                </c:pt>
                <c:pt idx="12">
                  <c:v>7.4999999999999997E-2</c:v>
                </c:pt>
              </c:numCache>
            </c:numRef>
          </c:xVal>
          <c:yVal>
            <c:numRef>
              <c:f>volatility!$D$212:$D$224</c:f>
              <c:numCache>
                <c:formatCode>0.0000</c:formatCode>
                <c:ptCount val="13"/>
                <c:pt idx="0">
                  <c:v>135.06480491828884</c:v>
                </c:pt>
                <c:pt idx="1">
                  <c:v>128.13667606095288</c:v>
                </c:pt>
                <c:pt idx="2">
                  <c:v>103.32427537128994</c:v>
                </c:pt>
                <c:pt idx="3">
                  <c:v>101.93864959982275</c:v>
                </c:pt>
                <c:pt idx="4">
                  <c:v>107.35228948894505</c:v>
                </c:pt>
                <c:pt idx="5">
                  <c:v>100.42416063160911</c:v>
                </c:pt>
                <c:pt idx="6">
                  <c:v>93.496031774273163</c:v>
                </c:pt>
                <c:pt idx="7">
                  <c:v>86.567902916937214</c:v>
                </c:pt>
                <c:pt idx="8">
                  <c:v>79.639774059601265</c:v>
                </c:pt>
                <c:pt idx="9">
                  <c:v>72.711645202265331</c:v>
                </c:pt>
                <c:pt idx="10">
                  <c:v>65.783516344929367</c:v>
                </c:pt>
                <c:pt idx="11">
                  <c:v>58.855387487593418</c:v>
                </c:pt>
                <c:pt idx="12">
                  <c:v>51.927258630257491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53-4EAA-A5A6-D39D99D65601}"/>
            </c:ext>
          </c:extLst>
        </c:ser>
        <c:ser>
          <c:idx val="2"/>
          <c:order val="2"/>
          <c:tx>
            <c:v>quadratic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volatility!$B$212:$B$224</c:f>
              <c:numCache>
                <c:formatCode>General</c:formatCode>
                <c:ptCount val="13"/>
                <c:pt idx="0">
                  <c:v>1.4999999999999999E-2</c:v>
                </c:pt>
                <c:pt idx="1">
                  <c:v>0.02</c:v>
                </c:pt>
                <c:pt idx="2">
                  <c:v>3.7906999999999996E-2</c:v>
                </c:pt>
                <c:pt idx="3">
                  <c:v>3.8906999999999997E-2</c:v>
                </c:pt>
                <c:pt idx="4">
                  <c:v>3.5000000000000003E-2</c:v>
                </c:pt>
                <c:pt idx="5">
                  <c:v>0.04</c:v>
                </c:pt>
                <c:pt idx="6">
                  <c:v>4.4999999999999998E-2</c:v>
                </c:pt>
                <c:pt idx="7">
                  <c:v>0.05</c:v>
                </c:pt>
                <c:pt idx="8">
                  <c:v>5.5E-2</c:v>
                </c:pt>
                <c:pt idx="9">
                  <c:v>0.06</c:v>
                </c:pt>
                <c:pt idx="10">
                  <c:v>6.5000000000000002E-2</c:v>
                </c:pt>
                <c:pt idx="11">
                  <c:v>7.0000000000000007E-2</c:v>
                </c:pt>
                <c:pt idx="12">
                  <c:v>7.4999999999999997E-2</c:v>
                </c:pt>
              </c:numCache>
            </c:numRef>
          </c:xVal>
          <c:yVal>
            <c:numRef>
              <c:f>volatility!$F$212:$F$224</c:f>
              <c:numCache>
                <c:formatCode>0.0000</c:formatCode>
                <c:ptCount val="13"/>
                <c:pt idx="0">
                  <c:v>146.13236755660034</c:v>
                </c:pt>
                <c:pt idx="1">
                  <c:v>135.82248344866923</c:v>
                </c:pt>
                <c:pt idx="2">
                  <c:v>103.94296010371396</c:v>
                </c:pt>
                <c:pt idx="3">
                  <c:v>102.39518224230366</c:v>
                </c:pt>
                <c:pt idx="4">
                  <c:v>108.58201867097966</c:v>
                </c:pt>
                <c:pt idx="5">
                  <c:v>100.73159292711777</c:v>
                </c:pt>
                <c:pt idx="6">
                  <c:v>93.496031774273163</c:v>
                </c:pt>
                <c:pt idx="7">
                  <c:v>86.875335212445862</c:v>
                </c:pt>
                <c:pt idx="8">
                  <c:v>80.869503241635883</c:v>
                </c:pt>
                <c:pt idx="9">
                  <c:v>75.478535861843213</c:v>
                </c:pt>
                <c:pt idx="10">
                  <c:v>70.702433073067823</c:v>
                </c:pt>
                <c:pt idx="11">
                  <c:v>66.541194875309756</c:v>
                </c:pt>
                <c:pt idx="12">
                  <c:v>62.994821268568998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53-4EAA-A5A6-D39D99D656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352031"/>
        <c:axId val="209375327"/>
      </c:scatterChart>
      <c:valAx>
        <c:axId val="209352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new yield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75327"/>
        <c:crosses val="autoZero"/>
        <c:crossBetween val="midCat"/>
      </c:valAx>
      <c:valAx>
        <c:axId val="20937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price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52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convexity with fixed coupon,</a:t>
            </a:r>
            <a:r>
              <a:rPr lang="en-US" altLang="ko-KR" baseline="0"/>
              <a:t> maturity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volatility!$B$246:$B$258</c:f>
              <c:numCache>
                <c:formatCode>General</c:formatCode>
                <c:ptCount val="13"/>
                <c:pt idx="0">
                  <c:v>1.4999999999999999E-2</c:v>
                </c:pt>
                <c:pt idx="1">
                  <c:v>0.02</c:v>
                </c:pt>
                <c:pt idx="2">
                  <c:v>2.5000000000000001E-2</c:v>
                </c:pt>
                <c:pt idx="3">
                  <c:v>0.03</c:v>
                </c:pt>
                <c:pt idx="4">
                  <c:v>3.5000000000000003E-2</c:v>
                </c:pt>
                <c:pt idx="5">
                  <c:v>0.04</c:v>
                </c:pt>
                <c:pt idx="6">
                  <c:v>4.4999999999999998E-2</c:v>
                </c:pt>
                <c:pt idx="7">
                  <c:v>0.05</c:v>
                </c:pt>
                <c:pt idx="8">
                  <c:v>5.5E-2</c:v>
                </c:pt>
                <c:pt idx="9">
                  <c:v>0.06</c:v>
                </c:pt>
                <c:pt idx="10">
                  <c:v>6.5000000000000002E-2</c:v>
                </c:pt>
                <c:pt idx="11">
                  <c:v>7.0000000000000007E-2</c:v>
                </c:pt>
                <c:pt idx="12">
                  <c:v>7.4999999999999997E-2</c:v>
                </c:pt>
              </c:numCache>
            </c:numRef>
          </c:xVal>
          <c:yVal>
            <c:numRef>
              <c:f>volatility!$C$246:$C$258</c:f>
              <c:numCache>
                <c:formatCode>General</c:formatCode>
                <c:ptCount val="13"/>
                <c:pt idx="0">
                  <c:v>1631.5889067095873</c:v>
                </c:pt>
                <c:pt idx="1">
                  <c:v>1475.7875100492283</c:v>
                </c:pt>
                <c:pt idx="2">
                  <c:v>1326.6313018264875</c:v>
                </c:pt>
                <c:pt idx="3">
                  <c:v>1185.8799466095745</c:v>
                </c:pt>
                <c:pt idx="4">
                  <c:v>1054.8917380063833</c:v>
                </c:pt>
                <c:pt idx="5">
                  <c:v>934.57238969398941</c:v>
                </c:pt>
                <c:pt idx="6">
                  <c:v>825.37280366272546</c:v>
                </c:pt>
                <c:pt idx="7">
                  <c:v>727.3283156070637</c:v>
                </c:pt>
                <c:pt idx="8">
                  <c:v>640.12663225331005</c:v>
                </c:pt>
                <c:pt idx="9">
                  <c:v>563.19018444607264</c:v>
                </c:pt>
                <c:pt idx="10">
                  <c:v>495.76023731324159</c:v>
                </c:pt>
                <c:pt idx="11">
                  <c:v>436.97350096127019</c:v>
                </c:pt>
                <c:pt idx="12">
                  <c:v>385.92584512243974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B42-4305-B1C0-9F2596B027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8021759"/>
        <c:axId val="1366486767"/>
      </c:scatterChart>
      <c:valAx>
        <c:axId val="1368021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yield per period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486767"/>
        <c:crosses val="autoZero"/>
        <c:crossBetween val="midCat"/>
      </c:valAx>
      <c:valAx>
        <c:axId val="1366486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021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convexity with</a:t>
            </a:r>
            <a:r>
              <a:rPr lang="en-US" altLang="ko-KR" baseline="0"/>
              <a:t> fixed yield, maturity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volatility!$E$246:$E$258</c:f>
              <c:numCache>
                <c:formatCode>General</c:formatCode>
                <c:ptCount val="13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  <c:pt idx="11">
                  <c:v>5.5E-2</c:v>
                </c:pt>
                <c:pt idx="12">
                  <c:v>0.06</c:v>
                </c:pt>
              </c:numCache>
            </c:numRef>
          </c:xVal>
          <c:yVal>
            <c:numRef>
              <c:f>volatility!$F$246:$F$258</c:f>
              <c:numCache>
                <c:formatCode>General</c:formatCode>
                <c:ptCount val="13"/>
                <c:pt idx="0">
                  <c:v>3351.5716215288121</c:v>
                </c:pt>
                <c:pt idx="1">
                  <c:v>1685.5053800947383</c:v>
                </c:pt>
                <c:pt idx="2">
                  <c:v>1257.7582701472691</c:v>
                </c:pt>
                <c:pt idx="3">
                  <c:v>1061.7989459067642</c:v>
                </c:pt>
                <c:pt idx="4">
                  <c:v>949.38920240119558</c:v>
                </c:pt>
                <c:pt idx="5">
                  <c:v>876.48488265821641</c:v>
                </c:pt>
                <c:pt idx="6">
                  <c:v>825.37280366272546</c:v>
                </c:pt>
                <c:pt idx="7">
                  <c:v>787.55238195474931</c:v>
                </c:pt>
                <c:pt idx="8">
                  <c:v>758.43546257846253</c:v>
                </c:pt>
                <c:pt idx="9">
                  <c:v>735.32769943990013</c:v>
                </c:pt>
                <c:pt idx="10">
                  <c:v>716.54284058140547</c:v>
                </c:pt>
                <c:pt idx="11">
                  <c:v>700.97158158600701</c:v>
                </c:pt>
                <c:pt idx="12">
                  <c:v>687.85425712781694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F69-4179-A624-27D104F6F0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7790223"/>
        <c:axId val="1520158511"/>
      </c:scatterChart>
      <c:valAx>
        <c:axId val="1367790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coupon rate per period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158511"/>
        <c:crosses val="autoZero"/>
        <c:crossBetween val="midCat"/>
      </c:valAx>
      <c:valAx>
        <c:axId val="152015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7790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convexity with fixed yield, duration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volatility!$B$279:$B$291</c:f>
              <c:numCache>
                <c:formatCode>General</c:formatCode>
                <c:ptCount val="13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  <c:pt idx="11">
                  <c:v>5.5E-2</c:v>
                </c:pt>
                <c:pt idx="12">
                  <c:v>0.06</c:v>
                </c:pt>
              </c:numCache>
            </c:numRef>
          </c:xVal>
          <c:yVal>
            <c:numRef>
              <c:f>volatility!$D$279:$D$291</c:f>
              <c:numCache>
                <c:formatCode>General</c:formatCode>
                <c:ptCount val="13"/>
                <c:pt idx="0">
                  <c:v>248.57574739801498</c:v>
                </c:pt>
                <c:pt idx="1">
                  <c:v>288.45538520215734</c:v>
                </c:pt>
                <c:pt idx="2">
                  <c:v>338.34133886508783</c:v>
                </c:pt>
                <c:pt idx="3">
                  <c:v>401.25967172499833</c:v>
                </c:pt>
                <c:pt idx="4">
                  <c:v>480.57302833116262</c:v>
                </c:pt>
                <c:pt idx="5">
                  <c:v>578.10364541786907</c:v>
                </c:pt>
                <c:pt idx="6">
                  <c:v>687.85425712781694</c:v>
                </c:pt>
                <c:pt idx="7">
                  <c:v>786.93795325776637</c:v>
                </c:pt>
                <c:pt idx="8">
                  <c:v>851.81630765022896</c:v>
                </c:pt>
                <c:pt idx="9">
                  <c:v>887.07793814817342</c:v>
                </c:pt>
                <c:pt idx="10">
                  <c:v>906.62027757852866</c:v>
                </c:pt>
                <c:pt idx="11">
                  <c:v>918.44524814801537</c:v>
                </c:pt>
                <c:pt idx="12">
                  <c:v>926.21422626214394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D1-49B5-9FBC-5A8E1E44AD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389103"/>
        <c:axId val="1366473871"/>
      </c:scatterChart>
      <c:valAx>
        <c:axId val="847389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coupon rate per period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473871"/>
        <c:crosses val="autoZero"/>
        <c:crossBetween val="midCat"/>
      </c:valAx>
      <c:valAx>
        <c:axId val="136647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389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key rate duration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barbell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volatility!$B$317:$B$328</c:f>
              <c:numCache>
                <c:formatCode>General</c:formatCode>
                <c:ptCount val="12"/>
                <c:pt idx="0">
                  <c:v>8.3299999999999999E-2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7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</c:numCache>
            </c:numRef>
          </c:xVal>
          <c:yVal>
            <c:numRef>
              <c:f>volatility!$C$317:$C$328</c:f>
              <c:numCache>
                <c:formatCode>General</c:formatCode>
                <c:ptCount val="12"/>
                <c:pt idx="0">
                  <c:v>0</c:v>
                </c:pt>
                <c:pt idx="1">
                  <c:v>1.6999999999999999E-3</c:v>
                </c:pt>
                <c:pt idx="2">
                  <c:v>9.1999999999999998E-3</c:v>
                </c:pt>
                <c:pt idx="3">
                  <c:v>6.6199999999999995E-2</c:v>
                </c:pt>
                <c:pt idx="4">
                  <c:v>1.248</c:v>
                </c:pt>
                <c:pt idx="5">
                  <c:v>5.1299999999999998E-2</c:v>
                </c:pt>
                <c:pt idx="6">
                  <c:v>4.48E-2</c:v>
                </c:pt>
                <c:pt idx="7">
                  <c:v>7.9000000000000001E-2</c:v>
                </c:pt>
                <c:pt idx="8">
                  <c:v>0.5131</c:v>
                </c:pt>
                <c:pt idx="9">
                  <c:v>1.321</c:v>
                </c:pt>
                <c:pt idx="10">
                  <c:v>0.252</c:v>
                </c:pt>
                <c:pt idx="11">
                  <c:v>0.67500000000000004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AA6-4B21-8673-3DD0D02F30AE}"/>
            </c:ext>
          </c:extLst>
        </c:ser>
        <c:ser>
          <c:idx val="1"/>
          <c:order val="1"/>
          <c:tx>
            <c:v>bullet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volatility!$B$317:$B$328</c:f>
              <c:numCache>
                <c:formatCode>General</c:formatCode>
                <c:ptCount val="12"/>
                <c:pt idx="0">
                  <c:v>8.3299999999999999E-2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7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</c:numCache>
            </c:numRef>
          </c:xVal>
          <c:yVal>
            <c:numRef>
              <c:f>volatility!$D$317:$D$328</c:f>
              <c:numCache>
                <c:formatCode>General</c:formatCode>
                <c:ptCount val="12"/>
                <c:pt idx="0">
                  <c:v>0</c:v>
                </c:pt>
                <c:pt idx="1">
                  <c:v>1.4E-3</c:v>
                </c:pt>
                <c:pt idx="2">
                  <c:v>8.6999999999999994E-3</c:v>
                </c:pt>
                <c:pt idx="3">
                  <c:v>2.9000000000000001E-2</c:v>
                </c:pt>
                <c:pt idx="4">
                  <c:v>7.4399999999999994E-2</c:v>
                </c:pt>
                <c:pt idx="5">
                  <c:v>0.1071</c:v>
                </c:pt>
                <c:pt idx="6">
                  <c:v>1.5132000000000001</c:v>
                </c:pt>
                <c:pt idx="7">
                  <c:v>2.4525000000000001</c:v>
                </c:pt>
                <c:pt idx="8">
                  <c:v>2.87E-2</c:v>
                </c:pt>
                <c:pt idx="9">
                  <c:v>6.0000000000000001E-3</c:v>
                </c:pt>
                <c:pt idx="10">
                  <c:v>1.2E-2</c:v>
                </c:pt>
                <c:pt idx="11">
                  <c:v>3.3000000000000002E-2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AA6-4B21-8673-3DD0D02F30AE}"/>
            </c:ext>
          </c:extLst>
        </c:ser>
        <c:ser>
          <c:idx val="2"/>
          <c:order val="2"/>
          <c:tx>
            <c:v>ladder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volatility!$B$317:$B$328</c:f>
              <c:numCache>
                <c:formatCode>General</c:formatCode>
                <c:ptCount val="12"/>
                <c:pt idx="0">
                  <c:v>8.3299999999999999E-2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7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</c:numCache>
            </c:numRef>
          </c:xVal>
          <c:yVal>
            <c:numRef>
              <c:f>volatility!$E$317:$E$328</c:f>
              <c:numCache>
                <c:formatCode>General</c:formatCode>
                <c:ptCount val="12"/>
                <c:pt idx="0">
                  <c:v>1.5E-3</c:v>
                </c:pt>
                <c:pt idx="1">
                  <c:v>4.4999999999999997E-3</c:v>
                </c:pt>
                <c:pt idx="2">
                  <c:v>0.1273</c:v>
                </c:pt>
                <c:pt idx="3">
                  <c:v>0.17680000000000001</c:v>
                </c:pt>
                <c:pt idx="4">
                  <c:v>0.28799999999999998</c:v>
                </c:pt>
                <c:pt idx="5">
                  <c:v>0.24299999999999999</c:v>
                </c:pt>
                <c:pt idx="6">
                  <c:v>0.152</c:v>
                </c:pt>
                <c:pt idx="7">
                  <c:v>0.22800000000000001</c:v>
                </c:pt>
                <c:pt idx="8">
                  <c:v>0.36259999999999998</c:v>
                </c:pt>
                <c:pt idx="9">
                  <c:v>0.97699999999999998</c:v>
                </c:pt>
                <c:pt idx="10">
                  <c:v>1.1040000000000001</c:v>
                </c:pt>
                <c:pt idx="11">
                  <c:v>0.59399999999999997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AA6-4B21-8673-3DD0D02F30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8386512"/>
        <c:axId val="1378373616"/>
      </c:scatterChart>
      <c:valAx>
        <c:axId val="1378386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time point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8373616"/>
        <c:crosses val="autoZero"/>
        <c:crossBetween val="midCat"/>
      </c:valAx>
      <c:valAx>
        <c:axId val="137837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8386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weights</a:t>
            </a:r>
            <a:r>
              <a:rPr lang="en-US" altLang="ko-KR" baseline="0"/>
              <a:t> for 3 treasury portfolios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barbell</c:v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numRef>
              <c:f>volatility!$C$335:$C$354</c:f>
              <c:numCache>
                <c:formatCode>General</c:formatCode>
                <c:ptCount val="20"/>
                <c:pt idx="0">
                  <c:v>0</c:v>
                </c:pt>
                <c:pt idx="1">
                  <c:v>2.3333333333333335</c:v>
                </c:pt>
                <c:pt idx="2">
                  <c:v>2.6666666666666665</c:v>
                </c:pt>
                <c:pt idx="3">
                  <c:v>3.25</c:v>
                </c:pt>
                <c:pt idx="4">
                  <c:v>3.5</c:v>
                </c:pt>
                <c:pt idx="5">
                  <c:v>4.5</c:v>
                </c:pt>
                <c:pt idx="6">
                  <c:v>4.75</c:v>
                </c:pt>
                <c:pt idx="7">
                  <c:v>5.25</c:v>
                </c:pt>
                <c:pt idx="8">
                  <c:v>6.25</c:v>
                </c:pt>
                <c:pt idx="9">
                  <c:v>6.75</c:v>
                </c:pt>
                <c:pt idx="10">
                  <c:v>6.75</c:v>
                </c:pt>
                <c:pt idx="11">
                  <c:v>7.25</c:v>
                </c:pt>
                <c:pt idx="12">
                  <c:v>7.75</c:v>
                </c:pt>
                <c:pt idx="13">
                  <c:v>17.75</c:v>
                </c:pt>
                <c:pt idx="14">
                  <c:v>18.25</c:v>
                </c:pt>
                <c:pt idx="15">
                  <c:v>22.75</c:v>
                </c:pt>
                <c:pt idx="16">
                  <c:v>27.75</c:v>
                </c:pt>
                <c:pt idx="17">
                  <c:v>27.75</c:v>
                </c:pt>
                <c:pt idx="18">
                  <c:v>27.75</c:v>
                </c:pt>
                <c:pt idx="19">
                  <c:v>27.791666666666668</c:v>
                </c:pt>
              </c:numCache>
            </c:numRef>
          </c:cat>
          <c:val>
            <c:numRef>
              <c:f>volatility!$D$335:$D$354</c:f>
              <c:numCache>
                <c:formatCode>General</c:formatCode>
                <c:ptCount val="20"/>
                <c:pt idx="0">
                  <c:v>3.7100000000000001E-2</c:v>
                </c:pt>
                <c:pt idx="9">
                  <c:v>0.14949999999999999</c:v>
                </c:pt>
                <c:pt idx="11">
                  <c:v>9.1200000000000003E-2</c:v>
                </c:pt>
                <c:pt idx="16">
                  <c:v>6.9000000000000006E-2</c:v>
                </c:pt>
                <c:pt idx="19">
                  <c:v>0.65310000000000001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84-4257-8E57-6DF4D384A2AB}"/>
            </c:ext>
          </c:extLst>
        </c:ser>
        <c:ser>
          <c:idx val="1"/>
          <c:order val="1"/>
          <c:tx>
            <c:v>bullet</c:v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numRef>
              <c:f>volatility!$C$335:$C$354</c:f>
              <c:numCache>
                <c:formatCode>General</c:formatCode>
                <c:ptCount val="20"/>
                <c:pt idx="0">
                  <c:v>0</c:v>
                </c:pt>
                <c:pt idx="1">
                  <c:v>2.3333333333333335</c:v>
                </c:pt>
                <c:pt idx="2">
                  <c:v>2.6666666666666665</c:v>
                </c:pt>
                <c:pt idx="3">
                  <c:v>3.25</c:v>
                </c:pt>
                <c:pt idx="4">
                  <c:v>3.5</c:v>
                </c:pt>
                <c:pt idx="5">
                  <c:v>4.5</c:v>
                </c:pt>
                <c:pt idx="6">
                  <c:v>4.75</c:v>
                </c:pt>
                <c:pt idx="7">
                  <c:v>5.25</c:v>
                </c:pt>
                <c:pt idx="8">
                  <c:v>6.25</c:v>
                </c:pt>
                <c:pt idx="9">
                  <c:v>6.75</c:v>
                </c:pt>
                <c:pt idx="10">
                  <c:v>6.75</c:v>
                </c:pt>
                <c:pt idx="11">
                  <c:v>7.25</c:v>
                </c:pt>
                <c:pt idx="12">
                  <c:v>7.75</c:v>
                </c:pt>
                <c:pt idx="13">
                  <c:v>17.75</c:v>
                </c:pt>
                <c:pt idx="14">
                  <c:v>18.25</c:v>
                </c:pt>
                <c:pt idx="15">
                  <c:v>22.75</c:v>
                </c:pt>
                <c:pt idx="16">
                  <c:v>27.75</c:v>
                </c:pt>
                <c:pt idx="17">
                  <c:v>27.75</c:v>
                </c:pt>
                <c:pt idx="18">
                  <c:v>27.75</c:v>
                </c:pt>
                <c:pt idx="19">
                  <c:v>27.791666666666668</c:v>
                </c:pt>
              </c:numCache>
            </c:numRef>
          </c:cat>
          <c:val>
            <c:numRef>
              <c:f>volatility!$E$335:$E$354</c:f>
              <c:numCache>
                <c:formatCode>General</c:formatCode>
                <c:ptCount val="20"/>
                <c:pt idx="1">
                  <c:v>0.69730000000000003</c:v>
                </c:pt>
                <c:pt idx="2">
                  <c:v>0.29409999999999997</c:v>
                </c:pt>
                <c:pt idx="6">
                  <c:v>5.0000000000000001E-3</c:v>
                </c:pt>
                <c:pt idx="17">
                  <c:v>3.5000000000000001E-3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84-4257-8E57-6DF4D384A2AB}"/>
            </c:ext>
          </c:extLst>
        </c:ser>
        <c:ser>
          <c:idx val="2"/>
          <c:order val="2"/>
          <c:tx>
            <c:v>ladder</c:v>
          </c:tx>
          <c:spPr>
            <a:solidFill>
              <a:schemeClr val="accent3"/>
            </a:solidFill>
            <a:ln w="25400">
              <a:noFill/>
            </a:ln>
            <a:effectLst/>
          </c:spPr>
          <c:invertIfNegative val="0"/>
          <c:cat>
            <c:numRef>
              <c:f>volatility!$C$335:$C$354</c:f>
              <c:numCache>
                <c:formatCode>General</c:formatCode>
                <c:ptCount val="20"/>
                <c:pt idx="0">
                  <c:v>0</c:v>
                </c:pt>
                <c:pt idx="1">
                  <c:v>2.3333333333333335</c:v>
                </c:pt>
                <c:pt idx="2">
                  <c:v>2.6666666666666665</c:v>
                </c:pt>
                <c:pt idx="3">
                  <c:v>3.25</c:v>
                </c:pt>
                <c:pt idx="4">
                  <c:v>3.5</c:v>
                </c:pt>
                <c:pt idx="5">
                  <c:v>4.5</c:v>
                </c:pt>
                <c:pt idx="6">
                  <c:v>4.75</c:v>
                </c:pt>
                <c:pt idx="7">
                  <c:v>5.25</c:v>
                </c:pt>
                <c:pt idx="8">
                  <c:v>6.25</c:v>
                </c:pt>
                <c:pt idx="9">
                  <c:v>6.75</c:v>
                </c:pt>
                <c:pt idx="10">
                  <c:v>6.75</c:v>
                </c:pt>
                <c:pt idx="11">
                  <c:v>7.25</c:v>
                </c:pt>
                <c:pt idx="12">
                  <c:v>7.75</c:v>
                </c:pt>
                <c:pt idx="13">
                  <c:v>17.75</c:v>
                </c:pt>
                <c:pt idx="14">
                  <c:v>18.25</c:v>
                </c:pt>
                <c:pt idx="15">
                  <c:v>22.75</c:v>
                </c:pt>
                <c:pt idx="16">
                  <c:v>27.75</c:v>
                </c:pt>
                <c:pt idx="17">
                  <c:v>27.75</c:v>
                </c:pt>
                <c:pt idx="18">
                  <c:v>27.75</c:v>
                </c:pt>
                <c:pt idx="19">
                  <c:v>27.791666666666668</c:v>
                </c:pt>
              </c:numCache>
            </c:numRef>
          </c:cat>
          <c:val>
            <c:numRef>
              <c:f>volatility!$F$335:$F$354</c:f>
              <c:numCache>
                <c:formatCode>General</c:formatCode>
                <c:ptCount val="20"/>
                <c:pt idx="3">
                  <c:v>4.5499999999999999E-2</c:v>
                </c:pt>
                <c:pt idx="4">
                  <c:v>0.36470000000000002</c:v>
                </c:pt>
                <c:pt idx="5">
                  <c:v>0.13919999999999999</c:v>
                </c:pt>
                <c:pt idx="7">
                  <c:v>7.8100000000000003E-2</c:v>
                </c:pt>
                <c:pt idx="8">
                  <c:v>8.5699999999999998E-2</c:v>
                </c:pt>
                <c:pt idx="10">
                  <c:v>7.7399999999999997E-2</c:v>
                </c:pt>
                <c:pt idx="12">
                  <c:v>4.8500000000000001E-2</c:v>
                </c:pt>
                <c:pt idx="13">
                  <c:v>6.0600000000000001E-2</c:v>
                </c:pt>
                <c:pt idx="14">
                  <c:v>2.58E-2</c:v>
                </c:pt>
                <c:pt idx="15">
                  <c:v>2.8899999999999999E-2</c:v>
                </c:pt>
                <c:pt idx="18">
                  <c:v>4.5699999999999998E-2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84-4257-8E57-6DF4D384A2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88482560"/>
        <c:axId val="1388477568"/>
      </c:barChart>
      <c:catAx>
        <c:axId val="138848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8477568"/>
        <c:crosses val="autoZero"/>
        <c:auto val="1"/>
        <c:lblAlgn val="ctr"/>
        <c:lblOffset val="100"/>
        <c:noMultiLvlLbl val="0"/>
      </c:catAx>
      <c:valAx>
        <c:axId val="138847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8482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par yield curve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2023-02-01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'term structure'!$C$25:$C$37</c:f>
              <c:numCache>
                <c:formatCode>General</c:formatCode>
                <c:ptCount val="13"/>
                <c:pt idx="0">
                  <c:v>8.3333333333333329E-2</c:v>
                </c:pt>
                <c:pt idx="1">
                  <c:v>0.16666666666666666</c:v>
                </c:pt>
                <c:pt idx="2">
                  <c:v>0.25</c:v>
                </c:pt>
                <c:pt idx="3">
                  <c:v>0.33333333333333331</c:v>
                </c:pt>
                <c:pt idx="4">
                  <c:v>0.5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20</c:v>
                </c:pt>
                <c:pt idx="12">
                  <c:v>30</c:v>
                </c:pt>
              </c:numCache>
            </c:numRef>
          </c:xVal>
          <c:yVal>
            <c:numRef>
              <c:f>'term structure'!$D$25:$D$37</c:f>
              <c:numCache>
                <c:formatCode>General</c:formatCode>
                <c:ptCount val="13"/>
                <c:pt idx="0">
                  <c:v>4.59</c:v>
                </c:pt>
                <c:pt idx="1">
                  <c:v>4.63</c:v>
                </c:pt>
                <c:pt idx="2">
                  <c:v>4.66</c:v>
                </c:pt>
                <c:pt idx="3">
                  <c:v>4.7699999999999996</c:v>
                </c:pt>
                <c:pt idx="4">
                  <c:v>4.79</c:v>
                </c:pt>
                <c:pt idx="5">
                  <c:v>4.66</c:v>
                </c:pt>
                <c:pt idx="6">
                  <c:v>4.09</c:v>
                </c:pt>
                <c:pt idx="7">
                  <c:v>3.75</c:v>
                </c:pt>
                <c:pt idx="8">
                  <c:v>3.48</c:v>
                </c:pt>
                <c:pt idx="9">
                  <c:v>3.43</c:v>
                </c:pt>
                <c:pt idx="10">
                  <c:v>3.39</c:v>
                </c:pt>
                <c:pt idx="11">
                  <c:v>3.67</c:v>
                </c:pt>
                <c:pt idx="12">
                  <c:v>3.55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ADC-4174-B0E5-074F9D8F4C6F}"/>
            </c:ext>
          </c:extLst>
        </c:ser>
        <c:ser>
          <c:idx val="1"/>
          <c:order val="1"/>
          <c:tx>
            <c:v>2022-01-05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'term structure'!$C$25:$C$37</c:f>
              <c:numCache>
                <c:formatCode>General</c:formatCode>
                <c:ptCount val="13"/>
                <c:pt idx="0">
                  <c:v>8.3333333333333329E-2</c:v>
                </c:pt>
                <c:pt idx="1">
                  <c:v>0.16666666666666666</c:v>
                </c:pt>
                <c:pt idx="2">
                  <c:v>0.25</c:v>
                </c:pt>
                <c:pt idx="3">
                  <c:v>0.33333333333333331</c:v>
                </c:pt>
                <c:pt idx="4">
                  <c:v>0.5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20</c:v>
                </c:pt>
                <c:pt idx="12">
                  <c:v>30</c:v>
                </c:pt>
              </c:numCache>
            </c:numRef>
          </c:xVal>
          <c:yVal>
            <c:numRef>
              <c:f>'term structure'!$E$25:$E$37</c:f>
              <c:numCache>
                <c:formatCode>General</c:formatCode>
                <c:ptCount val="13"/>
                <c:pt idx="0">
                  <c:v>0.05</c:v>
                </c:pt>
                <c:pt idx="1">
                  <c:v>0.06</c:v>
                </c:pt>
                <c:pt idx="2">
                  <c:v>0.09</c:v>
                </c:pt>
                <c:pt idx="4">
                  <c:v>0.22</c:v>
                </c:pt>
                <c:pt idx="5">
                  <c:v>0.41</c:v>
                </c:pt>
                <c:pt idx="6">
                  <c:v>0.83</c:v>
                </c:pt>
                <c:pt idx="7">
                  <c:v>1.1000000000000001</c:v>
                </c:pt>
                <c:pt idx="8">
                  <c:v>1.43</c:v>
                </c:pt>
                <c:pt idx="9">
                  <c:v>1.62</c:v>
                </c:pt>
                <c:pt idx="10">
                  <c:v>1.71</c:v>
                </c:pt>
                <c:pt idx="11">
                  <c:v>2.12</c:v>
                </c:pt>
                <c:pt idx="12">
                  <c:v>2.09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ADC-4174-B0E5-074F9D8F4C6F}"/>
            </c:ext>
          </c:extLst>
        </c:ser>
        <c:ser>
          <c:idx val="2"/>
          <c:order val="2"/>
          <c:tx>
            <c:v>2018-01-03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'term structure'!$C$25:$C$37</c:f>
              <c:numCache>
                <c:formatCode>General</c:formatCode>
                <c:ptCount val="13"/>
                <c:pt idx="0">
                  <c:v>8.3333333333333329E-2</c:v>
                </c:pt>
                <c:pt idx="1">
                  <c:v>0.16666666666666666</c:v>
                </c:pt>
                <c:pt idx="2">
                  <c:v>0.25</c:v>
                </c:pt>
                <c:pt idx="3">
                  <c:v>0.33333333333333331</c:v>
                </c:pt>
                <c:pt idx="4">
                  <c:v>0.5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20</c:v>
                </c:pt>
                <c:pt idx="12">
                  <c:v>30</c:v>
                </c:pt>
              </c:numCache>
            </c:numRef>
          </c:xVal>
          <c:yVal>
            <c:numRef>
              <c:f>'term structure'!$F$25:$F$37</c:f>
              <c:numCache>
                <c:formatCode>General</c:formatCode>
                <c:ptCount val="13"/>
                <c:pt idx="0">
                  <c:v>1.29</c:v>
                </c:pt>
                <c:pt idx="2">
                  <c:v>1.41</c:v>
                </c:pt>
                <c:pt idx="4">
                  <c:v>1.59</c:v>
                </c:pt>
                <c:pt idx="5">
                  <c:v>1.81</c:v>
                </c:pt>
                <c:pt idx="6">
                  <c:v>1.94</c:v>
                </c:pt>
                <c:pt idx="7">
                  <c:v>2.02</c:v>
                </c:pt>
                <c:pt idx="8">
                  <c:v>2.25</c:v>
                </c:pt>
                <c:pt idx="9">
                  <c:v>2.37</c:v>
                </c:pt>
                <c:pt idx="10">
                  <c:v>2.44</c:v>
                </c:pt>
                <c:pt idx="11">
                  <c:v>2.62</c:v>
                </c:pt>
                <c:pt idx="12">
                  <c:v>2.78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ADC-4174-B0E5-074F9D8F4C6F}"/>
            </c:ext>
          </c:extLst>
        </c:ser>
        <c:ser>
          <c:idx val="3"/>
          <c:order val="3"/>
          <c:tx>
            <c:v>2006-09-01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'term structure'!$C$25:$C$37</c:f>
              <c:numCache>
                <c:formatCode>General</c:formatCode>
                <c:ptCount val="13"/>
                <c:pt idx="0">
                  <c:v>8.3333333333333329E-2</c:v>
                </c:pt>
                <c:pt idx="1">
                  <c:v>0.16666666666666666</c:v>
                </c:pt>
                <c:pt idx="2">
                  <c:v>0.25</c:v>
                </c:pt>
                <c:pt idx="3">
                  <c:v>0.33333333333333331</c:v>
                </c:pt>
                <c:pt idx="4">
                  <c:v>0.5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20</c:v>
                </c:pt>
                <c:pt idx="12">
                  <c:v>30</c:v>
                </c:pt>
              </c:numCache>
            </c:numRef>
          </c:xVal>
          <c:yVal>
            <c:numRef>
              <c:f>'term structure'!$G$25:$G$37</c:f>
              <c:numCache>
                <c:formatCode>General</c:formatCode>
                <c:ptCount val="13"/>
                <c:pt idx="0">
                  <c:v>5.07</c:v>
                </c:pt>
                <c:pt idx="2">
                  <c:v>5.0199999999999996</c:v>
                </c:pt>
                <c:pt idx="4">
                  <c:v>5.0999999999999996</c:v>
                </c:pt>
                <c:pt idx="5">
                  <c:v>4.99</c:v>
                </c:pt>
                <c:pt idx="6">
                  <c:v>4.7699999999999996</c:v>
                </c:pt>
                <c:pt idx="7">
                  <c:v>4.7</c:v>
                </c:pt>
                <c:pt idx="8">
                  <c:v>4.68</c:v>
                </c:pt>
                <c:pt idx="9">
                  <c:v>4.6900000000000004</c:v>
                </c:pt>
                <c:pt idx="10">
                  <c:v>4.7300000000000004</c:v>
                </c:pt>
                <c:pt idx="11">
                  <c:v>4.95</c:v>
                </c:pt>
                <c:pt idx="12">
                  <c:v>4.87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ADC-4174-B0E5-074F9D8F4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5365776"/>
        <c:axId val="1793721248"/>
      </c:scatterChart>
      <c:valAx>
        <c:axId val="1925365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721248"/>
        <c:crosses val="autoZero"/>
        <c:crossBetween val="midCat"/>
      </c:valAx>
      <c:valAx>
        <c:axId val="179372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365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yield curve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par yield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'term structure'!$C$47:$C$66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'term structure'!$D$47:$D$66</c:f>
              <c:numCache>
                <c:formatCode>General</c:formatCode>
                <c:ptCount val="20"/>
                <c:pt idx="0">
                  <c:v>5.2499999999999998E-2</c:v>
                </c:pt>
                <c:pt idx="1">
                  <c:v>5.5E-2</c:v>
                </c:pt>
                <c:pt idx="2">
                  <c:v>5.7500000000000002E-2</c:v>
                </c:pt>
                <c:pt idx="3">
                  <c:v>0.06</c:v>
                </c:pt>
                <c:pt idx="4">
                  <c:v>6.25E-2</c:v>
                </c:pt>
                <c:pt idx="5">
                  <c:v>6.5000000000000002E-2</c:v>
                </c:pt>
                <c:pt idx="6">
                  <c:v>6.7500000000000004E-2</c:v>
                </c:pt>
                <c:pt idx="7">
                  <c:v>6.8000000000000005E-2</c:v>
                </c:pt>
                <c:pt idx="8">
                  <c:v>7.0000000000000007E-2</c:v>
                </c:pt>
                <c:pt idx="9">
                  <c:v>7.0999999999999994E-2</c:v>
                </c:pt>
                <c:pt idx="10">
                  <c:v>7.1500000000000008E-2</c:v>
                </c:pt>
                <c:pt idx="11">
                  <c:v>7.2000000000000008E-2</c:v>
                </c:pt>
                <c:pt idx="12">
                  <c:v>7.2999999999999995E-2</c:v>
                </c:pt>
                <c:pt idx="13">
                  <c:v>7.3499999999999996E-2</c:v>
                </c:pt>
                <c:pt idx="14">
                  <c:v>7.400000000000001E-2</c:v>
                </c:pt>
                <c:pt idx="15">
                  <c:v>7.4999999999999997E-2</c:v>
                </c:pt>
                <c:pt idx="16">
                  <c:v>7.5999999999999998E-2</c:v>
                </c:pt>
                <c:pt idx="17">
                  <c:v>7.5999999999999998E-2</c:v>
                </c:pt>
                <c:pt idx="18">
                  <c:v>7.6999999999999999E-2</c:v>
                </c:pt>
                <c:pt idx="19">
                  <c:v>7.8E-2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7B-4D81-9EC8-80B314AA690D}"/>
            </c:ext>
          </c:extLst>
        </c:ser>
        <c:ser>
          <c:idx val="1"/>
          <c:order val="1"/>
          <c:tx>
            <c:v>spot rate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'term structure'!$C$47:$C$66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'term structure'!$F$47:$F$66</c:f>
              <c:numCache>
                <c:formatCode>0.0000</c:formatCode>
                <c:ptCount val="20"/>
                <c:pt idx="0">
                  <c:v>5.2499999999999998E-2</c:v>
                </c:pt>
                <c:pt idx="1">
                  <c:v>5.5E-2</c:v>
                </c:pt>
                <c:pt idx="2">
                  <c:v>5.7597427721776118E-2</c:v>
                </c:pt>
                <c:pt idx="3">
                  <c:v>6.0191654633161562E-2</c:v>
                </c:pt>
                <c:pt idx="4">
                  <c:v>6.2822395619879234E-2</c:v>
                </c:pt>
                <c:pt idx="5">
                  <c:v>6.5494468664716532E-2</c:v>
                </c:pt>
                <c:pt idx="6">
                  <c:v>6.8213193794184335E-2</c:v>
                </c:pt>
                <c:pt idx="7">
                  <c:v>6.8693830749960494E-2</c:v>
                </c:pt>
                <c:pt idx="8">
                  <c:v>7.0946692697691827E-2</c:v>
                </c:pt>
                <c:pt idx="9">
                  <c:v>7.2045451642976488E-2</c:v>
                </c:pt>
                <c:pt idx="10">
                  <c:v>7.2560011894222232E-2</c:v>
                </c:pt>
                <c:pt idx="11">
                  <c:v>7.3094063591545577E-2</c:v>
                </c:pt>
                <c:pt idx="12">
                  <c:v>7.4284113257554019E-2</c:v>
                </c:pt>
                <c:pt idx="13">
                  <c:v>7.4845000366334347E-2</c:v>
                </c:pt>
                <c:pt idx="14">
                  <c:v>7.5423040046126655E-2</c:v>
                </c:pt>
                <c:pt idx="15">
                  <c:v>7.6704923360141564E-2</c:v>
                </c:pt>
                <c:pt idx="16">
                  <c:v>7.8016817506624925E-2</c:v>
                </c:pt>
                <c:pt idx="17">
                  <c:v>7.7904720705180619E-2</c:v>
                </c:pt>
                <c:pt idx="18">
                  <c:v>7.9290638275567815E-2</c:v>
                </c:pt>
                <c:pt idx="19">
                  <c:v>8.0713230798289626E-2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E7B-4D81-9EC8-80B314AA69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1656064"/>
        <c:axId val="1926629040"/>
      </c:scatterChart>
      <c:valAx>
        <c:axId val="1791656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6629040"/>
        <c:crosses val="autoZero"/>
        <c:crossBetween val="midCat"/>
      </c:valAx>
      <c:valAx>
        <c:axId val="1926629040"/>
        <c:scaling>
          <c:orientation val="minMax"/>
          <c:min val="5.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656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spot vs forward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spot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'term structure'!$C$107:$C$125</c:f>
              <c:numCache>
                <c:formatCode>General</c:formatCode>
                <c:ptCount val="19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</c:numCache>
            </c:numRef>
          </c:xVal>
          <c:yVal>
            <c:numRef>
              <c:f>'term structure'!$D$107:$D$125</c:f>
              <c:numCache>
                <c:formatCode>0.0000</c:formatCode>
                <c:ptCount val="19"/>
                <c:pt idx="0">
                  <c:v>5.2499999999999998E-2</c:v>
                </c:pt>
                <c:pt idx="1">
                  <c:v>5.5E-2</c:v>
                </c:pt>
                <c:pt idx="2">
                  <c:v>5.7597427721776118E-2</c:v>
                </c:pt>
                <c:pt idx="3">
                  <c:v>6.0191654633161562E-2</c:v>
                </c:pt>
                <c:pt idx="4">
                  <c:v>6.2822395619879234E-2</c:v>
                </c:pt>
                <c:pt idx="5">
                  <c:v>6.5494468664716532E-2</c:v>
                </c:pt>
                <c:pt idx="6">
                  <c:v>6.8213193794184335E-2</c:v>
                </c:pt>
                <c:pt idx="7">
                  <c:v>6.8693830749960494E-2</c:v>
                </c:pt>
                <c:pt idx="8">
                  <c:v>7.0946692697691827E-2</c:v>
                </c:pt>
                <c:pt idx="9">
                  <c:v>7.2045451642976488E-2</c:v>
                </c:pt>
                <c:pt idx="10">
                  <c:v>7.2560011894222232E-2</c:v>
                </c:pt>
                <c:pt idx="11">
                  <c:v>7.3094063591545577E-2</c:v>
                </c:pt>
                <c:pt idx="12">
                  <c:v>7.4284113257554019E-2</c:v>
                </c:pt>
                <c:pt idx="13">
                  <c:v>7.4845000366334347E-2</c:v>
                </c:pt>
                <c:pt idx="14">
                  <c:v>7.5423040046126655E-2</c:v>
                </c:pt>
                <c:pt idx="15">
                  <c:v>7.6704923360141564E-2</c:v>
                </c:pt>
                <c:pt idx="16">
                  <c:v>7.8016817506624925E-2</c:v>
                </c:pt>
                <c:pt idx="17">
                  <c:v>7.7904720705180619E-2</c:v>
                </c:pt>
                <c:pt idx="18">
                  <c:v>7.9290638275567815E-2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53D-4D5F-B185-3A781B1D8838}"/>
            </c:ext>
          </c:extLst>
        </c:ser>
        <c:ser>
          <c:idx val="1"/>
          <c:order val="1"/>
          <c:tx>
            <c:v>forward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'term structure'!$C$107:$C$125</c:f>
              <c:numCache>
                <c:formatCode>General</c:formatCode>
                <c:ptCount val="19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</c:numCache>
            </c:numRef>
          </c:xVal>
          <c:yVal>
            <c:numRef>
              <c:f>'term structure'!$E$107:$E$125</c:f>
              <c:numCache>
                <c:formatCode>0.0000</c:formatCode>
                <c:ptCount val="19"/>
                <c:pt idx="0">
                  <c:v>5.7503045066991554E-2</c:v>
                </c:pt>
                <c:pt idx="1">
                  <c:v>6.2802136410947451E-2</c:v>
                </c:pt>
                <c:pt idx="2">
                  <c:v>6.7993976736746564E-2</c:v>
                </c:pt>
                <c:pt idx="3">
                  <c:v>7.3378995472472397E-2</c:v>
                </c:pt>
                <c:pt idx="4">
                  <c:v>7.8906842617537887E-2</c:v>
                </c:pt>
                <c:pt idx="5">
                  <c:v>8.4600859107881732E-2</c:v>
                </c:pt>
                <c:pt idx="6">
                  <c:v>7.2061418392479926E-2</c:v>
                </c:pt>
                <c:pt idx="7">
                  <c:v>8.9058136412781597E-2</c:v>
                </c:pt>
                <c:pt idx="8">
                  <c:v>8.1960552329244596E-2</c:v>
                </c:pt>
                <c:pt idx="9">
                  <c:v>7.7712647712024907E-2</c:v>
                </c:pt>
                <c:pt idx="10">
                  <c:v>7.8977722526234029E-2</c:v>
                </c:pt>
                <c:pt idx="11">
                  <c:v>8.861810666490344E-2</c:v>
                </c:pt>
                <c:pt idx="12">
                  <c:v>8.2150349148625068E-2</c:v>
                </c:pt>
                <c:pt idx="13">
                  <c:v>8.3532525033290117E-2</c:v>
                </c:pt>
                <c:pt idx="14">
                  <c:v>9.6028457975126269E-2</c:v>
                </c:pt>
                <c:pt idx="15">
                  <c:v>9.9120190450034951E-2</c:v>
                </c:pt>
                <c:pt idx="16">
                  <c:v>7.5999999999998291E-2</c:v>
                </c:pt>
                <c:pt idx="17">
                  <c:v>0.10439582204824616</c:v>
                </c:pt>
                <c:pt idx="18">
                  <c:v>0.10792817669798849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53D-4D5F-B185-3A781B1D88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4753551"/>
        <c:axId val="1914754383"/>
      </c:scatterChart>
      <c:valAx>
        <c:axId val="1914753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4754383"/>
        <c:crosses val="autoZero"/>
        <c:crossBetween val="midCat"/>
      </c:valAx>
      <c:valAx>
        <c:axId val="191475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47535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shape</a:t>
            </a:r>
            <a:r>
              <a:rPr lang="en-US" altLang="ko-KR" baseline="0"/>
              <a:t> of term structure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'term structure'!$C$134:$L$134</c:f>
              <c:numCache>
                <c:formatCode>General</c:formatCode>
                <c:ptCount val="10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7</c:v>
                </c:pt>
                <c:pt idx="7">
                  <c:v>10</c:v>
                </c:pt>
                <c:pt idx="8">
                  <c:v>20</c:v>
                </c:pt>
                <c:pt idx="9">
                  <c:v>30</c:v>
                </c:pt>
              </c:numCache>
            </c:numRef>
          </c:xVal>
          <c:yVal>
            <c:numRef>
              <c:f>'term structure'!$C$135:$L$135</c:f>
              <c:numCache>
                <c:formatCode>General</c:formatCode>
                <c:ptCount val="10"/>
                <c:pt idx="0">
                  <c:v>3.75</c:v>
                </c:pt>
                <c:pt idx="1">
                  <c:v>3.78</c:v>
                </c:pt>
                <c:pt idx="2">
                  <c:v>3.75</c:v>
                </c:pt>
                <c:pt idx="3">
                  <c:v>3.77</c:v>
                </c:pt>
                <c:pt idx="4">
                  <c:v>4.1500000000000004</c:v>
                </c:pt>
                <c:pt idx="5">
                  <c:v>4.38</c:v>
                </c:pt>
                <c:pt idx="6">
                  <c:v>4.78</c:v>
                </c:pt>
                <c:pt idx="7">
                  <c:v>5.0599999999999996</c:v>
                </c:pt>
                <c:pt idx="8">
                  <c:v>5.84</c:v>
                </c:pt>
                <c:pt idx="9">
                  <c:v>5.73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5-42CD-956A-75F805B2A11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'term structure'!$C$134:$L$134</c:f>
              <c:numCache>
                <c:formatCode>General</c:formatCode>
                <c:ptCount val="10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7</c:v>
                </c:pt>
                <c:pt idx="7">
                  <c:v>10</c:v>
                </c:pt>
                <c:pt idx="8">
                  <c:v>20</c:v>
                </c:pt>
                <c:pt idx="9">
                  <c:v>30</c:v>
                </c:pt>
              </c:numCache>
            </c:numRef>
          </c:xVal>
          <c:yVal>
            <c:numRef>
              <c:f>'term structure'!$C$136:$L$136</c:f>
              <c:numCache>
                <c:formatCode>General</c:formatCode>
                <c:ptCount val="10"/>
                <c:pt idx="0">
                  <c:v>3.74</c:v>
                </c:pt>
                <c:pt idx="1">
                  <c:v>3.88</c:v>
                </c:pt>
                <c:pt idx="2">
                  <c:v>4.12</c:v>
                </c:pt>
                <c:pt idx="3">
                  <c:v>5.16</c:v>
                </c:pt>
                <c:pt idx="4">
                  <c:v>5.72</c:v>
                </c:pt>
                <c:pt idx="5">
                  <c:v>6.62</c:v>
                </c:pt>
                <c:pt idx="6">
                  <c:v>7.03</c:v>
                </c:pt>
                <c:pt idx="7">
                  <c:v>7.37</c:v>
                </c:pt>
                <c:pt idx="8">
                  <c:v>7.629999999999999</c:v>
                </c:pt>
                <c:pt idx="9">
                  <c:v>7.89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5-42CD-956A-75F805B2A112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'term structure'!$C$134:$L$134</c:f>
              <c:numCache>
                <c:formatCode>General</c:formatCode>
                <c:ptCount val="10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7</c:v>
                </c:pt>
                <c:pt idx="7">
                  <c:v>10</c:v>
                </c:pt>
                <c:pt idx="8">
                  <c:v>20</c:v>
                </c:pt>
                <c:pt idx="9">
                  <c:v>30</c:v>
                </c:pt>
              </c:numCache>
            </c:numRef>
          </c:xVal>
          <c:yVal>
            <c:numRef>
              <c:f>'term structure'!$C$137:$L$137</c:f>
              <c:numCache>
                <c:formatCode>General</c:formatCode>
                <c:ptCount val="10"/>
                <c:pt idx="2">
                  <c:v>16.71</c:v>
                </c:pt>
                <c:pt idx="3">
                  <c:v>16.91</c:v>
                </c:pt>
                <c:pt idx="4">
                  <c:v>15.88</c:v>
                </c:pt>
                <c:pt idx="5">
                  <c:v>15.34</c:v>
                </c:pt>
                <c:pt idx="6">
                  <c:v>15.04</c:v>
                </c:pt>
                <c:pt idx="7" formatCode="0.00">
                  <c:v>14.970769230769228</c:v>
                </c:pt>
                <c:pt idx="8">
                  <c:v>14.74</c:v>
                </c:pt>
                <c:pt idx="9">
                  <c:v>13.95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7D5-42CD-956A-75F805B2A112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'term structure'!$C$134:$L$134</c:f>
              <c:numCache>
                <c:formatCode>General</c:formatCode>
                <c:ptCount val="10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7</c:v>
                </c:pt>
                <c:pt idx="7">
                  <c:v>10</c:v>
                </c:pt>
                <c:pt idx="8">
                  <c:v>20</c:v>
                </c:pt>
                <c:pt idx="9">
                  <c:v>30</c:v>
                </c:pt>
              </c:numCache>
            </c:numRef>
          </c:xVal>
          <c:yVal>
            <c:numRef>
              <c:f>'term structure'!$C$138:$L$138</c:f>
              <c:numCache>
                <c:formatCode>General</c:formatCode>
                <c:ptCount val="10"/>
                <c:pt idx="0">
                  <c:v>7.89</c:v>
                </c:pt>
                <c:pt idx="1">
                  <c:v>7.94</c:v>
                </c:pt>
                <c:pt idx="2">
                  <c:v>7.85</c:v>
                </c:pt>
                <c:pt idx="3">
                  <c:v>7.94</c:v>
                </c:pt>
                <c:pt idx="4">
                  <c:v>7.96</c:v>
                </c:pt>
                <c:pt idx="5">
                  <c:v>7.92</c:v>
                </c:pt>
                <c:pt idx="6">
                  <c:v>8.0399999999999991</c:v>
                </c:pt>
                <c:pt idx="7">
                  <c:v>7.99</c:v>
                </c:pt>
                <c:pt idx="8" formatCode="0.00">
                  <c:v>8.0150000000000006</c:v>
                </c:pt>
                <c:pt idx="9">
                  <c:v>8.0399999999999991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7D5-42CD-956A-75F805B2A112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'term structure'!$C$134:$L$134</c:f>
              <c:numCache>
                <c:formatCode>General</c:formatCode>
                <c:ptCount val="10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7</c:v>
                </c:pt>
                <c:pt idx="7">
                  <c:v>10</c:v>
                </c:pt>
                <c:pt idx="8">
                  <c:v>20</c:v>
                </c:pt>
                <c:pt idx="9">
                  <c:v>30</c:v>
                </c:pt>
              </c:numCache>
            </c:numRef>
          </c:xVal>
          <c:yVal>
            <c:numRef>
              <c:f>'term structure'!$C$139:$L$139</c:f>
              <c:numCache>
                <c:formatCode>General</c:formatCode>
                <c:ptCount val="10"/>
                <c:pt idx="0">
                  <c:v>5.37</c:v>
                </c:pt>
                <c:pt idx="1">
                  <c:v>5.2</c:v>
                </c:pt>
                <c:pt idx="2">
                  <c:v>4.82</c:v>
                </c:pt>
                <c:pt idx="3">
                  <c:v>4.7699999999999996</c:v>
                </c:pt>
                <c:pt idx="4">
                  <c:v>4.78</c:v>
                </c:pt>
                <c:pt idx="5">
                  <c:v>4.82</c:v>
                </c:pt>
                <c:pt idx="6">
                  <c:v>5.07</c:v>
                </c:pt>
                <c:pt idx="7">
                  <c:v>5.03</c:v>
                </c:pt>
                <c:pt idx="8">
                  <c:v>5.56</c:v>
                </c:pt>
                <c:pt idx="9">
                  <c:v>5.44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7D5-42CD-956A-75F805B2A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859759"/>
        <c:axId val="557860591"/>
      </c:scatterChart>
      <c:valAx>
        <c:axId val="557859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860591"/>
        <c:crosses val="autoZero"/>
        <c:crossBetween val="midCat"/>
      </c:valAx>
      <c:valAx>
        <c:axId val="557860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8597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13" Type="http://schemas.openxmlformats.org/officeDocument/2006/relationships/chart" Target="../charts/chart21.xml"/><Relationship Id="rId18" Type="http://schemas.openxmlformats.org/officeDocument/2006/relationships/image" Target="../media/image4.png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12" Type="http://schemas.openxmlformats.org/officeDocument/2006/relationships/chart" Target="../charts/chart20.xml"/><Relationship Id="rId17" Type="http://schemas.openxmlformats.org/officeDocument/2006/relationships/image" Target="../media/image3.png"/><Relationship Id="rId2" Type="http://schemas.openxmlformats.org/officeDocument/2006/relationships/chart" Target="../charts/chart10.xml"/><Relationship Id="rId16" Type="http://schemas.openxmlformats.org/officeDocument/2006/relationships/image" Target="../media/image2.png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11" Type="http://schemas.openxmlformats.org/officeDocument/2006/relationships/chart" Target="../charts/chart19.xml"/><Relationship Id="rId5" Type="http://schemas.openxmlformats.org/officeDocument/2006/relationships/chart" Target="../charts/chart13.xml"/><Relationship Id="rId15" Type="http://schemas.openxmlformats.org/officeDocument/2006/relationships/image" Target="../media/image1.png"/><Relationship Id="rId10" Type="http://schemas.openxmlformats.org/officeDocument/2006/relationships/chart" Target="../charts/chart18.xml"/><Relationship Id="rId4" Type="http://schemas.openxmlformats.org/officeDocument/2006/relationships/chart" Target="../charts/chart12.xml"/><Relationship Id="rId9" Type="http://schemas.openxmlformats.org/officeDocument/2006/relationships/chart" Target="../charts/chart17.xml"/><Relationship Id="rId14" Type="http://schemas.openxmlformats.org/officeDocument/2006/relationships/chart" Target="../charts/chart22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5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5" Type="http://schemas.openxmlformats.org/officeDocument/2006/relationships/image" Target="../media/image5.png"/><Relationship Id="rId4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142876</xdr:colOff>
      <xdr:row>38</xdr:row>
      <xdr:rowOff>85724</xdr:rowOff>
    </xdr:from>
    <xdr:to>
      <xdr:col>13</xdr:col>
      <xdr:colOff>523875</xdr:colOff>
      <xdr:row>60</xdr:row>
      <xdr:rowOff>104775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257175</xdr:colOff>
      <xdr:row>33</xdr:row>
      <xdr:rowOff>190500</xdr:rowOff>
    </xdr:from>
    <xdr:to>
      <xdr:col>24</xdr:col>
      <xdr:colOff>238125</xdr:colOff>
      <xdr:row>51</xdr:row>
      <xdr:rowOff>104775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561975</xdr:colOff>
      <xdr:row>4</xdr:row>
      <xdr:rowOff>290511</xdr:rowOff>
    </xdr:from>
    <xdr:to>
      <xdr:col>23</xdr:col>
      <xdr:colOff>600075</xdr:colOff>
      <xdr:row>23</xdr:row>
      <xdr:rowOff>114299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278130</xdr:colOff>
      <xdr:row>6</xdr:row>
      <xdr:rowOff>45720</xdr:rowOff>
    </xdr:from>
    <xdr:to>
      <xdr:col>17</xdr:col>
      <xdr:colOff>617220</xdr:colOff>
      <xdr:row>20</xdr:row>
      <xdr:rowOff>60960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314324</xdr:colOff>
      <xdr:row>54</xdr:row>
      <xdr:rowOff>28575</xdr:rowOff>
    </xdr:from>
    <xdr:to>
      <xdr:col>20</xdr:col>
      <xdr:colOff>571499</xdr:colOff>
      <xdr:row>68</xdr:row>
      <xdr:rowOff>147637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400050</xdr:colOff>
      <xdr:row>70</xdr:row>
      <xdr:rowOff>52386</xdr:rowOff>
    </xdr:from>
    <xdr:to>
      <xdr:col>20</xdr:col>
      <xdr:colOff>247650</xdr:colOff>
      <xdr:row>86</xdr:row>
      <xdr:rowOff>57149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478367</xdr:colOff>
      <xdr:row>227</xdr:row>
      <xdr:rowOff>21167</xdr:rowOff>
    </xdr:from>
    <xdr:to>
      <xdr:col>10</xdr:col>
      <xdr:colOff>1066800</xdr:colOff>
      <xdr:row>244</xdr:row>
      <xdr:rowOff>186266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211667</xdr:colOff>
      <xdr:row>229</xdr:row>
      <xdr:rowOff>160866</xdr:rowOff>
    </xdr:from>
    <xdr:to>
      <xdr:col>10</xdr:col>
      <xdr:colOff>872067</xdr:colOff>
      <xdr:row>232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10905067" y="52747333"/>
          <a:ext cx="660400" cy="4995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margin 48 bps</a:t>
          </a:r>
          <a:endParaRPr lang="ko-KR" altLang="en-US" sz="1100"/>
        </a:p>
      </xdr:txBody>
    </xdr:sp>
    <xdr:clientData/>
  </xdr:twoCellAnchor>
  <xdr:twoCellAnchor>
    <xdr:from>
      <xdr:col>10</xdr:col>
      <xdr:colOff>203200</xdr:colOff>
      <xdr:row>232</xdr:row>
      <xdr:rowOff>203199</xdr:rowOff>
    </xdr:from>
    <xdr:to>
      <xdr:col>10</xdr:col>
      <xdr:colOff>863600</xdr:colOff>
      <xdr:row>235</xdr:row>
      <xdr:rowOff>42333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10896600" y="53450066"/>
          <a:ext cx="660400" cy="4995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margin 104 bps</a:t>
          </a:r>
          <a:endParaRPr lang="ko-KR" altLang="en-US" sz="1100"/>
        </a:p>
      </xdr:txBody>
    </xdr:sp>
    <xdr:clientData/>
  </xdr:twoCellAnchor>
  <xdr:twoCellAnchor>
    <xdr:from>
      <xdr:col>10</xdr:col>
      <xdr:colOff>194733</xdr:colOff>
      <xdr:row>238</xdr:row>
      <xdr:rowOff>84666</xdr:rowOff>
    </xdr:from>
    <xdr:to>
      <xdr:col>10</xdr:col>
      <xdr:colOff>855133</xdr:colOff>
      <xdr:row>240</xdr:row>
      <xdr:rowOff>143934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10888133" y="54652333"/>
          <a:ext cx="660400" cy="4995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margin 145 bps</a:t>
          </a:r>
          <a:endParaRPr lang="ko-KR" altLang="en-US" sz="1100"/>
        </a:p>
      </xdr:txBody>
    </xdr:sp>
    <xdr:clientData/>
  </xdr:twoCellAnchor>
  <xdr:twoCellAnchor>
    <xdr:from>
      <xdr:col>11</xdr:col>
      <xdr:colOff>461434</xdr:colOff>
      <xdr:row>260</xdr:row>
      <xdr:rowOff>182033</xdr:rowOff>
    </xdr:from>
    <xdr:to>
      <xdr:col>18</xdr:col>
      <xdr:colOff>313266</xdr:colOff>
      <xdr:row>275</xdr:row>
      <xdr:rowOff>110067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397934</xdr:colOff>
      <xdr:row>3</xdr:row>
      <xdr:rowOff>42333</xdr:rowOff>
    </xdr:from>
    <xdr:to>
      <xdr:col>23</xdr:col>
      <xdr:colOff>541867</xdr:colOff>
      <xdr:row>21</xdr:row>
      <xdr:rowOff>135467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46567</xdr:colOff>
      <xdr:row>25</xdr:row>
      <xdr:rowOff>110066</xdr:rowOff>
    </xdr:from>
    <xdr:to>
      <xdr:col>23</xdr:col>
      <xdr:colOff>465667</xdr:colOff>
      <xdr:row>43</xdr:row>
      <xdr:rowOff>97366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46566</xdr:colOff>
      <xdr:row>47</xdr:row>
      <xdr:rowOff>194732</xdr:rowOff>
    </xdr:from>
    <xdr:to>
      <xdr:col>20</xdr:col>
      <xdr:colOff>533400</xdr:colOff>
      <xdr:row>66</xdr:row>
      <xdr:rowOff>21166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207433</xdr:colOff>
      <xdr:row>66</xdr:row>
      <xdr:rowOff>12700</xdr:rowOff>
    </xdr:from>
    <xdr:to>
      <xdr:col>21</xdr:col>
      <xdr:colOff>169333</xdr:colOff>
      <xdr:row>84</xdr:row>
      <xdr:rowOff>152400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241299</xdr:colOff>
      <xdr:row>87</xdr:row>
      <xdr:rowOff>29633</xdr:rowOff>
    </xdr:from>
    <xdr:to>
      <xdr:col>21</xdr:col>
      <xdr:colOff>254000</xdr:colOff>
      <xdr:row>105</xdr:row>
      <xdr:rowOff>76201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264582</xdr:colOff>
      <xdr:row>145</xdr:row>
      <xdr:rowOff>125940</xdr:rowOff>
    </xdr:from>
    <xdr:to>
      <xdr:col>24</xdr:col>
      <xdr:colOff>190499</xdr:colOff>
      <xdr:row>162</xdr:row>
      <xdr:rowOff>126999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25</xdr:col>
      <xdr:colOff>31749</xdr:colOff>
      <xdr:row>145</xdr:row>
      <xdr:rowOff>200023</xdr:rowOff>
    </xdr:from>
    <xdr:to>
      <xdr:col>33</xdr:col>
      <xdr:colOff>613834</xdr:colOff>
      <xdr:row>159</xdr:row>
      <xdr:rowOff>179917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190499</xdr:colOff>
      <xdr:row>174</xdr:row>
      <xdr:rowOff>73023</xdr:rowOff>
    </xdr:from>
    <xdr:to>
      <xdr:col>13</xdr:col>
      <xdr:colOff>296332</xdr:colOff>
      <xdr:row>191</xdr:row>
      <xdr:rowOff>10582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21166</xdr:colOff>
      <xdr:row>203</xdr:row>
      <xdr:rowOff>62442</xdr:rowOff>
    </xdr:from>
    <xdr:to>
      <xdr:col>17</xdr:col>
      <xdr:colOff>21167</xdr:colOff>
      <xdr:row>222</xdr:row>
      <xdr:rowOff>74083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520700</xdr:colOff>
      <xdr:row>243</xdr:row>
      <xdr:rowOff>76200</xdr:rowOff>
    </xdr:from>
    <xdr:to>
      <xdr:col>13</xdr:col>
      <xdr:colOff>67733</xdr:colOff>
      <xdr:row>255</xdr:row>
      <xdr:rowOff>118534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13</xdr:col>
      <xdr:colOff>241299</xdr:colOff>
      <xdr:row>243</xdr:row>
      <xdr:rowOff>71965</xdr:rowOff>
    </xdr:from>
    <xdr:to>
      <xdr:col>20</xdr:col>
      <xdr:colOff>380999</xdr:colOff>
      <xdr:row>255</xdr:row>
      <xdr:rowOff>118534</xdr:rowOff>
    </xdr:to>
    <xdr:graphicFrame macro="">
      <xdr:nvGraphicFramePr>
        <xdr:cNvPr id="13" name="차트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</xdr:col>
      <xdr:colOff>969432</xdr:colOff>
      <xdr:row>273</xdr:row>
      <xdr:rowOff>93134</xdr:rowOff>
    </xdr:from>
    <xdr:to>
      <xdr:col>13</xdr:col>
      <xdr:colOff>76200</xdr:colOff>
      <xdr:row>287</xdr:row>
      <xdr:rowOff>122767</xdr:rowOff>
    </xdr:to>
    <xdr:graphicFrame macro="">
      <xdr:nvGraphicFramePr>
        <xdr:cNvPr id="14" name="차트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14</xdr:col>
      <xdr:colOff>603249</xdr:colOff>
      <xdr:row>298</xdr:row>
      <xdr:rowOff>157691</xdr:rowOff>
    </xdr:from>
    <xdr:to>
      <xdr:col>24</xdr:col>
      <xdr:colOff>444499</xdr:colOff>
      <xdr:row>318</xdr:row>
      <xdr:rowOff>201084</xdr:rowOff>
    </xdr:to>
    <xdr:graphicFrame macro="">
      <xdr:nvGraphicFramePr>
        <xdr:cNvPr id="12" name="차트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</xdr:col>
      <xdr:colOff>444500</xdr:colOff>
      <xdr:row>329</xdr:row>
      <xdr:rowOff>158750</xdr:rowOff>
    </xdr:from>
    <xdr:to>
      <xdr:col>16</xdr:col>
      <xdr:colOff>0</xdr:colOff>
      <xdr:row>349</xdr:row>
      <xdr:rowOff>116417</xdr:rowOff>
    </xdr:to>
    <xdr:graphicFrame macro="">
      <xdr:nvGraphicFramePr>
        <xdr:cNvPr id="16" name="차트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4</xdr:col>
      <xdr:colOff>116417</xdr:colOff>
      <xdr:row>135</xdr:row>
      <xdr:rowOff>74084</xdr:rowOff>
    </xdr:from>
    <xdr:to>
      <xdr:col>7</xdr:col>
      <xdr:colOff>243417</xdr:colOff>
      <xdr:row>144</xdr:row>
      <xdr:rowOff>28431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B7A77DB-5206-48EF-B563-29A2EAA1EF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280834" y="26871084"/>
          <a:ext cx="2614083" cy="1912264"/>
        </a:xfrm>
        <a:prstGeom prst="rect">
          <a:avLst/>
        </a:prstGeom>
      </xdr:spPr>
    </xdr:pic>
    <xdr:clientData/>
  </xdr:twoCellAnchor>
  <xdr:twoCellAnchor editAs="oneCell">
    <xdr:from>
      <xdr:col>4</xdr:col>
      <xdr:colOff>84666</xdr:colOff>
      <xdr:row>168</xdr:row>
      <xdr:rowOff>52917</xdr:rowOff>
    </xdr:from>
    <xdr:to>
      <xdr:col>9</xdr:col>
      <xdr:colOff>645583</xdr:colOff>
      <xdr:row>173</xdr:row>
      <xdr:rowOff>102397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5218B74B-17AA-32EC-5437-00B763D10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249083" y="33813750"/>
          <a:ext cx="4582583" cy="1001980"/>
        </a:xfrm>
        <a:prstGeom prst="rect">
          <a:avLst/>
        </a:prstGeom>
      </xdr:spPr>
    </xdr:pic>
    <xdr:clientData/>
  </xdr:twoCellAnchor>
  <xdr:twoCellAnchor editAs="oneCell">
    <xdr:from>
      <xdr:col>6</xdr:col>
      <xdr:colOff>105834</xdr:colOff>
      <xdr:row>194</xdr:row>
      <xdr:rowOff>62467</xdr:rowOff>
    </xdr:from>
    <xdr:to>
      <xdr:col>11</xdr:col>
      <xdr:colOff>137584</xdr:colOff>
      <xdr:row>202</xdr:row>
      <xdr:rowOff>61975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39A2E06-9A2C-53CC-1BFC-8CCAAE62FE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005917" y="38966800"/>
          <a:ext cx="4085167" cy="1766925"/>
        </a:xfrm>
        <a:prstGeom prst="rect">
          <a:avLst/>
        </a:prstGeom>
      </xdr:spPr>
    </xdr:pic>
    <xdr:clientData/>
  </xdr:twoCellAnchor>
  <xdr:twoCellAnchor editAs="oneCell">
    <xdr:from>
      <xdr:col>11</xdr:col>
      <xdr:colOff>126998</xdr:colOff>
      <xdr:row>192</xdr:row>
      <xdr:rowOff>74084</xdr:rowOff>
    </xdr:from>
    <xdr:to>
      <xdr:col>15</xdr:col>
      <xdr:colOff>532984</xdr:colOff>
      <xdr:row>202</xdr:row>
      <xdr:rowOff>116416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1790C9D7-A516-E27E-E5C1-3B25A831D7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9080498" y="38597417"/>
          <a:ext cx="2861319" cy="219074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630766</xdr:colOff>
      <xdr:row>22</xdr:row>
      <xdr:rowOff>25399</xdr:rowOff>
    </xdr:from>
    <xdr:to>
      <xdr:col>16</xdr:col>
      <xdr:colOff>592665</xdr:colOff>
      <xdr:row>38</xdr:row>
      <xdr:rowOff>97366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245534</xdr:colOff>
      <xdr:row>50</xdr:row>
      <xdr:rowOff>83608</xdr:rowOff>
    </xdr:from>
    <xdr:to>
      <xdr:col>15</xdr:col>
      <xdr:colOff>384176</xdr:colOff>
      <xdr:row>67</xdr:row>
      <xdr:rowOff>12700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444499</xdr:colOff>
      <xdr:row>104</xdr:row>
      <xdr:rowOff>178855</xdr:rowOff>
    </xdr:from>
    <xdr:to>
      <xdr:col>20</xdr:col>
      <xdr:colOff>116416</xdr:colOff>
      <xdr:row>123</xdr:row>
      <xdr:rowOff>84664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444500</xdr:colOff>
      <xdr:row>127</xdr:row>
      <xdr:rowOff>104773</xdr:rowOff>
    </xdr:from>
    <xdr:to>
      <xdr:col>24</xdr:col>
      <xdr:colOff>63500</xdr:colOff>
      <xdr:row>148</xdr:row>
      <xdr:rowOff>31749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7</xdr:col>
      <xdr:colOff>190502</xdr:colOff>
      <xdr:row>39</xdr:row>
      <xdr:rowOff>63500</xdr:rowOff>
    </xdr:from>
    <xdr:to>
      <xdr:col>13</xdr:col>
      <xdr:colOff>438874</xdr:colOff>
      <xdr:row>49</xdr:row>
      <xdr:rowOff>169333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9128DA0-2E1F-0FDC-E040-D642211E0C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01835" y="7979833"/>
          <a:ext cx="3878456" cy="2254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70"/>
  <sheetViews>
    <sheetView workbookViewId="0">
      <selection activeCell="M25" sqref="M25"/>
    </sheetView>
  </sheetViews>
  <sheetFormatPr defaultRowHeight="14.4"/>
  <cols>
    <col min="2" max="2" width="23.33203125" customWidth="1"/>
    <col min="4" max="4" width="9.88671875" bestFit="1" customWidth="1"/>
    <col min="8" max="8" width="24.109375" bestFit="1" customWidth="1"/>
  </cols>
  <sheetData>
    <row r="2" spans="2:4" ht="33.6">
      <c r="B2" s="13" t="s">
        <v>292</v>
      </c>
    </row>
    <row r="4" spans="2:4">
      <c r="B4" s="18" t="s">
        <v>295</v>
      </c>
      <c r="C4">
        <v>6.25E-2</v>
      </c>
    </row>
    <row r="5" spans="2:4">
      <c r="B5" s="18"/>
    </row>
    <row r="6" spans="2:4">
      <c r="B6" s="18" t="s">
        <v>293</v>
      </c>
      <c r="C6" t="s">
        <v>294</v>
      </c>
      <c r="D6" t="s">
        <v>296</v>
      </c>
    </row>
    <row r="7" spans="2:4">
      <c r="B7">
        <v>1</v>
      </c>
      <c r="C7">
        <v>100</v>
      </c>
      <c r="D7" s="1">
        <f>C7/(1+$C$4)^B7</f>
        <v>94.117647058823536</v>
      </c>
    </row>
    <row r="8" spans="2:4">
      <c r="B8">
        <v>2</v>
      </c>
      <c r="C8">
        <v>100</v>
      </c>
      <c r="D8" s="1">
        <f t="shared" ref="D8:D11" si="0">C8/(1+$C$4)^B8</f>
        <v>88.581314878892726</v>
      </c>
    </row>
    <row r="9" spans="2:4">
      <c r="B9">
        <v>3</v>
      </c>
      <c r="C9">
        <v>100</v>
      </c>
      <c r="D9" s="1">
        <f t="shared" si="0"/>
        <v>83.370649297781398</v>
      </c>
    </row>
    <row r="10" spans="2:4">
      <c r="B10">
        <v>4</v>
      </c>
      <c r="C10">
        <v>100</v>
      </c>
      <c r="D10" s="1">
        <f t="shared" si="0"/>
        <v>78.466493456735435</v>
      </c>
    </row>
    <row r="11" spans="2:4">
      <c r="B11">
        <v>5</v>
      </c>
      <c r="C11">
        <v>1100</v>
      </c>
      <c r="D11" s="1">
        <f t="shared" si="0"/>
        <v>812.35899108149624</v>
      </c>
    </row>
    <row r="12" spans="2:4">
      <c r="D12" s="12">
        <f>SUM(D7:D11)</f>
        <v>1156.8950957737293</v>
      </c>
    </row>
    <row r="25" spans="2:16" ht="15" thickBot="1"/>
    <row r="26" spans="2:16">
      <c r="B26" s="2" t="s">
        <v>3</v>
      </c>
      <c r="C26" s="3">
        <v>1000</v>
      </c>
      <c r="H26" s="2" t="s">
        <v>3</v>
      </c>
      <c r="I26" s="3">
        <v>1000</v>
      </c>
    </row>
    <row r="27" spans="2:16">
      <c r="B27" s="4" t="s">
        <v>1</v>
      </c>
      <c r="C27" s="5">
        <v>10</v>
      </c>
      <c r="H27" s="4" t="s">
        <v>1</v>
      </c>
      <c r="I27" s="5">
        <v>10</v>
      </c>
    </row>
    <row r="28" spans="2:16">
      <c r="B28" s="4" t="s">
        <v>0</v>
      </c>
      <c r="C28" s="5">
        <v>2</v>
      </c>
      <c r="E28" t="s">
        <v>11</v>
      </c>
      <c r="H28" s="4" t="s">
        <v>0</v>
      </c>
      <c r="I28" s="5">
        <v>2</v>
      </c>
      <c r="K28" t="s">
        <v>11</v>
      </c>
      <c r="O28" t="s">
        <v>12</v>
      </c>
    </row>
    <row r="29" spans="2:16">
      <c r="B29" s="4" t="s">
        <v>2</v>
      </c>
      <c r="C29" s="5">
        <v>0.1</v>
      </c>
      <c r="F29" s="1">
        <f>C37</f>
        <v>885.30078781434736</v>
      </c>
      <c r="H29" s="4" t="s">
        <v>2</v>
      </c>
      <c r="I29" s="5">
        <v>0.1</v>
      </c>
      <c r="L29" s="1">
        <f>I37</f>
        <v>1150.8261172101793</v>
      </c>
      <c r="P29" s="1">
        <f>I37</f>
        <v>1150.8261172101793</v>
      </c>
    </row>
    <row r="30" spans="2:16" ht="15" thickBot="1">
      <c r="B30" s="6" t="s">
        <v>7</v>
      </c>
      <c r="C30" s="7">
        <v>0.12</v>
      </c>
      <c r="E30">
        <v>20</v>
      </c>
      <c r="F30" s="1">
        <f t="dataTable" ref="F30:F70" dt2D="0" dtr="0" r1="C27"/>
        <v>849.53703128475104</v>
      </c>
      <c r="H30" s="6" t="s">
        <v>7</v>
      </c>
      <c r="I30" s="7">
        <v>7.8E-2</v>
      </c>
      <c r="K30">
        <v>20</v>
      </c>
      <c r="L30" s="1">
        <f t="dataTable" ref="L30:L70" dt2D="0" dtr="0" r1="I27" ca="1"/>
        <v>1220.9983991771542</v>
      </c>
      <c r="O30">
        <v>0.01</v>
      </c>
      <c r="P30">
        <f t="dataTable" ref="P30:P52" dt2D="0" dtr="0" r1="I30"/>
        <v>1854.4338616001187</v>
      </c>
    </row>
    <row r="31" spans="2:16" ht="15" thickBot="1">
      <c r="E31">
        <v>19.5</v>
      </c>
      <c r="F31" s="1">
        <v>850.509253161836</v>
      </c>
      <c r="K31">
        <v>19.5</v>
      </c>
      <c r="L31" s="1">
        <v>1218.6173367450629</v>
      </c>
      <c r="O31">
        <v>1.4999999999999999E-2</v>
      </c>
      <c r="P31">
        <v>1786.5908369822578</v>
      </c>
    </row>
    <row r="32" spans="2:16">
      <c r="B32" s="2" t="s">
        <v>4</v>
      </c>
      <c r="C32" s="3">
        <f>C29/C28*C26</f>
        <v>50</v>
      </c>
      <c r="E32">
        <v>19</v>
      </c>
      <c r="F32" s="1">
        <v>851.53980835154618</v>
      </c>
      <c r="H32" s="2" t="s">
        <v>4</v>
      </c>
      <c r="I32" s="3">
        <f>I29/I28*I26</f>
        <v>50</v>
      </c>
      <c r="K32">
        <v>19</v>
      </c>
      <c r="L32" s="1">
        <v>1216.1434128781204</v>
      </c>
      <c r="O32">
        <v>0.02</v>
      </c>
      <c r="P32">
        <v>1721.8221186508185</v>
      </c>
    </row>
    <row r="33" spans="2:16">
      <c r="B33" s="4" t="s">
        <v>5</v>
      </c>
      <c r="C33" s="5">
        <f>C28*C27</f>
        <v>20</v>
      </c>
      <c r="E33">
        <v>18.5</v>
      </c>
      <c r="F33" s="1">
        <v>852.63219685263891</v>
      </c>
      <c r="H33" s="4" t="s">
        <v>5</v>
      </c>
      <c r="I33" s="5">
        <f>I28*I27</f>
        <v>20</v>
      </c>
      <c r="K33">
        <v>18.5</v>
      </c>
      <c r="L33" s="1">
        <v>1213.573005980367</v>
      </c>
      <c r="O33">
        <v>2.5000000000000001E-2</v>
      </c>
      <c r="P33">
        <v>1659.9743550334597</v>
      </c>
    </row>
    <row r="34" spans="2:16">
      <c r="B34" s="4" t="s">
        <v>8</v>
      </c>
      <c r="C34" s="5">
        <f>C30/C28</f>
        <v>0.06</v>
      </c>
      <c r="E34">
        <v>18</v>
      </c>
      <c r="F34" s="1">
        <v>853.7901286637973</v>
      </c>
      <c r="H34" s="4" t="s">
        <v>8</v>
      </c>
      <c r="I34" s="5">
        <f>I30/I28</f>
        <v>3.9E-2</v>
      </c>
      <c r="K34">
        <v>18</v>
      </c>
      <c r="L34" s="1">
        <v>1210.9023532136014</v>
      </c>
      <c r="O34">
        <v>0.03</v>
      </c>
      <c r="P34">
        <v>1600.9023574778628</v>
      </c>
    </row>
    <row r="35" spans="2:16">
      <c r="B35" s="4" t="s">
        <v>6</v>
      </c>
      <c r="C35" s="5">
        <f>C32*(1-1/(1+C34)^C33)/C34</f>
        <v>573.49606092826309</v>
      </c>
      <c r="E35">
        <v>17.5</v>
      </c>
      <c r="F35" s="1">
        <v>855.01753638362493</v>
      </c>
      <c r="H35" s="4" t="s">
        <v>6</v>
      </c>
      <c r="I35" s="5">
        <f>I32*(1-1/(1+I34)^I33)/I34</f>
        <v>685.57326004626941</v>
      </c>
      <c r="K35">
        <v>17.5</v>
      </c>
      <c r="L35" s="1">
        <v>1208.127544988932</v>
      </c>
      <c r="O35">
        <v>3.5000000000000003E-2</v>
      </c>
      <c r="P35">
        <v>1544.4686424043848</v>
      </c>
    </row>
    <row r="36" spans="2:16">
      <c r="B36" s="4" t="s">
        <v>9</v>
      </c>
      <c r="C36" s="5">
        <f>C26/(1+C34)^C33</f>
        <v>311.80472688608427</v>
      </c>
      <c r="E36">
        <v>17</v>
      </c>
      <c r="F36" s="1">
        <v>856.31858856664269</v>
      </c>
      <c r="H36" s="4" t="s">
        <v>9</v>
      </c>
      <c r="I36" s="5">
        <f>I26/(1+I34)^I33</f>
        <v>465.25285716390994</v>
      </c>
      <c r="K36">
        <v>17</v>
      </c>
      <c r="L36" s="1">
        <v>1205.2445192435002</v>
      </c>
      <c r="O36">
        <v>0.04</v>
      </c>
      <c r="P36">
        <v>1490.5430003379133</v>
      </c>
    </row>
    <row r="37" spans="2:16" ht="15" thickBot="1">
      <c r="B37" s="6" t="s">
        <v>10</v>
      </c>
      <c r="C37" s="8">
        <f>C35+C36</f>
        <v>885.30078781434736</v>
      </c>
      <c r="E37">
        <v>16.5</v>
      </c>
      <c r="F37" s="1">
        <v>857.69770388064126</v>
      </c>
      <c r="H37" s="6" t="s">
        <v>10</v>
      </c>
      <c r="I37" s="8">
        <f>I35+I36</f>
        <v>1150.8261172101793</v>
      </c>
      <c r="K37">
        <v>16.5</v>
      </c>
      <c r="L37" s="1">
        <v>1202.2490554939968</v>
      </c>
      <c r="O37">
        <v>4.4999999999999998E-2</v>
      </c>
      <c r="P37">
        <v>1439.0020901743369</v>
      </c>
    </row>
    <row r="38" spans="2:16">
      <c r="E38">
        <v>16</v>
      </c>
      <c r="F38" s="1">
        <v>859.15956611347974</v>
      </c>
      <c r="K38">
        <v>16</v>
      </c>
      <c r="L38" s="1">
        <v>1199.1367686582626</v>
      </c>
      <c r="O38">
        <v>0.05</v>
      </c>
      <c r="P38">
        <v>1389.7290571411697</v>
      </c>
    </row>
    <row r="39" spans="2:16">
      <c r="E39">
        <v>15.5</v>
      </c>
      <c r="F39" s="1">
        <v>860.70914008028842</v>
      </c>
      <c r="K39">
        <v>15.5</v>
      </c>
      <c r="L39" s="1">
        <v>1195.9031026359348</v>
      </c>
      <c r="O39">
        <v>5.5E-2</v>
      </c>
      <c r="P39">
        <v>1342.6131730099514</v>
      </c>
    </row>
    <row r="40" spans="2:16">
      <c r="E40">
        <v>15</v>
      </c>
      <c r="F40" s="1">
        <v>862.35168848510557</v>
      </c>
      <c r="K40">
        <v>15</v>
      </c>
      <c r="L40" s="1">
        <v>1192.5433236387362</v>
      </c>
      <c r="O40">
        <v>0.06</v>
      </c>
      <c r="P40">
        <v>1297.5494972091101</v>
      </c>
    </row>
    <row r="41" spans="2:16">
      <c r="E41">
        <v>14.5</v>
      </c>
      <c r="F41" s="1">
        <v>864.09278979421219</v>
      </c>
      <c r="K41">
        <v>14.5</v>
      </c>
      <c r="L41" s="1">
        <v>1189.0525132606472</v>
      </c>
      <c r="O41">
        <v>6.5000000000000002E-2</v>
      </c>
      <c r="P41">
        <v>1254.4385575713491</v>
      </c>
    </row>
    <row r="42" spans="2:16">
      <c r="E42">
        <v>14</v>
      </c>
      <c r="F42" s="1">
        <v>865.93835718186483</v>
      </c>
      <c r="K42">
        <v>14</v>
      </c>
      <c r="L42" s="1">
        <v>1185.4255612778124</v>
      </c>
      <c r="O42">
        <v>7.0000000000000007E-2</v>
      </c>
      <c r="P42">
        <v>1213.186049529284</v>
      </c>
    </row>
    <row r="43" spans="2:16">
      <c r="E43">
        <v>13.5</v>
      </c>
      <c r="F43" s="1">
        <v>867.89465861277665</v>
      </c>
      <c r="K43">
        <v>13.5</v>
      </c>
      <c r="L43" s="1">
        <v>1181.6571581676471</v>
      </c>
      <c r="O43">
        <v>7.4999999999999997E-2</v>
      </c>
      <c r="P43">
        <v>1173.7025526476104</v>
      </c>
    </row>
    <row r="44" spans="2:16">
      <c r="E44">
        <v>13</v>
      </c>
      <c r="F44" s="1">
        <v>869.96833812954333</v>
      </c>
      <c r="K44">
        <v>13</v>
      </c>
      <c r="L44" s="1">
        <v>1177.7417873361853</v>
      </c>
      <c r="O44">
        <v>0.08</v>
      </c>
      <c r="P44">
        <v>1135.9032634496771</v>
      </c>
    </row>
    <row r="45" spans="2:16">
      <c r="E45">
        <v>12.5</v>
      </c>
      <c r="F45" s="1">
        <v>872.16643841731593</v>
      </c>
      <c r="K45">
        <v>12.5</v>
      </c>
      <c r="L45" s="1">
        <v>1173.6737170422964</v>
      </c>
      <c r="O45">
        <v>8.5000000000000006E-2</v>
      </c>
      <c r="P45">
        <v>1099.7077435615206</v>
      </c>
    </row>
    <row r="46" spans="2:16">
      <c r="E46">
        <v>12</v>
      </c>
      <c r="F46" s="1">
        <v>874.49642472235485</v>
      </c>
      <c r="K46">
        <v>12</v>
      </c>
      <c r="L46" s="1">
        <v>1169.4469920069462</v>
      </c>
      <c r="O46">
        <v>0.09</v>
      </c>
      <c r="P46">
        <v>1065.0396822572684</v>
      </c>
    </row>
    <row r="47" spans="2:16">
      <c r="E47">
        <v>11.5</v>
      </c>
      <c r="F47" s="1">
        <v>876.96621020569614</v>
      </c>
      <c r="K47">
        <v>11.5</v>
      </c>
      <c r="L47" s="1">
        <v>1165.055424695217</v>
      </c>
      <c r="O47">
        <v>9.5000000000000001E-2</v>
      </c>
      <c r="P47">
        <v>1031.8266725468206</v>
      </c>
    </row>
    <row r="48" spans="2:16">
      <c r="E48">
        <v>11</v>
      </c>
      <c r="F48" s="1">
        <v>879.58418281803779</v>
      </c>
      <c r="K48">
        <v>11</v>
      </c>
      <c r="L48" s="1">
        <v>1160.4925862583304</v>
      </c>
      <c r="O48">
        <v>0.1</v>
      </c>
      <c r="P48">
        <v>999.99999999999989</v>
      </c>
    </row>
    <row r="49" spans="5:16">
      <c r="E49">
        <v>10.5</v>
      </c>
      <c r="F49" s="1">
        <v>882.35923378712016</v>
      </c>
      <c r="K49">
        <v>10.5</v>
      </c>
      <c r="L49" s="1">
        <v>1155.7517971224054</v>
      </c>
      <c r="O49">
        <v>0.105</v>
      </c>
      <c r="P49">
        <v>969.49444355121568</v>
      </c>
    </row>
    <row r="50" spans="5:16">
      <c r="E50">
        <v>10</v>
      </c>
      <c r="F50" s="1">
        <v>885.30078781434736</v>
      </c>
      <c r="K50">
        <v>10</v>
      </c>
      <c r="L50" s="1">
        <v>1150.8261172101793</v>
      </c>
      <c r="O50">
        <v>0.11</v>
      </c>
      <c r="P50">
        <v>940.24808757535845</v>
      </c>
    </row>
    <row r="51" spans="5:16">
      <c r="E51">
        <v>9.5</v>
      </c>
      <c r="F51" s="1">
        <v>888.41883508320825</v>
      </c>
      <c r="K51">
        <v>9.5</v>
      </c>
      <c r="L51" s="1">
        <v>1145.7083357813763</v>
      </c>
      <c r="O51">
        <v>0.115</v>
      </c>
      <c r="P51">
        <v>912.20214456931103</v>
      </c>
    </row>
    <row r="52" spans="5:16">
      <c r="E52">
        <v>9</v>
      </c>
      <c r="F52" s="1">
        <v>891.72396518820074</v>
      </c>
      <c r="K52">
        <v>9</v>
      </c>
      <c r="L52" s="1">
        <v>1140.3909608768499</v>
      </c>
      <c r="O52">
        <v>0.12</v>
      </c>
      <c r="P52">
        <v>885.30078781434736</v>
      </c>
    </row>
    <row r="53" spans="5:16">
      <c r="E53">
        <v>8.5</v>
      </c>
      <c r="F53" s="1">
        <v>895.22740309949268</v>
      </c>
      <c r="K53">
        <v>8.5</v>
      </c>
      <c r="L53" s="1">
        <v>1134.8662083510471</v>
      </c>
    </row>
    <row r="54" spans="5:16">
      <c r="E54">
        <v>8</v>
      </c>
      <c r="F54" s="1">
        <v>898.94104728546222</v>
      </c>
      <c r="K54">
        <v>8</v>
      </c>
      <c r="L54" s="1">
        <v>1129.125990476738</v>
      </c>
    </row>
    <row r="55" spans="5:16">
      <c r="E55">
        <v>7.5</v>
      </c>
      <c r="F55" s="1">
        <v>902.87751012259014</v>
      </c>
      <c r="K55">
        <v>7.5</v>
      </c>
      <c r="L55" s="1">
        <v>1123.1619041053309</v>
      </c>
    </row>
    <row r="56" spans="5:16">
      <c r="E56">
        <v>7</v>
      </c>
      <c r="F56" s="1">
        <v>907.05016072994545</v>
      </c>
      <c r="K56">
        <v>7</v>
      </c>
      <c r="L56" s="1">
        <v>1116.9652183654387</v>
      </c>
    </row>
    <row r="57" spans="5:16">
      <c r="E57">
        <v>6.5</v>
      </c>
      <c r="F57" s="1">
        <v>911.47317037374228</v>
      </c>
      <c r="K57">
        <v>6.5</v>
      </c>
      <c r="L57" s="1">
        <v>1110.5268618816908</v>
      </c>
    </row>
    <row r="58" spans="5:16">
      <c r="E58">
        <v>6</v>
      </c>
      <c r="F58" s="1">
        <v>916.16156059616674</v>
      </c>
      <c r="K58">
        <v>6</v>
      </c>
      <c r="L58" s="1">
        <v>1103.8374094950768</v>
      </c>
    </row>
    <row r="59" spans="5:16">
      <c r="E59">
        <v>5.5</v>
      </c>
      <c r="F59" s="1">
        <v>921.13125423193674</v>
      </c>
      <c r="K59">
        <v>5.5</v>
      </c>
      <c r="L59" s="1">
        <v>1096.8870684653848</v>
      </c>
    </row>
    <row r="60" spans="5:16">
      <c r="E60">
        <v>5</v>
      </c>
      <c r="F60" s="1">
        <v>926.39912948585288</v>
      </c>
      <c r="K60">
        <v>5</v>
      </c>
      <c r="L60" s="1">
        <v>1089.6656641355348</v>
      </c>
    </row>
    <row r="61" spans="5:16">
      <c r="E61">
        <v>4.5</v>
      </c>
      <c r="F61" s="1">
        <v>931.98307725500422</v>
      </c>
      <c r="K61">
        <v>4.5</v>
      </c>
      <c r="L61" s="1">
        <v>1082.1626250368208</v>
      </c>
    </row>
    <row r="62" spans="5:16">
      <c r="E62">
        <v>4</v>
      </c>
      <c r="F62" s="1">
        <v>937.90206189030448</v>
      </c>
      <c r="K62">
        <v>4</v>
      </c>
      <c r="L62" s="1">
        <v>1074.366967413257</v>
      </c>
    </row>
    <row r="63" spans="5:16">
      <c r="E63">
        <v>3.5</v>
      </c>
      <c r="F63" s="1">
        <v>944.17618560372273</v>
      </c>
      <c r="K63">
        <v>3.5</v>
      </c>
      <c r="L63" s="1">
        <v>1066.2672791423738</v>
      </c>
    </row>
    <row r="64" spans="5:16">
      <c r="E64">
        <v>3</v>
      </c>
      <c r="F64" s="1">
        <v>950.82675673994606</v>
      </c>
      <c r="K64">
        <v>3</v>
      </c>
      <c r="L64" s="1">
        <v>1057.8517030289265</v>
      </c>
    </row>
    <row r="65" spans="5:12">
      <c r="E65">
        <v>2.5</v>
      </c>
      <c r="F65" s="1">
        <v>957.87636214434281</v>
      </c>
      <c r="K65">
        <v>2.5</v>
      </c>
      <c r="L65" s="1">
        <v>1049.1079194470547</v>
      </c>
    </row>
    <row r="66" spans="5:12">
      <c r="E66">
        <v>2</v>
      </c>
      <c r="F66" s="1">
        <v>965.34894387300346</v>
      </c>
      <c r="K66">
        <v>2</v>
      </c>
      <c r="L66" s="1">
        <v>1040.0231283054898</v>
      </c>
    </row>
    <row r="67" spans="5:12">
      <c r="E67">
        <v>1.5</v>
      </c>
      <c r="F67" s="1">
        <v>973.26988050538364</v>
      </c>
      <c r="K67">
        <v>1.5</v>
      </c>
      <c r="L67" s="1">
        <v>1030.5840303094039</v>
      </c>
    </row>
    <row r="68" spans="5:12">
      <c r="E68">
        <v>1</v>
      </c>
      <c r="F68" s="1">
        <v>981.66607333570664</v>
      </c>
      <c r="K68">
        <v>1</v>
      </c>
      <c r="L68" s="1">
        <v>1020.7768074914707</v>
      </c>
    </row>
    <row r="69" spans="5:12">
      <c r="E69">
        <v>0.5</v>
      </c>
      <c r="F69" s="1">
        <v>990.56603773584902</v>
      </c>
      <c r="K69">
        <v>0.5</v>
      </c>
      <c r="L69" s="1">
        <v>1010.5871029836381</v>
      </c>
    </row>
    <row r="70" spans="5:12">
      <c r="E70">
        <v>0</v>
      </c>
      <c r="F70" s="1">
        <v>1000</v>
      </c>
      <c r="K70">
        <v>0</v>
      </c>
      <c r="L70" s="1">
        <v>1000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104"/>
  <sheetViews>
    <sheetView zoomScale="80" zoomScaleNormal="80" workbookViewId="0">
      <selection activeCell="C27" sqref="C27"/>
    </sheetView>
  </sheetViews>
  <sheetFormatPr defaultRowHeight="14.4"/>
  <cols>
    <col min="2" max="2" width="24.109375" bestFit="1" customWidth="1"/>
    <col min="5" max="5" width="16.109375" bestFit="1" customWidth="1"/>
    <col min="6" max="6" width="15.109375" customWidth="1"/>
    <col min="7" max="7" width="13.33203125" bestFit="1" customWidth="1"/>
    <col min="8" max="10" width="13.33203125" customWidth="1"/>
    <col min="12" max="12" width="11.109375" customWidth="1"/>
  </cols>
  <sheetData>
    <row r="1" spans="2:12" ht="15" thickBot="1"/>
    <row r="2" spans="2:12">
      <c r="B2" s="2" t="s">
        <v>3</v>
      </c>
      <c r="C2" s="3">
        <v>1000</v>
      </c>
    </row>
    <row r="3" spans="2:12">
      <c r="B3" s="4" t="s">
        <v>1</v>
      </c>
      <c r="C3" s="5">
        <v>10</v>
      </c>
    </row>
    <row r="4" spans="2:12">
      <c r="B4" s="4" t="s">
        <v>0</v>
      </c>
      <c r="C4" s="5">
        <v>2</v>
      </c>
      <c r="E4" t="s">
        <v>19</v>
      </c>
      <c r="F4" t="s">
        <v>18</v>
      </c>
      <c r="G4" t="s">
        <v>20</v>
      </c>
    </row>
    <row r="5" spans="2:12" ht="43.2">
      <c r="B5" s="4" t="s">
        <v>2</v>
      </c>
      <c r="C5" s="5">
        <v>0.1</v>
      </c>
      <c r="E5" s="9" t="s">
        <v>13</v>
      </c>
      <c r="F5" s="9" t="s">
        <v>14</v>
      </c>
      <c r="G5" t="s">
        <v>5</v>
      </c>
      <c r="H5" s="9" t="s">
        <v>17</v>
      </c>
      <c r="I5" s="9" t="s">
        <v>9</v>
      </c>
      <c r="J5" s="9" t="s">
        <v>16</v>
      </c>
      <c r="K5" s="9" t="s">
        <v>15</v>
      </c>
      <c r="L5" s="9" t="s">
        <v>21</v>
      </c>
    </row>
    <row r="6" spans="2:12" ht="15" thickBot="1">
      <c r="B6" s="6" t="s">
        <v>7</v>
      </c>
      <c r="C6" s="7">
        <v>0.11</v>
      </c>
      <c r="E6">
        <v>9.9</v>
      </c>
      <c r="F6">
        <f>IF(E6/0.5 - INT(E6/0.5) &lt; 0.1, 1, E6/0.5 - INT(E6/0.5))</f>
        <v>0.80000000000000071</v>
      </c>
      <c r="G6">
        <f>2*E6-F6+1</f>
        <v>20</v>
      </c>
      <c r="H6" s="1">
        <f>(1+$C$10)^(1-F6)*$C$8*(1-1/(1+$C$10)^G6)/$C$10</f>
        <v>603.95183041501866</v>
      </c>
      <c r="I6" s="1">
        <f>$C$2/(1+$C$10)^G6*(1+$C$10)^(1-F6)</f>
        <v>346.41867739348669</v>
      </c>
      <c r="J6" s="1">
        <f>H6+I6</f>
        <v>950.37050780850541</v>
      </c>
      <c r="K6">
        <f>$C$8*(1-F6)</f>
        <v>9.9999999999999645</v>
      </c>
      <c r="L6" s="10">
        <f>J6-K6</f>
        <v>940.37050780850541</v>
      </c>
    </row>
    <row r="7" spans="2:12" ht="15" thickBot="1">
      <c r="E7">
        <f>E6-0.1</f>
        <v>9.8000000000000007</v>
      </c>
      <c r="F7">
        <f t="shared" ref="F7:F70" si="0">IF(E7/0.5 - INT(E7/0.5) &lt; 0.1, 1, E7/0.5 - INT(E7/0.5))</f>
        <v>0.60000000000000142</v>
      </c>
      <c r="G7">
        <f t="shared" ref="G7:G70" si="1">2*E7-F7+1</f>
        <v>20</v>
      </c>
      <c r="H7" s="1">
        <f t="shared" ref="H7:H70" si="2">(1+$C$10)^(1-F7)*$C$8*(1-1/(1+$C$10)^G7)/$C$10</f>
        <v>610.45378910956288</v>
      </c>
      <c r="I7" s="1">
        <f t="shared" ref="I7:I70" si="3">$C$2/(1+$C$10)^G7*(1+$C$10)^(1-F7)</f>
        <v>350.14811377897342</v>
      </c>
      <c r="J7" s="1">
        <f t="shared" ref="J7:J70" si="4">H7+I7</f>
        <v>960.6019028885363</v>
      </c>
      <c r="K7">
        <f t="shared" ref="K7:K70" si="5">$C$8*(1-F7)</f>
        <v>19.999999999999929</v>
      </c>
      <c r="L7" s="10">
        <f t="shared" ref="L7:L70" si="6">J7-K7</f>
        <v>940.60190288853642</v>
      </c>
    </row>
    <row r="8" spans="2:12">
      <c r="B8" s="2" t="s">
        <v>4</v>
      </c>
      <c r="C8" s="3">
        <f>C5/C4*C2</f>
        <v>50</v>
      </c>
      <c r="E8">
        <f t="shared" ref="E8:E71" si="7">E7-0.1</f>
        <v>9.7000000000000011</v>
      </c>
      <c r="F8">
        <f t="shared" si="0"/>
        <v>0.40000000000000213</v>
      </c>
      <c r="G8">
        <f t="shared" si="1"/>
        <v>20</v>
      </c>
      <c r="H8" s="1">
        <f t="shared" si="2"/>
        <v>617.02574588133189</v>
      </c>
      <c r="I8" s="1">
        <f t="shared" si="3"/>
        <v>353.91770012363105</v>
      </c>
      <c r="J8" s="1">
        <f t="shared" si="4"/>
        <v>970.94344600496288</v>
      </c>
      <c r="K8">
        <f t="shared" si="5"/>
        <v>29.999999999999893</v>
      </c>
      <c r="L8" s="10">
        <f t="shared" si="6"/>
        <v>940.94344600496299</v>
      </c>
    </row>
    <row r="9" spans="2:12">
      <c r="B9" s="4" t="s">
        <v>5</v>
      </c>
      <c r="C9" s="5">
        <f>C4*C3</f>
        <v>20</v>
      </c>
      <c r="E9">
        <f t="shared" si="7"/>
        <v>9.6000000000000014</v>
      </c>
      <c r="F9">
        <f t="shared" si="0"/>
        <v>0.20000000000000284</v>
      </c>
      <c r="G9">
        <f t="shared" si="1"/>
        <v>20</v>
      </c>
      <c r="H9" s="1">
        <f t="shared" si="2"/>
        <v>623.66845430798571</v>
      </c>
      <c r="I9" s="1">
        <f t="shared" si="3"/>
        <v>357.7278686695077</v>
      </c>
      <c r="J9" s="1">
        <f t="shared" si="4"/>
        <v>981.39632297749336</v>
      </c>
      <c r="K9">
        <f t="shared" si="5"/>
        <v>39.999999999999858</v>
      </c>
      <c r="L9" s="10">
        <f t="shared" si="6"/>
        <v>941.39632297749347</v>
      </c>
    </row>
    <row r="10" spans="2:12">
      <c r="B10" s="4" t="s">
        <v>8</v>
      </c>
      <c r="C10" s="5">
        <f>C6/C4</f>
        <v>5.5E-2</v>
      </c>
      <c r="E10">
        <f t="shared" si="7"/>
        <v>9.5000000000000018</v>
      </c>
      <c r="F10">
        <f t="shared" si="0"/>
        <v>1</v>
      </c>
      <c r="G10">
        <f t="shared" si="1"/>
        <v>19.000000000000004</v>
      </c>
      <c r="H10" s="1">
        <f t="shared" si="2"/>
        <v>580.3826760799675</v>
      </c>
      <c r="I10" s="1">
        <f t="shared" si="3"/>
        <v>361.57905631203573</v>
      </c>
      <c r="J10" s="1">
        <f t="shared" si="4"/>
        <v>941.96173239200323</v>
      </c>
      <c r="K10">
        <f>$C$8*(1-F10)</f>
        <v>0</v>
      </c>
      <c r="L10" s="10">
        <f t="shared" si="6"/>
        <v>941.96173239200323</v>
      </c>
    </row>
    <row r="11" spans="2:12">
      <c r="B11" s="4" t="s">
        <v>6</v>
      </c>
      <c r="C11" s="5">
        <f>C8*(1-1/(1+C10)^C9)/C10</f>
        <v>597.51912424641466</v>
      </c>
      <c r="E11">
        <f t="shared" si="7"/>
        <v>9.4000000000000021</v>
      </c>
      <c r="F11">
        <f t="shared" si="0"/>
        <v>0.80000000000000426</v>
      </c>
      <c r="G11">
        <f t="shared" si="1"/>
        <v>19</v>
      </c>
      <c r="H11" s="1">
        <f t="shared" si="2"/>
        <v>586.63089654534417</v>
      </c>
      <c r="I11" s="1">
        <f t="shared" si="3"/>
        <v>365.4717046501284</v>
      </c>
      <c r="J11" s="1">
        <f t="shared" si="4"/>
        <v>952.10260119547252</v>
      </c>
      <c r="K11">
        <f t="shared" si="5"/>
        <v>9.9999999999997868</v>
      </c>
      <c r="L11" s="10">
        <f t="shared" si="6"/>
        <v>942.10260119547274</v>
      </c>
    </row>
    <row r="12" spans="2:12">
      <c r="B12" s="4" t="s">
        <v>9</v>
      </c>
      <c r="C12" s="5">
        <f>C2/(1+C10)^C9</f>
        <v>342.72896332894379</v>
      </c>
      <c r="E12">
        <f t="shared" si="7"/>
        <v>9.3000000000000025</v>
      </c>
      <c r="F12">
        <f t="shared" si="0"/>
        <v>0.60000000000000497</v>
      </c>
      <c r="G12">
        <f t="shared" si="1"/>
        <v>19</v>
      </c>
      <c r="H12" s="1">
        <f t="shared" si="2"/>
        <v>592.94638342061398</v>
      </c>
      <c r="I12" s="1">
        <f t="shared" si="3"/>
        <v>369.40626003681689</v>
      </c>
      <c r="J12" s="1">
        <f t="shared" si="4"/>
        <v>962.35264345743087</v>
      </c>
      <c r="K12">
        <f t="shared" si="5"/>
        <v>19.999999999999751</v>
      </c>
      <c r="L12" s="10">
        <f t="shared" si="6"/>
        <v>942.3526434574311</v>
      </c>
    </row>
    <row r="13" spans="2:12" ht="15" thickBot="1">
      <c r="B13" s="6" t="s">
        <v>10</v>
      </c>
      <c r="C13" s="8">
        <f>C11+C12</f>
        <v>940.24808757535845</v>
      </c>
      <c r="E13">
        <f t="shared" si="7"/>
        <v>9.2000000000000028</v>
      </c>
      <c r="F13">
        <f t="shared" si="0"/>
        <v>0.40000000000000568</v>
      </c>
      <c r="G13">
        <f t="shared" si="1"/>
        <v>19</v>
      </c>
      <c r="H13" s="1">
        <f t="shared" si="2"/>
        <v>599.3298608751503</v>
      </c>
      <c r="I13" s="1">
        <f t="shared" si="3"/>
        <v>373.38317363043069</v>
      </c>
      <c r="J13" s="1">
        <f t="shared" si="4"/>
        <v>972.71303450558094</v>
      </c>
      <c r="K13">
        <f t="shared" si="5"/>
        <v>29.999999999999716</v>
      </c>
      <c r="L13" s="10">
        <f t="shared" si="6"/>
        <v>942.71303450558116</v>
      </c>
    </row>
    <row r="14" spans="2:12">
      <c r="E14">
        <f t="shared" si="7"/>
        <v>9.1000000000000032</v>
      </c>
      <c r="F14">
        <f t="shared" si="0"/>
        <v>0.20000000000000639</v>
      </c>
      <c r="G14">
        <f t="shared" si="1"/>
        <v>19</v>
      </c>
      <c r="H14" s="1">
        <f t="shared" si="2"/>
        <v>605.78206087451008</v>
      </c>
      <c r="I14" s="1">
        <f t="shared" si="3"/>
        <v>377.40290144633053</v>
      </c>
      <c r="J14" s="1">
        <f t="shared" si="4"/>
        <v>983.18496232084067</v>
      </c>
      <c r="K14">
        <f t="shared" si="5"/>
        <v>39.99999999999968</v>
      </c>
      <c r="L14" s="10">
        <f t="shared" si="6"/>
        <v>943.18496232084101</v>
      </c>
    </row>
    <row r="15" spans="2:12">
      <c r="E15">
        <f t="shared" si="7"/>
        <v>9.0000000000000036</v>
      </c>
      <c r="F15">
        <f t="shared" si="0"/>
        <v>1</v>
      </c>
      <c r="G15">
        <f t="shared" si="1"/>
        <v>18.000000000000007</v>
      </c>
      <c r="H15" s="1">
        <f t="shared" si="2"/>
        <v>562.30372326436577</v>
      </c>
      <c r="I15" s="1">
        <f t="shared" si="3"/>
        <v>381.46590440919766</v>
      </c>
      <c r="J15" s="1">
        <f t="shared" si="4"/>
        <v>943.76962767356349</v>
      </c>
      <c r="K15">
        <f t="shared" si="5"/>
        <v>0</v>
      </c>
      <c r="L15" s="10">
        <f t="shared" si="6"/>
        <v>943.76962767356349</v>
      </c>
    </row>
    <row r="16" spans="2:12">
      <c r="E16">
        <f t="shared" si="7"/>
        <v>8.9000000000000039</v>
      </c>
      <c r="F16">
        <f t="shared" si="0"/>
        <v>0.80000000000000782</v>
      </c>
      <c r="G16">
        <f t="shared" si="1"/>
        <v>18</v>
      </c>
      <c r="H16" s="1">
        <f t="shared" si="2"/>
        <v>568.35731131283774</v>
      </c>
      <c r="I16" s="1">
        <f t="shared" si="3"/>
        <v>385.57264840588539</v>
      </c>
      <c r="J16" s="1">
        <f t="shared" si="4"/>
        <v>953.92995971872313</v>
      </c>
      <c r="K16">
        <f t="shared" si="5"/>
        <v>9.9999999999996092</v>
      </c>
      <c r="L16" s="10">
        <f t="shared" si="6"/>
        <v>943.92995971872347</v>
      </c>
    </row>
    <row r="17" spans="5:12">
      <c r="E17">
        <f t="shared" si="7"/>
        <v>8.8000000000000043</v>
      </c>
      <c r="F17">
        <f t="shared" si="0"/>
        <v>0.60000000000000853</v>
      </c>
      <c r="G17">
        <f t="shared" si="1"/>
        <v>18</v>
      </c>
      <c r="H17" s="1">
        <f t="shared" si="2"/>
        <v>574.47607041877313</v>
      </c>
      <c r="I17" s="1">
        <f t="shared" si="3"/>
        <v>389.72360433884171</v>
      </c>
      <c r="J17" s="1">
        <f t="shared" si="4"/>
        <v>964.19967475761484</v>
      </c>
      <c r="K17">
        <f t="shared" si="5"/>
        <v>19.999999999999574</v>
      </c>
      <c r="L17" s="10">
        <f t="shared" si="6"/>
        <v>944.1996747576153</v>
      </c>
    </row>
    <row r="18" spans="5:12">
      <c r="E18">
        <f t="shared" si="7"/>
        <v>8.7000000000000046</v>
      </c>
      <c r="F18">
        <f t="shared" si="0"/>
        <v>0.40000000000000924</v>
      </c>
      <c r="G18">
        <f t="shared" si="1"/>
        <v>18</v>
      </c>
      <c r="H18" s="1">
        <f t="shared" si="2"/>
        <v>580.66070219362859</v>
      </c>
      <c r="I18" s="1">
        <f t="shared" si="3"/>
        <v>393.91924818010426</v>
      </c>
      <c r="J18" s="1">
        <f t="shared" si="4"/>
        <v>974.5799503737328</v>
      </c>
      <c r="K18">
        <f t="shared" si="5"/>
        <v>29.999999999999538</v>
      </c>
      <c r="L18" s="10">
        <f t="shared" si="6"/>
        <v>944.57995037373325</v>
      </c>
    </row>
    <row r="19" spans="5:12">
      <c r="E19">
        <f t="shared" si="7"/>
        <v>8.600000000000005</v>
      </c>
      <c r="F19">
        <f t="shared" si="0"/>
        <v>0.20000000000000995</v>
      </c>
      <c r="G19">
        <f t="shared" si="1"/>
        <v>18</v>
      </c>
      <c r="H19" s="1">
        <f t="shared" si="2"/>
        <v>586.91191580219345</v>
      </c>
      <c r="I19" s="1">
        <f t="shared" si="3"/>
        <v>398.16006102587863</v>
      </c>
      <c r="J19" s="1">
        <f t="shared" si="4"/>
        <v>985.07197682807214</v>
      </c>
      <c r="K19">
        <f t="shared" si="5"/>
        <v>39.999999999999503</v>
      </c>
      <c r="L19" s="10">
        <f t="shared" si="6"/>
        <v>945.07197682807259</v>
      </c>
    </row>
    <row r="20" spans="5:12">
      <c r="E20">
        <f t="shared" si="7"/>
        <v>8.5000000000000053</v>
      </c>
      <c r="F20">
        <f t="shared" si="0"/>
        <v>1</v>
      </c>
      <c r="G20">
        <f t="shared" si="1"/>
        <v>17.000000000000011</v>
      </c>
      <c r="H20" s="1">
        <f t="shared" si="2"/>
        <v>543.23042804390593</v>
      </c>
      <c r="I20" s="1">
        <f t="shared" si="3"/>
        <v>402.44652915170337</v>
      </c>
      <c r="J20" s="1">
        <f t="shared" si="4"/>
        <v>945.67695719560925</v>
      </c>
      <c r="K20">
        <f t="shared" si="5"/>
        <v>0</v>
      </c>
      <c r="L20" s="10">
        <f t="shared" si="6"/>
        <v>945.67695719560925</v>
      </c>
    </row>
    <row r="21" spans="5:12">
      <c r="E21">
        <f t="shared" si="7"/>
        <v>8.4000000000000057</v>
      </c>
      <c r="F21">
        <f t="shared" si="0"/>
        <v>0.80000000000001137</v>
      </c>
      <c r="G21">
        <f t="shared" si="1"/>
        <v>17</v>
      </c>
      <c r="H21" s="1">
        <f t="shared" si="2"/>
        <v>549.07867889254339</v>
      </c>
      <c r="I21" s="1">
        <f t="shared" si="3"/>
        <v>406.77914406820901</v>
      </c>
      <c r="J21" s="1">
        <f t="shared" si="4"/>
        <v>955.8578229607524</v>
      </c>
      <c r="K21">
        <f t="shared" si="5"/>
        <v>9.9999999999994316</v>
      </c>
      <c r="L21" s="10">
        <f t="shared" si="6"/>
        <v>945.85782296075297</v>
      </c>
    </row>
    <row r="22" spans="5:12">
      <c r="E22">
        <f t="shared" si="7"/>
        <v>8.300000000000006</v>
      </c>
      <c r="F22">
        <f t="shared" si="0"/>
        <v>0.60000000000001208</v>
      </c>
      <c r="G22">
        <f t="shared" si="1"/>
        <v>17</v>
      </c>
      <c r="H22" s="1">
        <f t="shared" si="2"/>
        <v>554.98989020183103</v>
      </c>
      <c r="I22" s="1">
        <f t="shared" si="3"/>
        <v>411.158402577478</v>
      </c>
      <c r="J22" s="1">
        <f t="shared" si="4"/>
        <v>966.14829277930903</v>
      </c>
      <c r="K22">
        <f t="shared" si="5"/>
        <v>19.999999999999396</v>
      </c>
      <c r="L22" s="10">
        <f t="shared" si="6"/>
        <v>946.1482927793096</v>
      </c>
    </row>
    <row r="23" spans="5:12">
      <c r="E23">
        <f t="shared" si="7"/>
        <v>8.2000000000000064</v>
      </c>
      <c r="F23">
        <f t="shared" si="0"/>
        <v>0.40000000000001279</v>
      </c>
      <c r="G23">
        <f t="shared" si="1"/>
        <v>17</v>
      </c>
      <c r="H23" s="1">
        <f t="shared" si="2"/>
        <v>560.96473978462336</v>
      </c>
      <c r="I23" s="1">
        <f t="shared" si="3"/>
        <v>415.58480683000994</v>
      </c>
      <c r="J23" s="1">
        <f t="shared" si="4"/>
        <v>976.5495466146333</v>
      </c>
      <c r="K23">
        <f t="shared" si="5"/>
        <v>29.999999999999361</v>
      </c>
      <c r="L23" s="10">
        <f t="shared" si="6"/>
        <v>946.54954661463398</v>
      </c>
    </row>
    <row r="24" spans="5:12">
      <c r="E24">
        <f t="shared" si="7"/>
        <v>8.1000000000000068</v>
      </c>
      <c r="F24">
        <f t="shared" si="0"/>
        <v>0.2000000000000135</v>
      </c>
      <c r="G24">
        <f t="shared" si="1"/>
        <v>17</v>
      </c>
      <c r="H24" s="1">
        <f t="shared" si="2"/>
        <v>567.00391275089953</v>
      </c>
      <c r="I24" s="1">
        <f t="shared" si="3"/>
        <v>420.05886438230186</v>
      </c>
      <c r="J24" s="1">
        <f t="shared" si="4"/>
        <v>987.06277713320139</v>
      </c>
      <c r="K24">
        <f t="shared" si="5"/>
        <v>39.999999999999325</v>
      </c>
      <c r="L24" s="10">
        <f t="shared" si="6"/>
        <v>947.06277713320208</v>
      </c>
    </row>
    <row r="25" spans="5:12">
      <c r="E25">
        <f t="shared" si="7"/>
        <v>8.0000000000000071</v>
      </c>
      <c r="F25">
        <f t="shared" si="0"/>
        <v>1</v>
      </c>
      <c r="G25">
        <f t="shared" si="1"/>
        <v>16.000000000000014</v>
      </c>
      <c r="H25" s="1">
        <f t="shared" si="2"/>
        <v>523.10810158632091</v>
      </c>
      <c r="I25" s="1">
        <f t="shared" si="3"/>
        <v>424.58108825504695</v>
      </c>
      <c r="J25" s="1">
        <f t="shared" si="4"/>
        <v>947.68918984136781</v>
      </c>
      <c r="K25">
        <f t="shared" si="5"/>
        <v>0</v>
      </c>
      <c r="L25" s="10">
        <f t="shared" si="6"/>
        <v>947.68918984136781</v>
      </c>
    </row>
    <row r="26" spans="5:12">
      <c r="E26">
        <f t="shared" si="7"/>
        <v>7.9000000000000075</v>
      </c>
      <c r="F26">
        <f t="shared" si="0"/>
        <v>0.80000000000001492</v>
      </c>
      <c r="G26">
        <f t="shared" si="1"/>
        <v>16</v>
      </c>
      <c r="H26" s="1">
        <f t="shared" si="2"/>
        <v>528.73972168913303</v>
      </c>
      <c r="I26" s="1">
        <f t="shared" si="3"/>
        <v>429.1519969919604</v>
      </c>
      <c r="J26" s="1">
        <f t="shared" si="4"/>
        <v>957.89171868109338</v>
      </c>
      <c r="K26">
        <f t="shared" si="5"/>
        <v>9.9999999999992539</v>
      </c>
      <c r="L26" s="10">
        <f t="shared" si="6"/>
        <v>947.89171868109418</v>
      </c>
    </row>
    <row r="27" spans="5:12">
      <c r="E27">
        <f t="shared" si="7"/>
        <v>7.8000000000000078</v>
      </c>
      <c r="F27">
        <f t="shared" si="0"/>
        <v>0.60000000000001563</v>
      </c>
      <c r="G27">
        <f t="shared" si="1"/>
        <v>16</v>
      </c>
      <c r="H27" s="1">
        <f t="shared" si="2"/>
        <v>534.43197007295703</v>
      </c>
      <c r="I27" s="1">
        <f t="shared" si="3"/>
        <v>433.77211471923914</v>
      </c>
      <c r="J27" s="1">
        <f t="shared" si="4"/>
        <v>968.20408479219623</v>
      </c>
      <c r="K27">
        <f t="shared" si="5"/>
        <v>19.999999999999218</v>
      </c>
      <c r="L27" s="10">
        <f t="shared" si="6"/>
        <v>948.20408479219702</v>
      </c>
    </row>
    <row r="28" spans="5:12">
      <c r="E28">
        <f t="shared" si="7"/>
        <v>7.7000000000000082</v>
      </c>
      <c r="F28">
        <f t="shared" si="0"/>
        <v>0.40000000000001634</v>
      </c>
      <c r="G28">
        <f t="shared" si="1"/>
        <v>16</v>
      </c>
      <c r="H28" s="1">
        <f t="shared" si="2"/>
        <v>540.18549944312304</v>
      </c>
      <c r="I28" s="1">
        <f t="shared" si="3"/>
        <v>438.44197120566042</v>
      </c>
      <c r="J28" s="1">
        <f t="shared" si="4"/>
        <v>978.6274706487834</v>
      </c>
      <c r="K28">
        <f t="shared" si="5"/>
        <v>29.999999999999183</v>
      </c>
      <c r="L28" s="10">
        <f t="shared" si="6"/>
        <v>948.6274706487842</v>
      </c>
    </row>
    <row r="29" spans="5:12">
      <c r="E29">
        <f t="shared" si="7"/>
        <v>7.6000000000000085</v>
      </c>
      <c r="F29">
        <f t="shared" si="0"/>
        <v>0.20000000000001705</v>
      </c>
      <c r="G29">
        <f t="shared" si="1"/>
        <v>16</v>
      </c>
      <c r="H29" s="1">
        <f t="shared" si="2"/>
        <v>546.00096953178434</v>
      </c>
      <c r="I29" s="1">
        <f t="shared" si="3"/>
        <v>443.16210192332829</v>
      </c>
      <c r="J29" s="1">
        <f t="shared" si="4"/>
        <v>989.16307145511269</v>
      </c>
      <c r="K29">
        <f t="shared" si="5"/>
        <v>39.999999999999147</v>
      </c>
      <c r="L29" s="10">
        <f t="shared" si="6"/>
        <v>949.1630714551136</v>
      </c>
    </row>
    <row r="30" spans="5:12">
      <c r="E30">
        <f t="shared" si="7"/>
        <v>7.5000000000000089</v>
      </c>
      <c r="F30">
        <f t="shared" si="0"/>
        <v>1</v>
      </c>
      <c r="G30">
        <f t="shared" si="1"/>
        <v>15.000000000000018</v>
      </c>
      <c r="H30" s="1">
        <f t="shared" si="2"/>
        <v>501.87904717356872</v>
      </c>
      <c r="I30" s="1">
        <f t="shared" si="3"/>
        <v>447.93304810907443</v>
      </c>
      <c r="J30" s="1">
        <f t="shared" si="4"/>
        <v>949.81209528264321</v>
      </c>
      <c r="K30">
        <f t="shared" si="5"/>
        <v>0</v>
      </c>
      <c r="L30" s="10">
        <f t="shared" si="6"/>
        <v>949.81209528264321</v>
      </c>
    </row>
    <row r="31" spans="5:12">
      <c r="E31">
        <f t="shared" si="7"/>
        <v>7.4000000000000092</v>
      </c>
      <c r="F31">
        <f t="shared" si="0"/>
        <v>0.80000000000001847</v>
      </c>
      <c r="G31">
        <f t="shared" si="1"/>
        <v>15</v>
      </c>
      <c r="H31" s="1">
        <f t="shared" si="2"/>
        <v>507.28212183953474</v>
      </c>
      <c r="I31" s="1">
        <f t="shared" si="3"/>
        <v>452.75535682651815</v>
      </c>
      <c r="J31" s="1">
        <f t="shared" si="4"/>
        <v>960.03747866605295</v>
      </c>
      <c r="K31">
        <f t="shared" si="5"/>
        <v>9.9999999999990763</v>
      </c>
      <c r="L31" s="10">
        <f t="shared" si="6"/>
        <v>950.03747866605386</v>
      </c>
    </row>
    <row r="32" spans="5:12">
      <c r="E32">
        <f t="shared" si="7"/>
        <v>7.3000000000000096</v>
      </c>
      <c r="F32">
        <f t="shared" si="0"/>
        <v>0.60000000000001918</v>
      </c>
      <c r="G32">
        <f t="shared" si="1"/>
        <v>15</v>
      </c>
      <c r="H32" s="1">
        <f t="shared" si="2"/>
        <v>512.74336433699489</v>
      </c>
      <c r="I32" s="1">
        <f t="shared" si="3"/>
        <v>457.62958102879719</v>
      </c>
      <c r="J32" s="1">
        <f t="shared" si="4"/>
        <v>970.37294536579202</v>
      </c>
      <c r="K32">
        <f t="shared" si="5"/>
        <v>19.999999999999041</v>
      </c>
      <c r="L32" s="10">
        <f t="shared" si="6"/>
        <v>950.37294536579293</v>
      </c>
    </row>
    <row r="33" spans="5:12">
      <c r="E33">
        <f t="shared" si="7"/>
        <v>7.2000000000000099</v>
      </c>
      <c r="F33">
        <f t="shared" si="0"/>
        <v>0.4000000000000199</v>
      </c>
      <c r="G33">
        <f t="shared" si="1"/>
        <v>15</v>
      </c>
      <c r="H33" s="1">
        <f t="shared" si="2"/>
        <v>518.26340088283962</v>
      </c>
      <c r="I33" s="1">
        <f t="shared" si="3"/>
        <v>462.55627962197161</v>
      </c>
      <c r="J33" s="1">
        <f t="shared" si="4"/>
        <v>980.81968050481123</v>
      </c>
      <c r="K33">
        <f t="shared" si="5"/>
        <v>29.999999999999005</v>
      </c>
      <c r="L33" s="10">
        <f t="shared" si="6"/>
        <v>950.81968050481225</v>
      </c>
    </row>
    <row r="34" spans="5:12">
      <c r="E34">
        <f t="shared" si="7"/>
        <v>7.1000000000000103</v>
      </c>
      <c r="F34">
        <f t="shared" si="0"/>
        <v>0.20000000000002061</v>
      </c>
      <c r="G34">
        <f t="shared" si="1"/>
        <v>15</v>
      </c>
      <c r="H34" s="1">
        <f t="shared" si="2"/>
        <v>523.8428644356178</v>
      </c>
      <c r="I34" s="1">
        <f t="shared" si="3"/>
        <v>467.53601752911129</v>
      </c>
      <c r="J34" s="1">
        <f t="shared" si="4"/>
        <v>991.37888196472909</v>
      </c>
      <c r="K34">
        <f t="shared" si="5"/>
        <v>39.99999999999897</v>
      </c>
      <c r="L34" s="10">
        <f t="shared" si="6"/>
        <v>951.37888196473011</v>
      </c>
    </row>
    <row r="35" spans="5:12">
      <c r="E35">
        <f t="shared" si="7"/>
        <v>7.0000000000000107</v>
      </c>
      <c r="F35">
        <f t="shared" si="0"/>
        <v>1</v>
      </c>
      <c r="G35">
        <f t="shared" si="1"/>
        <v>14.000000000000021</v>
      </c>
      <c r="H35" s="1">
        <f t="shared" si="2"/>
        <v>479.48239476811506</v>
      </c>
      <c r="I35" s="1">
        <f t="shared" si="3"/>
        <v>472.56936575507342</v>
      </c>
      <c r="J35" s="1">
        <f t="shared" si="4"/>
        <v>952.05176052318848</v>
      </c>
      <c r="K35">
        <f t="shared" si="5"/>
        <v>0</v>
      </c>
      <c r="L35" s="10">
        <f t="shared" si="6"/>
        <v>952.05176052318848</v>
      </c>
    </row>
    <row r="36" spans="5:12">
      <c r="E36">
        <f t="shared" si="7"/>
        <v>6.900000000000011</v>
      </c>
      <c r="F36">
        <f t="shared" si="0"/>
        <v>0.80000000000002203</v>
      </c>
      <c r="G36">
        <f t="shared" si="1"/>
        <v>14</v>
      </c>
      <c r="H36" s="1">
        <f t="shared" si="2"/>
        <v>484.64435399820894</v>
      </c>
      <c r="I36" s="1">
        <f t="shared" si="3"/>
        <v>477.65690145197647</v>
      </c>
      <c r="J36" s="1">
        <f t="shared" si="4"/>
        <v>962.30125545018541</v>
      </c>
      <c r="K36">
        <f t="shared" si="5"/>
        <v>9.9999999999988987</v>
      </c>
      <c r="L36" s="10">
        <f t="shared" si="6"/>
        <v>952.30125545018655</v>
      </c>
    </row>
    <row r="37" spans="5:12">
      <c r="E37">
        <f t="shared" si="7"/>
        <v>6.8000000000000114</v>
      </c>
      <c r="F37">
        <f t="shared" si="0"/>
        <v>0.60000000000002274</v>
      </c>
      <c r="G37">
        <f t="shared" si="1"/>
        <v>14</v>
      </c>
      <c r="H37" s="1">
        <f t="shared" si="2"/>
        <v>489.86188528555516</v>
      </c>
      <c r="I37" s="1">
        <f t="shared" si="3"/>
        <v>482.79920798538086</v>
      </c>
      <c r="J37" s="1">
        <f t="shared" si="4"/>
        <v>972.66109327093602</v>
      </c>
      <c r="K37">
        <f t="shared" si="5"/>
        <v>19.999999999998863</v>
      </c>
      <c r="L37" s="10">
        <f t="shared" si="6"/>
        <v>952.66109327093716</v>
      </c>
    </row>
    <row r="38" spans="5:12">
      <c r="E38">
        <f t="shared" si="7"/>
        <v>6.7000000000000117</v>
      </c>
      <c r="F38">
        <f t="shared" si="0"/>
        <v>0.40000000000002345</v>
      </c>
      <c r="G38">
        <f t="shared" si="1"/>
        <v>14</v>
      </c>
      <c r="H38" s="1">
        <f t="shared" si="2"/>
        <v>495.13558690174119</v>
      </c>
      <c r="I38" s="1">
        <f t="shared" si="3"/>
        <v>487.99687500117989</v>
      </c>
      <c r="J38" s="1">
        <f t="shared" si="4"/>
        <v>983.13246190292102</v>
      </c>
      <c r="K38">
        <f t="shared" si="5"/>
        <v>29.999999999998828</v>
      </c>
      <c r="L38" s="10">
        <f t="shared" si="6"/>
        <v>953.13246190292216</v>
      </c>
    </row>
    <row r="39" spans="5:12">
      <c r="E39">
        <f t="shared" si="7"/>
        <v>6.6000000000000121</v>
      </c>
      <c r="F39">
        <f t="shared" si="0"/>
        <v>0.20000000000002416</v>
      </c>
      <c r="G39">
        <f t="shared" si="1"/>
        <v>14</v>
      </c>
      <c r="H39" s="1">
        <f t="shared" si="2"/>
        <v>500.46606355916225</v>
      </c>
      <c r="I39" s="1">
        <f t="shared" si="3"/>
        <v>493.25049849321221</v>
      </c>
      <c r="J39" s="1">
        <f t="shared" si="4"/>
        <v>993.71656205237446</v>
      </c>
      <c r="K39">
        <f t="shared" si="5"/>
        <v>39.999999999998792</v>
      </c>
      <c r="L39" s="10">
        <f t="shared" si="6"/>
        <v>953.71656205237571</v>
      </c>
    </row>
    <row r="40" spans="5:12">
      <c r="E40">
        <f t="shared" si="7"/>
        <v>6.5000000000000124</v>
      </c>
      <c r="F40">
        <f t="shared" si="0"/>
        <v>1</v>
      </c>
      <c r="G40">
        <f t="shared" si="1"/>
        <v>13.000000000000025</v>
      </c>
      <c r="H40" s="1">
        <f t="shared" si="2"/>
        <v>455.85392648036151</v>
      </c>
      <c r="I40" s="1">
        <f t="shared" si="3"/>
        <v>498.56068087160236</v>
      </c>
      <c r="J40" s="1">
        <f t="shared" si="4"/>
        <v>954.41460735196392</v>
      </c>
      <c r="K40">
        <f t="shared" si="5"/>
        <v>0</v>
      </c>
      <c r="L40" s="10">
        <f t="shared" si="6"/>
        <v>954.41460735196392</v>
      </c>
    </row>
    <row r="41" spans="5:12">
      <c r="E41">
        <f t="shared" si="7"/>
        <v>6.4000000000000128</v>
      </c>
      <c r="F41">
        <f t="shared" si="0"/>
        <v>0.80000000000002558</v>
      </c>
      <c r="G41">
        <f t="shared" si="1"/>
        <v>13</v>
      </c>
      <c r="H41" s="1">
        <f t="shared" si="2"/>
        <v>460.76150892560986</v>
      </c>
      <c r="I41" s="1">
        <f t="shared" si="3"/>
        <v>503.92803103183513</v>
      </c>
      <c r="J41" s="1">
        <f t="shared" si="4"/>
        <v>964.68953995744505</v>
      </c>
      <c r="K41">
        <f t="shared" si="5"/>
        <v>9.999999999998721</v>
      </c>
      <c r="L41" s="10">
        <f t="shared" si="6"/>
        <v>954.6895399574463</v>
      </c>
    </row>
    <row r="42" spans="5:12">
      <c r="E42">
        <f t="shared" si="7"/>
        <v>6.3000000000000131</v>
      </c>
      <c r="F42">
        <f t="shared" si="0"/>
        <v>0.60000000000002629</v>
      </c>
      <c r="G42">
        <f t="shared" si="1"/>
        <v>13</v>
      </c>
      <c r="H42" s="1">
        <f t="shared" si="2"/>
        <v>465.72192488628588</v>
      </c>
      <c r="I42" s="1">
        <f t="shared" si="3"/>
        <v>509.35316442457673</v>
      </c>
      <c r="J42" s="1">
        <f t="shared" si="4"/>
        <v>975.07508931086261</v>
      </c>
      <c r="K42">
        <f t="shared" si="5"/>
        <v>19.999999999998685</v>
      </c>
      <c r="L42" s="10">
        <f t="shared" si="6"/>
        <v>955.07508931086397</v>
      </c>
    </row>
    <row r="43" spans="5:12">
      <c r="E43">
        <f t="shared" si="7"/>
        <v>6.2000000000000135</v>
      </c>
      <c r="F43">
        <f t="shared" si="0"/>
        <v>0.400000000000027</v>
      </c>
      <c r="G43">
        <f t="shared" si="1"/>
        <v>13</v>
      </c>
      <c r="H43" s="1">
        <f t="shared" si="2"/>
        <v>470.73574315168202</v>
      </c>
      <c r="I43" s="1">
        <f t="shared" si="3"/>
        <v>514.83670312624474</v>
      </c>
      <c r="J43" s="1">
        <f t="shared" si="4"/>
        <v>985.5724462779267</v>
      </c>
      <c r="K43">
        <f t="shared" si="5"/>
        <v>29.99999999999865</v>
      </c>
      <c r="L43" s="10">
        <f t="shared" si="6"/>
        <v>955.57244627792807</v>
      </c>
    </row>
    <row r="44" spans="5:12">
      <c r="E44">
        <f t="shared" si="7"/>
        <v>6.1000000000000139</v>
      </c>
      <c r="F44">
        <f t="shared" si="0"/>
        <v>0.20000000000002771</v>
      </c>
      <c r="G44">
        <f t="shared" si="1"/>
        <v>13</v>
      </c>
      <c r="H44" s="1">
        <f t="shared" si="2"/>
        <v>475.80353863450142</v>
      </c>
      <c r="I44" s="1">
        <f t="shared" si="3"/>
        <v>520.37927591033883</v>
      </c>
      <c r="J44" s="1">
        <f t="shared" si="4"/>
        <v>996.18281454484031</v>
      </c>
      <c r="K44">
        <f t="shared" si="5"/>
        <v>39.999999999998614</v>
      </c>
      <c r="L44" s="10">
        <f t="shared" si="6"/>
        <v>956.18281454484168</v>
      </c>
    </row>
    <row r="45" spans="5:12">
      <c r="E45">
        <f t="shared" si="7"/>
        <v>6.0000000000000142</v>
      </c>
      <c r="F45">
        <f t="shared" si="0"/>
        <v>1</v>
      </c>
      <c r="G45">
        <f t="shared" si="1"/>
        <v>12.000000000000028</v>
      </c>
      <c r="H45" s="1">
        <f t="shared" si="2"/>
        <v>430.92589243678151</v>
      </c>
      <c r="I45" s="1">
        <f t="shared" si="3"/>
        <v>525.98151831954033</v>
      </c>
      <c r="J45" s="1">
        <f t="shared" si="4"/>
        <v>956.90741075632184</v>
      </c>
      <c r="K45">
        <f t="shared" si="5"/>
        <v>0</v>
      </c>
      <c r="L45" s="10">
        <f t="shared" si="6"/>
        <v>956.90741075632184</v>
      </c>
    </row>
    <row r="46" spans="5:12">
      <c r="E46">
        <f t="shared" si="7"/>
        <v>5.9000000000000146</v>
      </c>
      <c r="F46">
        <f t="shared" si="0"/>
        <v>0.80000000000002913</v>
      </c>
      <c r="G46">
        <f t="shared" si="1"/>
        <v>12</v>
      </c>
      <c r="H46" s="1">
        <f t="shared" si="2"/>
        <v>435.56510737401811</v>
      </c>
      <c r="I46" s="1">
        <f t="shared" si="3"/>
        <v>531.64407273858581</v>
      </c>
      <c r="J46" s="1">
        <f t="shared" si="4"/>
        <v>967.20918011260392</v>
      </c>
      <c r="K46">
        <f t="shared" si="5"/>
        <v>9.9999999999985434</v>
      </c>
      <c r="L46" s="10">
        <f t="shared" si="6"/>
        <v>957.2091801126054</v>
      </c>
    </row>
    <row r="47" spans="5:12">
      <c r="E47">
        <f t="shared" si="7"/>
        <v>5.8000000000000149</v>
      </c>
      <c r="F47">
        <f t="shared" si="0"/>
        <v>0.60000000000002984</v>
      </c>
      <c r="G47">
        <f t="shared" si="1"/>
        <v>12</v>
      </c>
      <c r="H47" s="1">
        <f t="shared" si="2"/>
        <v>440.254266665057</v>
      </c>
      <c r="I47" s="1">
        <f t="shared" si="3"/>
        <v>537.36758846792827</v>
      </c>
      <c r="J47" s="1">
        <f t="shared" si="4"/>
        <v>977.62185513298527</v>
      </c>
      <c r="K47">
        <f t="shared" si="5"/>
        <v>19.999999999998508</v>
      </c>
      <c r="L47" s="10">
        <f t="shared" si="6"/>
        <v>957.62185513298675</v>
      </c>
    </row>
    <row r="48" spans="5:12">
      <c r="E48">
        <f t="shared" si="7"/>
        <v>5.7000000000000153</v>
      </c>
      <c r="F48">
        <f t="shared" si="0"/>
        <v>0.40000000000003055</v>
      </c>
      <c r="G48">
        <f t="shared" si="1"/>
        <v>12</v>
      </c>
      <c r="H48" s="1">
        <f t="shared" si="2"/>
        <v>444.99390799536968</v>
      </c>
      <c r="I48" s="1">
        <f t="shared" si="3"/>
        <v>543.15272179818794</v>
      </c>
      <c r="J48" s="1">
        <f t="shared" si="4"/>
        <v>988.14662979355762</v>
      </c>
      <c r="K48">
        <f t="shared" si="5"/>
        <v>29.999999999998472</v>
      </c>
      <c r="L48" s="10">
        <f t="shared" si="6"/>
        <v>958.1466297935591</v>
      </c>
    </row>
    <row r="49" spans="5:12">
      <c r="E49">
        <f t="shared" si="7"/>
        <v>5.6000000000000156</v>
      </c>
      <c r="F49">
        <f t="shared" si="0"/>
        <v>0.20000000000003126</v>
      </c>
      <c r="G49">
        <f t="shared" si="1"/>
        <v>12</v>
      </c>
      <c r="H49" s="1">
        <f t="shared" si="2"/>
        <v>449.7845748389845</v>
      </c>
      <c r="I49" s="1">
        <f t="shared" si="3"/>
        <v>549.00013608540735</v>
      </c>
      <c r="J49" s="1">
        <f t="shared" si="4"/>
        <v>998.7847109243919</v>
      </c>
      <c r="K49">
        <f t="shared" si="5"/>
        <v>39.999999999998437</v>
      </c>
      <c r="L49" s="10">
        <f t="shared" si="6"/>
        <v>958.78471092439349</v>
      </c>
    </row>
    <row r="50" spans="5:12">
      <c r="E50">
        <f t="shared" si="7"/>
        <v>5.500000000000016</v>
      </c>
      <c r="F50">
        <f t="shared" si="0"/>
        <v>1</v>
      </c>
      <c r="G50">
        <f t="shared" si="1"/>
        <v>11.000000000000032</v>
      </c>
      <c r="H50" s="1">
        <f t="shared" si="2"/>
        <v>404.6268165208046</v>
      </c>
      <c r="I50" s="1">
        <f t="shared" si="3"/>
        <v>554.91050182711501</v>
      </c>
      <c r="J50" s="1">
        <f t="shared" si="4"/>
        <v>959.53731834791961</v>
      </c>
      <c r="K50">
        <f t="shared" si="5"/>
        <v>0</v>
      </c>
      <c r="L50" s="10">
        <f t="shared" si="6"/>
        <v>959.53731834791961</v>
      </c>
    </row>
    <row r="51" spans="5:12">
      <c r="E51">
        <f t="shared" si="7"/>
        <v>5.4000000000000163</v>
      </c>
      <c r="F51">
        <f t="shared" si="0"/>
        <v>0.80000000000003268</v>
      </c>
      <c r="G51">
        <f t="shared" si="1"/>
        <v>11</v>
      </c>
      <c r="H51" s="1">
        <f t="shared" si="2"/>
        <v>408.98290373708875</v>
      </c>
      <c r="I51" s="1">
        <f t="shared" si="3"/>
        <v>560.88449673920798</v>
      </c>
      <c r="J51" s="1">
        <f t="shared" si="4"/>
        <v>969.86740047629678</v>
      </c>
      <c r="K51">
        <f t="shared" si="5"/>
        <v>9.9999999999983658</v>
      </c>
      <c r="L51" s="10">
        <f t="shared" si="6"/>
        <v>959.86740047629837</v>
      </c>
    </row>
    <row r="52" spans="5:12">
      <c r="E52">
        <f t="shared" si="7"/>
        <v>5.3000000000000167</v>
      </c>
      <c r="F52">
        <f t="shared" si="0"/>
        <v>0.6000000000000334</v>
      </c>
      <c r="G52">
        <f t="shared" si="1"/>
        <v>11</v>
      </c>
      <c r="H52" s="1">
        <f t="shared" si="2"/>
        <v>413.38588724166055</v>
      </c>
      <c r="I52" s="1">
        <f t="shared" si="3"/>
        <v>566.92280583366426</v>
      </c>
      <c r="J52" s="1">
        <f t="shared" si="4"/>
        <v>980.30869307532475</v>
      </c>
      <c r="K52">
        <f t="shared" si="5"/>
        <v>19.99999999999833</v>
      </c>
      <c r="L52" s="10">
        <f t="shared" si="6"/>
        <v>960.30869307532646</v>
      </c>
    </row>
    <row r="53" spans="5:12">
      <c r="E53">
        <f t="shared" si="7"/>
        <v>5.2000000000000171</v>
      </c>
      <c r="F53">
        <f t="shared" si="0"/>
        <v>0.40000000000003411</v>
      </c>
      <c r="G53">
        <f t="shared" si="1"/>
        <v>11</v>
      </c>
      <c r="H53" s="1">
        <f t="shared" si="2"/>
        <v>417.83627190546031</v>
      </c>
      <c r="I53" s="1">
        <f t="shared" si="3"/>
        <v>573.0261214970883</v>
      </c>
      <c r="J53" s="1">
        <f t="shared" si="4"/>
        <v>990.86239340254861</v>
      </c>
      <c r="K53">
        <f t="shared" si="5"/>
        <v>29.999999999998295</v>
      </c>
      <c r="L53" s="10">
        <f t="shared" si="6"/>
        <v>960.86239340255031</v>
      </c>
    </row>
    <row r="54" spans="5:12">
      <c r="E54">
        <f t="shared" si="7"/>
        <v>5.1000000000000174</v>
      </c>
      <c r="F54">
        <f t="shared" si="0"/>
        <v>0.20000000000003482</v>
      </c>
      <c r="G54">
        <f t="shared" si="1"/>
        <v>11</v>
      </c>
      <c r="H54" s="1">
        <f t="shared" si="2"/>
        <v>422.33456803471415</v>
      </c>
      <c r="I54" s="1">
        <f t="shared" si="3"/>
        <v>579.19514357010473</v>
      </c>
      <c r="J54" s="1">
        <f t="shared" si="4"/>
        <v>1001.5297116048189</v>
      </c>
      <c r="K54">
        <f t="shared" si="5"/>
        <v>39.999999999998259</v>
      </c>
      <c r="L54" s="10">
        <f t="shared" si="6"/>
        <v>961.52971160482059</v>
      </c>
    </row>
    <row r="55" spans="5:12">
      <c r="E55">
        <f t="shared" si="7"/>
        <v>5.0000000000000178</v>
      </c>
      <c r="F55">
        <f t="shared" si="0"/>
        <v>1</v>
      </c>
      <c r="G55">
        <f t="shared" si="1"/>
        <v>10.000000000000036</v>
      </c>
      <c r="H55" s="1">
        <f t="shared" si="2"/>
        <v>376.88129142944899</v>
      </c>
      <c r="I55" s="1">
        <f t="shared" si="3"/>
        <v>585.43057942760606</v>
      </c>
      <c r="J55" s="1">
        <f t="shared" si="4"/>
        <v>962.31187085705506</v>
      </c>
      <c r="K55">
        <f t="shared" si="5"/>
        <v>0</v>
      </c>
      <c r="L55" s="10">
        <f t="shared" si="6"/>
        <v>962.31187085705506</v>
      </c>
    </row>
    <row r="56" spans="5:12">
      <c r="E56">
        <f t="shared" si="7"/>
        <v>4.9000000000000181</v>
      </c>
      <c r="F56">
        <f t="shared" si="0"/>
        <v>0.80000000000003624</v>
      </c>
      <c r="G56">
        <f t="shared" si="1"/>
        <v>10</v>
      </c>
      <c r="H56" s="1">
        <f t="shared" si="2"/>
        <v>380.93867890012831</v>
      </c>
      <c r="I56" s="1">
        <f t="shared" si="3"/>
        <v>591.73314405986423</v>
      </c>
      <c r="J56" s="1">
        <f t="shared" si="4"/>
        <v>972.6718229599926</v>
      </c>
      <c r="K56">
        <f t="shared" si="5"/>
        <v>9.9999999999981881</v>
      </c>
      <c r="L56" s="10">
        <f t="shared" si="6"/>
        <v>962.67182295999442</v>
      </c>
    </row>
    <row r="57" spans="5:12">
      <c r="E57">
        <f t="shared" si="7"/>
        <v>4.8000000000000185</v>
      </c>
      <c r="F57">
        <f t="shared" si="0"/>
        <v>0.60000000000003695</v>
      </c>
      <c r="G57">
        <f t="shared" si="1"/>
        <v>10</v>
      </c>
      <c r="H57" s="1">
        <f t="shared" si="2"/>
        <v>385.03974694997731</v>
      </c>
      <c r="I57" s="1">
        <f t="shared" si="3"/>
        <v>598.10356015451555</v>
      </c>
      <c r="J57" s="1">
        <f t="shared" si="4"/>
        <v>983.14330710449281</v>
      </c>
      <c r="K57">
        <f t="shared" si="5"/>
        <v>19.999999999998153</v>
      </c>
      <c r="L57" s="10">
        <f t="shared" si="6"/>
        <v>963.14330710449462</v>
      </c>
    </row>
    <row r="58" spans="5:12">
      <c r="E58">
        <f t="shared" si="7"/>
        <v>4.7000000000000188</v>
      </c>
      <c r="F58">
        <f t="shared" si="0"/>
        <v>0.40000000000003766</v>
      </c>
      <c r="G58">
        <f t="shared" si="1"/>
        <v>10</v>
      </c>
      <c r="H58" s="1">
        <f t="shared" si="2"/>
        <v>389.18496583060579</v>
      </c>
      <c r="I58" s="1">
        <f t="shared" si="3"/>
        <v>604.54255817942783</v>
      </c>
      <c r="J58" s="1">
        <f t="shared" si="4"/>
        <v>993.72752401003368</v>
      </c>
      <c r="K58">
        <f t="shared" si="5"/>
        <v>29.999999999998117</v>
      </c>
      <c r="L58" s="10">
        <f t="shared" si="6"/>
        <v>963.72752401003561</v>
      </c>
    </row>
    <row r="59" spans="5:12">
      <c r="E59">
        <f t="shared" si="7"/>
        <v>4.6000000000000192</v>
      </c>
      <c r="F59">
        <f t="shared" si="0"/>
        <v>0.20000000000003837</v>
      </c>
      <c r="G59">
        <f t="shared" si="1"/>
        <v>10</v>
      </c>
      <c r="H59" s="1">
        <f t="shared" si="2"/>
        <v>393.3748108562088</v>
      </c>
      <c r="I59" s="1">
        <f t="shared" si="3"/>
        <v>611.05087646646018</v>
      </c>
      <c r="J59" s="1">
        <f t="shared" si="4"/>
        <v>1004.425687322669</v>
      </c>
      <c r="K59">
        <f t="shared" si="5"/>
        <v>39.999999999998082</v>
      </c>
      <c r="L59" s="10">
        <f t="shared" si="6"/>
        <v>964.42568732267091</v>
      </c>
    </row>
    <row r="60" spans="5:12">
      <c r="E60">
        <f t="shared" si="7"/>
        <v>4.5000000000000195</v>
      </c>
      <c r="F60">
        <f t="shared" si="0"/>
        <v>1</v>
      </c>
      <c r="G60">
        <f t="shared" si="1"/>
        <v>9.0000000000000391</v>
      </c>
      <c r="H60" s="1">
        <f t="shared" si="2"/>
        <v>347.60976245806887</v>
      </c>
      <c r="I60" s="1">
        <f t="shared" si="3"/>
        <v>617.62926129612424</v>
      </c>
      <c r="J60" s="1">
        <f t="shared" si="4"/>
        <v>965.23902375419311</v>
      </c>
      <c r="K60">
        <f t="shared" si="5"/>
        <v>0</v>
      </c>
      <c r="L60" s="10">
        <f t="shared" si="6"/>
        <v>965.23902375419311</v>
      </c>
    </row>
    <row r="61" spans="5:12">
      <c r="E61">
        <f t="shared" si="7"/>
        <v>4.4000000000000199</v>
      </c>
      <c r="F61">
        <f t="shared" si="0"/>
        <v>0.80000000000003979</v>
      </c>
      <c r="G61">
        <f t="shared" si="1"/>
        <v>9</v>
      </c>
      <c r="H61" s="1">
        <f t="shared" si="2"/>
        <v>351.35202169713506</v>
      </c>
      <c r="I61" s="1">
        <f t="shared" si="3"/>
        <v>624.2784669831567</v>
      </c>
      <c r="J61" s="1">
        <f t="shared" si="4"/>
        <v>975.63048868029182</v>
      </c>
      <c r="K61">
        <f t="shared" si="5"/>
        <v>9.9999999999980105</v>
      </c>
      <c r="L61" s="10">
        <f t="shared" si="6"/>
        <v>965.63048868029387</v>
      </c>
    </row>
    <row r="62" spans="5:12">
      <c r="E62">
        <f t="shared" si="7"/>
        <v>4.3000000000000203</v>
      </c>
      <c r="F62">
        <f t="shared" si="0"/>
        <v>0.6000000000000405</v>
      </c>
      <c r="G62">
        <f t="shared" si="1"/>
        <v>9</v>
      </c>
      <c r="H62" s="1">
        <f t="shared" si="2"/>
        <v>355.13456894225152</v>
      </c>
      <c r="I62" s="1">
        <f t="shared" si="3"/>
        <v>630.99925596301398</v>
      </c>
      <c r="J62" s="1">
        <f t="shared" si="4"/>
        <v>986.13382490526556</v>
      </c>
      <c r="K62">
        <f t="shared" si="5"/>
        <v>19.999999999997975</v>
      </c>
      <c r="L62" s="10">
        <f t="shared" si="6"/>
        <v>966.1338249052676</v>
      </c>
    </row>
    <row r="63" spans="5:12">
      <c r="E63">
        <f t="shared" si="7"/>
        <v>4.2000000000000206</v>
      </c>
      <c r="F63">
        <f t="shared" si="0"/>
        <v>0.40000000000004121</v>
      </c>
      <c r="G63">
        <f t="shared" si="1"/>
        <v>9</v>
      </c>
      <c r="H63" s="1">
        <f t="shared" si="2"/>
        <v>358.95783792163434</v>
      </c>
      <c r="I63" s="1">
        <f t="shared" si="3"/>
        <v>637.79239887929623</v>
      </c>
      <c r="J63" s="1">
        <f t="shared" si="4"/>
        <v>996.75023680093057</v>
      </c>
      <c r="K63">
        <f t="shared" si="5"/>
        <v>29.999999999997939</v>
      </c>
      <c r="L63" s="10">
        <f t="shared" si="6"/>
        <v>966.75023680093261</v>
      </c>
    </row>
    <row r="64" spans="5:12">
      <c r="E64">
        <f t="shared" si="7"/>
        <v>4.100000000000021</v>
      </c>
      <c r="F64">
        <f t="shared" si="0"/>
        <v>0.20000000000004192</v>
      </c>
      <c r="G64">
        <f t="shared" si="1"/>
        <v>9</v>
      </c>
      <c r="H64" s="1">
        <f t="shared" si="2"/>
        <v>362.82226703288575</v>
      </c>
      <c r="I64" s="1">
        <f t="shared" si="3"/>
        <v>644.65867467211547</v>
      </c>
      <c r="J64" s="1">
        <f t="shared" si="4"/>
        <v>1007.4809417050012</v>
      </c>
      <c r="K64">
        <f t="shared" si="5"/>
        <v>39.999999999997904</v>
      </c>
      <c r="L64" s="10">
        <f t="shared" si="6"/>
        <v>967.48094170500326</v>
      </c>
    </row>
    <row r="65" spans="5:12">
      <c r="E65">
        <f t="shared" si="7"/>
        <v>4.0000000000000213</v>
      </c>
      <c r="F65">
        <f t="shared" si="0"/>
        <v>1</v>
      </c>
      <c r="G65">
        <f t="shared" si="1"/>
        <v>8.0000000000000426</v>
      </c>
      <c r="H65" s="1">
        <f t="shared" si="2"/>
        <v>316.72829939326277</v>
      </c>
      <c r="I65" s="1">
        <f t="shared" si="3"/>
        <v>651.59887066741101</v>
      </c>
      <c r="J65" s="1">
        <f t="shared" si="4"/>
        <v>968.32717006067378</v>
      </c>
      <c r="K65">
        <f t="shared" si="5"/>
        <v>0</v>
      </c>
      <c r="L65" s="10">
        <f t="shared" si="6"/>
        <v>968.32717006067378</v>
      </c>
    </row>
    <row r="66" spans="5:12">
      <c r="E66">
        <f t="shared" si="7"/>
        <v>3.9000000000000212</v>
      </c>
      <c r="F66">
        <f t="shared" si="0"/>
        <v>0.80000000000004245</v>
      </c>
      <c r="G66">
        <f t="shared" si="1"/>
        <v>8</v>
      </c>
      <c r="H66" s="1">
        <f t="shared" si="2"/>
        <v>320.13809834797718</v>
      </c>
      <c r="I66" s="1">
        <f t="shared" si="3"/>
        <v>658.61378266723023</v>
      </c>
      <c r="J66" s="1">
        <f t="shared" si="4"/>
        <v>978.75188101520735</v>
      </c>
      <c r="K66">
        <f t="shared" si="5"/>
        <v>9.9999999999978773</v>
      </c>
      <c r="L66" s="10">
        <f t="shared" si="6"/>
        <v>968.75188101520951</v>
      </c>
    </row>
    <row r="67" spans="5:12">
      <c r="E67">
        <f t="shared" si="7"/>
        <v>3.8000000000000211</v>
      </c>
      <c r="F67">
        <f t="shared" si="0"/>
        <v>0.60000000000004228</v>
      </c>
      <c r="G67">
        <f t="shared" si="1"/>
        <v>8</v>
      </c>
      <c r="H67" s="1">
        <f t="shared" si="2"/>
        <v>323.58460614410075</v>
      </c>
      <c r="I67" s="1">
        <f t="shared" si="3"/>
        <v>665.70421504097953</v>
      </c>
      <c r="J67" s="1">
        <f t="shared" si="4"/>
        <v>989.28882118508022</v>
      </c>
      <c r="K67">
        <f t="shared" si="5"/>
        <v>19.999999999997886</v>
      </c>
      <c r="L67" s="10">
        <f t="shared" si="6"/>
        <v>969.28882118508238</v>
      </c>
    </row>
    <row r="68" spans="5:12">
      <c r="E68">
        <f t="shared" si="7"/>
        <v>3.700000000000021</v>
      </c>
      <c r="F68">
        <f t="shared" si="0"/>
        <v>0.4000000000000421</v>
      </c>
      <c r="G68">
        <f t="shared" si="1"/>
        <v>8</v>
      </c>
      <c r="H68" s="1">
        <f t="shared" si="2"/>
        <v>327.06821797766952</v>
      </c>
      <c r="I68" s="1">
        <f t="shared" si="3"/>
        <v>672.8709808176576</v>
      </c>
      <c r="J68" s="1">
        <f t="shared" si="4"/>
        <v>999.93919879532712</v>
      </c>
      <c r="K68">
        <f t="shared" si="5"/>
        <v>29.999999999997897</v>
      </c>
      <c r="L68" s="10">
        <f t="shared" si="6"/>
        <v>969.93919879532928</v>
      </c>
    </row>
    <row r="69" spans="5:12">
      <c r="E69">
        <f t="shared" si="7"/>
        <v>3.600000000000021</v>
      </c>
      <c r="F69">
        <f t="shared" si="0"/>
        <v>0.20000000000004192</v>
      </c>
      <c r="G69">
        <f t="shared" si="1"/>
        <v>8</v>
      </c>
      <c r="H69" s="1">
        <f t="shared" si="2"/>
        <v>330.58933329927999</v>
      </c>
      <c r="I69" s="1">
        <f t="shared" si="3"/>
        <v>680.11490177908172</v>
      </c>
      <c r="J69" s="1">
        <f t="shared" si="4"/>
        <v>1010.7042350783618</v>
      </c>
      <c r="K69">
        <f t="shared" si="5"/>
        <v>39.999999999997904</v>
      </c>
      <c r="L69" s="10">
        <f t="shared" si="6"/>
        <v>970.70423507836381</v>
      </c>
    </row>
    <row r="70" spans="5:12">
      <c r="E70">
        <f t="shared" si="7"/>
        <v>3.5000000000000209</v>
      </c>
      <c r="F70">
        <f t="shared" si="0"/>
        <v>1</v>
      </c>
      <c r="G70">
        <f t="shared" si="1"/>
        <v>7.0000000000000417</v>
      </c>
      <c r="H70" s="1">
        <f t="shared" si="2"/>
        <v>284.14835585989221</v>
      </c>
      <c r="I70" s="1">
        <f t="shared" si="3"/>
        <v>687.43680855411856</v>
      </c>
      <c r="J70" s="1">
        <f t="shared" si="4"/>
        <v>971.58516441401071</v>
      </c>
      <c r="K70">
        <f t="shared" si="5"/>
        <v>0</v>
      </c>
      <c r="L70" s="10">
        <f t="shared" si="6"/>
        <v>971.58516441401071</v>
      </c>
    </row>
    <row r="71" spans="5:12">
      <c r="E71">
        <f t="shared" si="7"/>
        <v>3.4000000000000208</v>
      </c>
      <c r="F71">
        <f t="shared" ref="F71:F104" si="8">IF(E71/0.5 - INT(E71/0.5) &lt; 0.1, 1, E71/0.5 - INT(E71/0.5))</f>
        <v>0.80000000000004157</v>
      </c>
      <c r="G71">
        <f t="shared" ref="G71:G104" si="9">2*E71-F71+1</f>
        <v>7</v>
      </c>
      <c r="H71" s="1">
        <f t="shared" ref="H71:H104" si="10">(1+$C$10)^(1-F71)*$C$8*(1-1/(1+$C$10)^G71)/$C$10</f>
        <v>287.20740921461567</v>
      </c>
      <c r="I71" s="1">
        <f t="shared" ref="I71:I104" si="11">$C$2/(1+$C$10)^G71*(1+$C$10)^(1-F71)</f>
        <v>694.83754071392786</v>
      </c>
      <c r="J71" s="1">
        <f t="shared" ref="J71:J104" si="12">H71+I71</f>
        <v>982.04494992854347</v>
      </c>
      <c r="K71">
        <f t="shared" ref="K71:K104" si="13">$C$8*(1-F71)</f>
        <v>9.9999999999979217</v>
      </c>
      <c r="L71" s="10">
        <f t="shared" ref="L71:L104" si="14">J71-K71</f>
        <v>972.04494992854552</v>
      </c>
    </row>
    <row r="72" spans="5:12">
      <c r="E72">
        <f t="shared" ref="E72:E104" si="15">E71-0.1</f>
        <v>3.3000000000000207</v>
      </c>
      <c r="F72">
        <f t="shared" si="8"/>
        <v>0.60000000000004139</v>
      </c>
      <c r="G72">
        <f t="shared" si="9"/>
        <v>7</v>
      </c>
      <c r="H72" s="1">
        <f t="shared" si="10"/>
        <v>290.29939539205179</v>
      </c>
      <c r="I72" s="1">
        <f t="shared" si="11"/>
        <v>702.31794686823343</v>
      </c>
      <c r="J72" s="1">
        <f t="shared" si="12"/>
        <v>992.61734226028523</v>
      </c>
      <c r="K72">
        <f t="shared" si="13"/>
        <v>19.999999999997932</v>
      </c>
      <c r="L72" s="10">
        <f t="shared" si="14"/>
        <v>972.61734226028727</v>
      </c>
    </row>
    <row r="73" spans="5:12">
      <c r="E73">
        <f t="shared" si="15"/>
        <v>3.2000000000000206</v>
      </c>
      <c r="F73">
        <f t="shared" si="8"/>
        <v>0.40000000000004121</v>
      </c>
      <c r="G73">
        <f t="shared" si="9"/>
        <v>7</v>
      </c>
      <c r="H73" s="1">
        <f t="shared" si="10"/>
        <v>293.4246689367867</v>
      </c>
      <c r="I73" s="1">
        <f t="shared" si="11"/>
        <v>709.87888476262867</v>
      </c>
      <c r="J73" s="1">
        <f t="shared" si="12"/>
        <v>1003.3035536994154</v>
      </c>
      <c r="K73">
        <f t="shared" si="13"/>
        <v>29.999999999997939</v>
      </c>
      <c r="L73" s="10">
        <f t="shared" si="14"/>
        <v>973.30355369941742</v>
      </c>
    </row>
    <row r="74" spans="5:12">
      <c r="E74">
        <f t="shared" si="15"/>
        <v>3.1000000000000205</v>
      </c>
      <c r="F74">
        <f t="shared" si="8"/>
        <v>0.20000000000004103</v>
      </c>
      <c r="G74">
        <f t="shared" si="9"/>
        <v>7</v>
      </c>
      <c r="H74" s="1">
        <f t="shared" si="10"/>
        <v>296.5835882103259</v>
      </c>
      <c r="I74" s="1">
        <f t="shared" si="11"/>
        <v>717.52122137693118</v>
      </c>
      <c r="J74" s="1">
        <f t="shared" si="12"/>
        <v>1014.104809587257</v>
      </c>
      <c r="K74">
        <f t="shared" si="13"/>
        <v>39.999999999997947</v>
      </c>
      <c r="L74" s="10">
        <f t="shared" si="14"/>
        <v>974.10480958725907</v>
      </c>
    </row>
    <row r="75" spans="5:12">
      <c r="E75">
        <f t="shared" si="15"/>
        <v>3.0000000000000204</v>
      </c>
      <c r="F75">
        <f t="shared" si="8"/>
        <v>1</v>
      </c>
      <c r="G75">
        <f t="shared" si="9"/>
        <v>6.0000000000000409</v>
      </c>
      <c r="H75" s="1">
        <f t="shared" si="10"/>
        <v>249.77651543218627</v>
      </c>
      <c r="I75" s="1">
        <f t="shared" si="11"/>
        <v>725.24583302459507</v>
      </c>
      <c r="J75" s="1">
        <f t="shared" si="12"/>
        <v>975.0223484567814</v>
      </c>
      <c r="K75">
        <f t="shared" si="13"/>
        <v>0</v>
      </c>
      <c r="L75" s="10">
        <f t="shared" si="14"/>
        <v>975.0223484567814</v>
      </c>
    </row>
    <row r="76" spans="5:12">
      <c r="E76">
        <f t="shared" si="15"/>
        <v>2.9000000000000203</v>
      </c>
      <c r="F76">
        <f t="shared" si="8"/>
        <v>0.80000000000004068</v>
      </c>
      <c r="G76">
        <f t="shared" si="9"/>
        <v>6</v>
      </c>
      <c r="H76" s="1">
        <f t="shared" si="10"/>
        <v>252.4655321789194</v>
      </c>
      <c r="I76" s="1">
        <f t="shared" si="11"/>
        <v>733.05360545319377</v>
      </c>
      <c r="J76" s="1">
        <f t="shared" si="12"/>
        <v>985.51913763211314</v>
      </c>
      <c r="K76">
        <f t="shared" si="13"/>
        <v>9.9999999999979661</v>
      </c>
      <c r="L76" s="10">
        <f t="shared" si="14"/>
        <v>975.51913763211519</v>
      </c>
    </row>
    <row r="77" spans="5:12">
      <c r="E77">
        <f t="shared" si="15"/>
        <v>2.8000000000000203</v>
      </c>
      <c r="F77">
        <f t="shared" si="8"/>
        <v>0.6000000000000405</v>
      </c>
      <c r="G77">
        <f t="shared" si="9"/>
        <v>6</v>
      </c>
      <c r="H77" s="1">
        <f t="shared" si="10"/>
        <v>255.18349804864027</v>
      </c>
      <c r="I77" s="1">
        <f t="shared" si="11"/>
        <v>740.94543394598634</v>
      </c>
      <c r="J77" s="1">
        <f t="shared" si="12"/>
        <v>996.12893199462656</v>
      </c>
      <c r="K77">
        <f t="shared" si="13"/>
        <v>19.999999999997975</v>
      </c>
      <c r="L77" s="10">
        <f t="shared" si="14"/>
        <v>976.1289319946286</v>
      </c>
    </row>
    <row r="78" spans="5:12">
      <c r="E78">
        <f t="shared" si="15"/>
        <v>2.7000000000000202</v>
      </c>
      <c r="F78">
        <f t="shared" si="8"/>
        <v>0.40000000000004032</v>
      </c>
      <c r="G78">
        <f t="shared" si="9"/>
        <v>6</v>
      </c>
      <c r="H78" s="1">
        <f t="shared" si="10"/>
        <v>257.93072469865535</v>
      </c>
      <c r="I78" s="1">
        <f t="shared" si="11"/>
        <v>748.9222234245733</v>
      </c>
      <c r="J78" s="1">
        <f t="shared" si="12"/>
        <v>1006.8529481232287</v>
      </c>
      <c r="K78">
        <f t="shared" si="13"/>
        <v>29.999999999997982</v>
      </c>
      <c r="L78" s="10">
        <f t="shared" si="14"/>
        <v>976.8529481232307</v>
      </c>
    </row>
    <row r="79" spans="5:12">
      <c r="E79">
        <f t="shared" si="15"/>
        <v>2.6000000000000201</v>
      </c>
      <c r="F79">
        <f t="shared" si="8"/>
        <v>0.20000000000004015</v>
      </c>
      <c r="G79">
        <f t="shared" si="9"/>
        <v>6</v>
      </c>
      <c r="H79" s="1">
        <f t="shared" si="10"/>
        <v>260.70752714147943</v>
      </c>
      <c r="I79" s="1">
        <f t="shared" si="11"/>
        <v>756.98488855266237</v>
      </c>
      <c r="J79" s="1">
        <f t="shared" si="12"/>
        <v>1017.6924156941418</v>
      </c>
      <c r="K79">
        <f t="shared" si="13"/>
        <v>39.999999999997996</v>
      </c>
      <c r="L79" s="10">
        <f t="shared" si="14"/>
        <v>977.69241569414385</v>
      </c>
    </row>
    <row r="80" spans="5:12">
      <c r="E80">
        <f t="shared" si="15"/>
        <v>2.50000000000002</v>
      </c>
      <c r="F80">
        <f t="shared" si="8"/>
        <v>1</v>
      </c>
      <c r="G80">
        <f t="shared" si="9"/>
        <v>5.00000000000004</v>
      </c>
      <c r="H80" s="1">
        <f t="shared" si="10"/>
        <v>213.51422378095651</v>
      </c>
      <c r="I80" s="1">
        <f t="shared" si="11"/>
        <v>765.13435384094782</v>
      </c>
      <c r="J80" s="1">
        <f t="shared" si="12"/>
        <v>978.64857762190434</v>
      </c>
      <c r="K80">
        <f t="shared" si="13"/>
        <v>0</v>
      </c>
      <c r="L80" s="10">
        <f t="shared" si="14"/>
        <v>978.64857762190434</v>
      </c>
    </row>
    <row r="81" spans="5:12">
      <c r="E81">
        <f t="shared" si="15"/>
        <v>2.4000000000000199</v>
      </c>
      <c r="F81">
        <f t="shared" si="8"/>
        <v>0.80000000000003979</v>
      </c>
      <c r="G81">
        <f t="shared" si="9"/>
        <v>5</v>
      </c>
      <c r="H81" s="1">
        <f t="shared" si="10"/>
        <v>215.81285190625968</v>
      </c>
      <c r="I81" s="1">
        <f t="shared" si="11"/>
        <v>773.37155375311966</v>
      </c>
      <c r="J81" s="1">
        <f t="shared" si="12"/>
        <v>989.18440565937931</v>
      </c>
      <c r="K81">
        <f t="shared" si="13"/>
        <v>9.9999999999980105</v>
      </c>
      <c r="L81" s="10">
        <f t="shared" si="14"/>
        <v>979.18440565938135</v>
      </c>
    </row>
    <row r="82" spans="5:12">
      <c r="E82">
        <f t="shared" si="15"/>
        <v>2.3000000000000198</v>
      </c>
      <c r="F82">
        <f t="shared" si="8"/>
        <v>0.60000000000003961</v>
      </c>
      <c r="G82">
        <f t="shared" si="9"/>
        <v>5</v>
      </c>
      <c r="H82" s="1">
        <f t="shared" si="10"/>
        <v>218.13622635134092</v>
      </c>
      <c r="I82" s="1">
        <f t="shared" si="11"/>
        <v>781.69743281301555</v>
      </c>
      <c r="J82" s="1">
        <f t="shared" si="12"/>
        <v>999.8336591643565</v>
      </c>
      <c r="K82">
        <f t="shared" si="13"/>
        <v>19.999999999998018</v>
      </c>
      <c r="L82" s="10">
        <f t="shared" si="14"/>
        <v>979.83365916435844</v>
      </c>
    </row>
    <row r="83" spans="5:12">
      <c r="E83">
        <f t="shared" si="15"/>
        <v>2.2000000000000197</v>
      </c>
      <c r="F83">
        <f t="shared" si="8"/>
        <v>0.40000000000003944</v>
      </c>
      <c r="G83">
        <f t="shared" si="9"/>
        <v>5</v>
      </c>
      <c r="H83" s="1">
        <f t="shared" si="10"/>
        <v>220.48461352742666</v>
      </c>
      <c r="I83" s="1">
        <f t="shared" si="11"/>
        <v>790.1129457129249</v>
      </c>
      <c r="J83" s="1">
        <f t="shared" si="12"/>
        <v>1010.5975592403515</v>
      </c>
      <c r="K83">
        <f t="shared" si="13"/>
        <v>29.999999999998028</v>
      </c>
      <c r="L83" s="10">
        <f t="shared" si="14"/>
        <v>980.59755924035346</v>
      </c>
    </row>
    <row r="84" spans="5:12">
      <c r="E84">
        <f t="shared" si="15"/>
        <v>2.1000000000000196</v>
      </c>
      <c r="F84">
        <f t="shared" si="8"/>
        <v>0.20000000000003926</v>
      </c>
      <c r="G84">
        <f t="shared" si="9"/>
        <v>5</v>
      </c>
      <c r="H84" s="1">
        <f t="shared" si="10"/>
        <v>222.85828271384631</v>
      </c>
      <c r="I84" s="1">
        <f t="shared" si="11"/>
        <v>798.61905742305896</v>
      </c>
      <c r="J84" s="1">
        <f t="shared" si="12"/>
        <v>1021.4773401369052</v>
      </c>
      <c r="K84">
        <f t="shared" si="13"/>
        <v>39.999999999998039</v>
      </c>
      <c r="L84" s="10">
        <f t="shared" si="14"/>
        <v>981.47734013690717</v>
      </c>
    </row>
    <row r="85" spans="5:12">
      <c r="E85">
        <f t="shared" si="15"/>
        <v>2.0000000000000195</v>
      </c>
      <c r="F85">
        <f t="shared" si="8"/>
        <v>1</v>
      </c>
      <c r="G85">
        <f t="shared" si="9"/>
        <v>4.0000000000000391</v>
      </c>
      <c r="H85" s="1">
        <f t="shared" si="10"/>
        <v>175.25750608890914</v>
      </c>
      <c r="I85" s="1">
        <f t="shared" si="11"/>
        <v>807.21674330219992</v>
      </c>
      <c r="J85" s="1">
        <f t="shared" si="12"/>
        <v>982.47424939110908</v>
      </c>
      <c r="K85">
        <f t="shared" si="13"/>
        <v>0</v>
      </c>
      <c r="L85" s="10">
        <f t="shared" si="14"/>
        <v>982.47424939110908</v>
      </c>
    </row>
    <row r="86" spans="5:12">
      <c r="E86">
        <f t="shared" si="15"/>
        <v>1.9000000000000195</v>
      </c>
      <c r="F86">
        <f t="shared" si="8"/>
        <v>0.8000000000000389</v>
      </c>
      <c r="G86">
        <f t="shared" si="9"/>
        <v>4</v>
      </c>
      <c r="H86" s="1">
        <f t="shared" si="10"/>
        <v>177.14427421860373</v>
      </c>
      <c r="I86" s="1">
        <f t="shared" si="11"/>
        <v>815.90698920954117</v>
      </c>
      <c r="J86" s="1">
        <f t="shared" si="12"/>
        <v>993.05126342814492</v>
      </c>
      <c r="K86">
        <f t="shared" si="13"/>
        <v>9.9999999999980549</v>
      </c>
      <c r="L86" s="10">
        <f t="shared" si="14"/>
        <v>983.05126342814685</v>
      </c>
    </row>
    <row r="87" spans="5:12">
      <c r="E87">
        <f t="shared" si="15"/>
        <v>1.8000000000000194</v>
      </c>
      <c r="F87">
        <f t="shared" si="8"/>
        <v>0.60000000000003872</v>
      </c>
      <c r="G87">
        <f t="shared" si="9"/>
        <v>4</v>
      </c>
      <c r="H87" s="1">
        <f t="shared" si="10"/>
        <v>179.05135471069016</v>
      </c>
      <c r="I87" s="1">
        <f t="shared" si="11"/>
        <v>824.69079161773129</v>
      </c>
      <c r="J87" s="1">
        <f t="shared" si="12"/>
        <v>1003.7421463284214</v>
      </c>
      <c r="K87">
        <f t="shared" si="13"/>
        <v>19.999999999998064</v>
      </c>
      <c r="L87" s="10">
        <f t="shared" si="14"/>
        <v>983.74214632842336</v>
      </c>
    </row>
    <row r="88" spans="5:12">
      <c r="E88">
        <f t="shared" si="15"/>
        <v>1.7000000000000193</v>
      </c>
      <c r="F88">
        <f t="shared" si="8"/>
        <v>0.40000000000003855</v>
      </c>
      <c r="G88">
        <f t="shared" si="9"/>
        <v>4</v>
      </c>
      <c r="H88" s="1">
        <f t="shared" si="10"/>
        <v>180.97896624178043</v>
      </c>
      <c r="I88" s="1">
        <f t="shared" si="11"/>
        <v>833.56915772713569</v>
      </c>
      <c r="J88" s="1">
        <f t="shared" si="12"/>
        <v>1014.5481239689161</v>
      </c>
      <c r="K88">
        <f t="shared" si="13"/>
        <v>29.999999999998074</v>
      </c>
      <c r="L88" s="10">
        <f t="shared" si="14"/>
        <v>984.54812396891805</v>
      </c>
    </row>
    <row r="89" spans="5:12">
      <c r="E89">
        <f t="shared" si="15"/>
        <v>1.6000000000000192</v>
      </c>
      <c r="F89">
        <f t="shared" si="8"/>
        <v>0.20000000000003837</v>
      </c>
      <c r="G89">
        <f t="shared" si="9"/>
        <v>4</v>
      </c>
      <c r="H89" s="1">
        <f t="shared" si="10"/>
        <v>182.92732984269338</v>
      </c>
      <c r="I89" s="1">
        <f t="shared" si="11"/>
        <v>842.54310558132715</v>
      </c>
      <c r="J89" s="1">
        <f t="shared" si="12"/>
        <v>1025.4704354240205</v>
      </c>
      <c r="K89">
        <f t="shared" si="13"/>
        <v>39.999999999998082</v>
      </c>
      <c r="L89" s="10">
        <f t="shared" si="14"/>
        <v>985.47043542402241</v>
      </c>
    </row>
    <row r="90" spans="5:12">
      <c r="E90">
        <f t="shared" si="15"/>
        <v>1.5000000000000191</v>
      </c>
      <c r="F90">
        <f t="shared" si="8"/>
        <v>1</v>
      </c>
      <c r="G90">
        <f t="shared" si="9"/>
        <v>3.0000000000000382</v>
      </c>
      <c r="H90" s="1">
        <f t="shared" si="10"/>
        <v>134.89666892379918</v>
      </c>
      <c r="I90" s="1">
        <f t="shared" si="11"/>
        <v>851.6136641838209</v>
      </c>
      <c r="J90" s="1">
        <f t="shared" si="12"/>
        <v>986.51033310762011</v>
      </c>
      <c r="K90">
        <f t="shared" si="13"/>
        <v>0</v>
      </c>
      <c r="L90" s="10">
        <f t="shared" si="14"/>
        <v>986.51033310762011</v>
      </c>
    </row>
    <row r="91" spans="5:12">
      <c r="E91">
        <f t="shared" si="15"/>
        <v>1.400000000000019</v>
      </c>
      <c r="F91">
        <f t="shared" si="8"/>
        <v>0.80000000000003801</v>
      </c>
      <c r="G91">
        <f t="shared" si="9"/>
        <v>3</v>
      </c>
      <c r="H91" s="1">
        <f t="shared" si="10"/>
        <v>136.34892475812669</v>
      </c>
      <c r="I91" s="1">
        <f t="shared" si="11"/>
        <v>860.78187361606592</v>
      </c>
      <c r="J91" s="1">
        <f t="shared" si="12"/>
        <v>997.13079837419264</v>
      </c>
      <c r="K91">
        <f t="shared" si="13"/>
        <v>9.9999999999980993</v>
      </c>
      <c r="L91" s="10">
        <f t="shared" si="14"/>
        <v>987.13079837419457</v>
      </c>
    </row>
    <row r="92" spans="5:12">
      <c r="E92">
        <f t="shared" si="15"/>
        <v>1.3000000000000189</v>
      </c>
      <c r="F92">
        <f t="shared" si="8"/>
        <v>0.60000000000003784</v>
      </c>
      <c r="G92">
        <f t="shared" si="9"/>
        <v>3</v>
      </c>
      <c r="H92" s="1">
        <f t="shared" si="10"/>
        <v>137.81681512980362</v>
      </c>
      <c r="I92" s="1">
        <f t="shared" si="11"/>
        <v>870.04878515670657</v>
      </c>
      <c r="J92" s="1">
        <f t="shared" si="12"/>
        <v>1007.8656002865102</v>
      </c>
      <c r="K92">
        <f t="shared" si="13"/>
        <v>19.99999999999811</v>
      </c>
      <c r="L92" s="10">
        <f t="shared" si="14"/>
        <v>987.86560028651218</v>
      </c>
    </row>
    <row r="93" spans="5:12">
      <c r="E93">
        <f t="shared" si="15"/>
        <v>1.2000000000000188</v>
      </c>
      <c r="F93">
        <f t="shared" si="8"/>
        <v>0.40000000000003766</v>
      </c>
      <c r="G93">
        <f t="shared" si="9"/>
        <v>3</v>
      </c>
      <c r="H93" s="1">
        <f t="shared" si="10"/>
        <v>139.30050835542369</v>
      </c>
      <c r="I93" s="1">
        <f t="shared" si="11"/>
        <v>879.41546140212813</v>
      </c>
      <c r="J93" s="1">
        <f t="shared" si="12"/>
        <v>1018.7159697575519</v>
      </c>
      <c r="K93">
        <f t="shared" si="13"/>
        <v>29.999999999998117</v>
      </c>
      <c r="L93" s="10">
        <f t="shared" si="14"/>
        <v>988.71596975755381</v>
      </c>
    </row>
    <row r="94" spans="5:12">
      <c r="E94">
        <f t="shared" si="15"/>
        <v>1.1000000000000187</v>
      </c>
      <c r="F94">
        <f t="shared" si="8"/>
        <v>0.20000000000003748</v>
      </c>
      <c r="G94">
        <f t="shared" si="9"/>
        <v>3</v>
      </c>
      <c r="H94" s="1">
        <f t="shared" si="10"/>
        <v>140.80017456362705</v>
      </c>
      <c r="I94" s="1">
        <f t="shared" si="11"/>
        <v>888.88297638830011</v>
      </c>
      <c r="J94" s="1">
        <f t="shared" si="12"/>
        <v>1029.6831509519272</v>
      </c>
      <c r="K94">
        <f t="shared" si="13"/>
        <v>39.999999999998124</v>
      </c>
      <c r="L94" s="10">
        <f t="shared" si="14"/>
        <v>989.68315095192906</v>
      </c>
    </row>
    <row r="95" spans="5:12">
      <c r="E95">
        <f t="shared" si="15"/>
        <v>1.0000000000000187</v>
      </c>
      <c r="F95">
        <f t="shared" si="8"/>
        <v>1</v>
      </c>
      <c r="G95">
        <f t="shared" si="9"/>
        <v>2.0000000000000373</v>
      </c>
      <c r="H95" s="1">
        <f t="shared" si="10"/>
        <v>92.315985714608203</v>
      </c>
      <c r="I95" s="1">
        <f t="shared" si="11"/>
        <v>898.45241571393103</v>
      </c>
      <c r="J95" s="1">
        <f t="shared" si="12"/>
        <v>990.76840142853928</v>
      </c>
      <c r="K95">
        <f t="shared" si="13"/>
        <v>0</v>
      </c>
      <c r="L95" s="10">
        <f t="shared" si="14"/>
        <v>990.76840142853928</v>
      </c>
    </row>
    <row r="96" spans="5:12">
      <c r="E96">
        <f t="shared" si="15"/>
        <v>0.90000000000001867</v>
      </c>
      <c r="F96">
        <f t="shared" si="8"/>
        <v>0.80000000000003735</v>
      </c>
      <c r="G96">
        <f t="shared" si="9"/>
        <v>2</v>
      </c>
      <c r="H96" s="1">
        <f t="shared" si="10"/>
        <v>93.309831077323452</v>
      </c>
      <c r="I96" s="1">
        <f t="shared" si="11"/>
        <v>908.12487666494951</v>
      </c>
      <c r="J96" s="1">
        <f t="shared" si="12"/>
        <v>1001.434707742273</v>
      </c>
      <c r="K96">
        <f t="shared" si="13"/>
        <v>9.999999999998133</v>
      </c>
      <c r="L96" s="10">
        <f t="shared" si="14"/>
        <v>991.43470774227478</v>
      </c>
    </row>
    <row r="97" spans="5:12">
      <c r="E97">
        <f t="shared" si="15"/>
        <v>0.8000000000000187</v>
      </c>
      <c r="F97">
        <f t="shared" si="8"/>
        <v>0.60000000000003739</v>
      </c>
      <c r="G97">
        <f t="shared" si="9"/>
        <v>2</v>
      </c>
      <c r="H97" s="1">
        <f t="shared" si="10"/>
        <v>94.314375871968323</v>
      </c>
      <c r="I97" s="1">
        <f t="shared" si="11"/>
        <v>917.90146834032544</v>
      </c>
      <c r="J97" s="1">
        <f t="shared" si="12"/>
        <v>1012.2158442122937</v>
      </c>
      <c r="K97">
        <f t="shared" si="13"/>
        <v>19.999999999998131</v>
      </c>
      <c r="L97" s="10">
        <f t="shared" si="14"/>
        <v>992.21584421229556</v>
      </c>
    </row>
    <row r="98" spans="5:12">
      <c r="E98">
        <f t="shared" si="15"/>
        <v>0.70000000000001872</v>
      </c>
      <c r="F98">
        <f t="shared" si="8"/>
        <v>0.40000000000003744</v>
      </c>
      <c r="G98">
        <f t="shared" si="9"/>
        <v>2</v>
      </c>
      <c r="H98" s="1">
        <f t="shared" si="10"/>
        <v>95.329735285317327</v>
      </c>
      <c r="I98" s="1">
        <f t="shared" si="11"/>
        <v>927.7833117792452</v>
      </c>
      <c r="J98" s="1">
        <f t="shared" si="12"/>
        <v>1023.1130470645626</v>
      </c>
      <c r="K98">
        <f t="shared" si="13"/>
        <v>29.999999999998128</v>
      </c>
      <c r="L98" s="10">
        <f t="shared" si="14"/>
        <v>993.1130470645644</v>
      </c>
    </row>
    <row r="99" spans="5:12">
      <c r="E99">
        <f t="shared" si="15"/>
        <v>0.60000000000001874</v>
      </c>
      <c r="F99">
        <f t="shared" si="8"/>
        <v>0.20000000000003748</v>
      </c>
      <c r="G99">
        <f t="shared" si="9"/>
        <v>2</v>
      </c>
      <c r="H99" s="1">
        <f t="shared" si="10"/>
        <v>96.356025744212104</v>
      </c>
      <c r="I99" s="1">
        <f t="shared" si="11"/>
        <v>937.7715400896567</v>
      </c>
      <c r="J99" s="1">
        <f t="shared" si="12"/>
        <v>1034.1275658338689</v>
      </c>
      <c r="K99">
        <f t="shared" si="13"/>
        <v>39.999999999998124</v>
      </c>
      <c r="L99" s="10">
        <f t="shared" si="14"/>
        <v>994.12756583387068</v>
      </c>
    </row>
    <row r="100" spans="5:12">
      <c r="E100">
        <f t="shared" si="15"/>
        <v>0.50000000000001876</v>
      </c>
      <c r="F100">
        <f t="shared" si="8"/>
        <v>1</v>
      </c>
      <c r="G100">
        <f t="shared" si="9"/>
        <v>1.0000000000000375</v>
      </c>
      <c r="H100" s="1">
        <f t="shared" si="10"/>
        <v>47.393364928911751</v>
      </c>
      <c r="I100" s="1">
        <f t="shared" si="11"/>
        <v>947.86729857819716</v>
      </c>
      <c r="J100" s="1">
        <f t="shared" si="12"/>
        <v>995.26066350710892</v>
      </c>
      <c r="K100">
        <f t="shared" si="13"/>
        <v>0</v>
      </c>
      <c r="L100" s="10">
        <f t="shared" si="14"/>
        <v>995.26066350710892</v>
      </c>
    </row>
    <row r="101" spans="5:12">
      <c r="E101">
        <f t="shared" si="15"/>
        <v>0.40000000000001878</v>
      </c>
      <c r="F101">
        <f t="shared" si="8"/>
        <v>0.80000000000003757</v>
      </c>
      <c r="G101">
        <f t="shared" si="9"/>
        <v>1</v>
      </c>
      <c r="H101" s="1">
        <f t="shared" si="10"/>
        <v>47.903587244076064</v>
      </c>
      <c r="I101" s="1">
        <f t="shared" si="11"/>
        <v>958.07174488152168</v>
      </c>
      <c r="J101" s="1">
        <f t="shared" si="12"/>
        <v>1005.9753321255978</v>
      </c>
      <c r="K101">
        <f t="shared" si="13"/>
        <v>9.9999999999981206</v>
      </c>
      <c r="L101" s="10">
        <f t="shared" si="14"/>
        <v>995.97533212559972</v>
      </c>
    </row>
    <row r="102" spans="5:12">
      <c r="E102">
        <f t="shared" si="15"/>
        <v>0.30000000000001881</v>
      </c>
      <c r="F102">
        <f t="shared" si="8"/>
        <v>0.60000000000003761</v>
      </c>
      <c r="G102">
        <f t="shared" si="9"/>
        <v>1</v>
      </c>
      <c r="H102" s="1">
        <f t="shared" si="10"/>
        <v>48.419302454952152</v>
      </c>
      <c r="I102" s="1">
        <f t="shared" si="11"/>
        <v>968.38604909904325</v>
      </c>
      <c r="J102" s="1">
        <f t="shared" si="12"/>
        <v>1016.8053515539954</v>
      </c>
      <c r="K102">
        <f t="shared" si="13"/>
        <v>19.999999999998121</v>
      </c>
      <c r="L102" s="10">
        <f t="shared" si="14"/>
        <v>996.8053515539973</v>
      </c>
    </row>
    <row r="103" spans="5:12">
      <c r="E103">
        <f t="shared" si="15"/>
        <v>0.2000000000000188</v>
      </c>
      <c r="F103">
        <f t="shared" si="8"/>
        <v>0.4000000000000376</v>
      </c>
      <c r="G103">
        <f t="shared" si="9"/>
        <v>1</v>
      </c>
      <c r="H103" s="1">
        <f t="shared" si="10"/>
        <v>48.940569696355162</v>
      </c>
      <c r="I103" s="1">
        <f t="shared" si="11"/>
        <v>978.81139392710361</v>
      </c>
      <c r="J103" s="1">
        <f t="shared" si="12"/>
        <v>1027.7519636234588</v>
      </c>
      <c r="K103">
        <f t="shared" si="13"/>
        <v>29.999999999998117</v>
      </c>
      <c r="L103" s="10">
        <f t="shared" si="14"/>
        <v>997.75196362346071</v>
      </c>
    </row>
    <row r="104" spans="5:12">
      <c r="E104">
        <f t="shared" si="15"/>
        <v>0.1000000000000188</v>
      </c>
      <c r="F104">
        <f t="shared" si="8"/>
        <v>0.20000000000003759</v>
      </c>
      <c r="G104">
        <f t="shared" si="9"/>
        <v>1</v>
      </c>
      <c r="H104" s="1">
        <f t="shared" si="10"/>
        <v>49.46744873972937</v>
      </c>
      <c r="I104" s="1">
        <f t="shared" si="11"/>
        <v>989.34897479458766</v>
      </c>
      <c r="J104" s="1">
        <f t="shared" si="12"/>
        <v>1038.816423534317</v>
      </c>
      <c r="K104">
        <f t="shared" si="13"/>
        <v>39.999999999998117</v>
      </c>
      <c r="L104" s="10">
        <f t="shared" si="14"/>
        <v>998.81642353431891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N329"/>
  <sheetViews>
    <sheetView topLeftCell="A310" zoomScale="90" zoomScaleNormal="90" workbookViewId="0">
      <selection activeCell="G30" sqref="G30"/>
    </sheetView>
  </sheetViews>
  <sheetFormatPr defaultRowHeight="14.4"/>
  <cols>
    <col min="2" max="2" width="13.88671875" customWidth="1"/>
    <col min="3" max="3" width="12.33203125" customWidth="1"/>
    <col min="4" max="4" width="16.109375" customWidth="1"/>
    <col min="5" max="5" width="15.6640625" customWidth="1"/>
    <col min="6" max="6" width="14" customWidth="1"/>
    <col min="7" max="7" width="15.44140625" customWidth="1"/>
    <col min="8" max="8" width="18" customWidth="1"/>
    <col min="9" max="10" width="19" customWidth="1"/>
    <col min="11" max="11" width="18.33203125" customWidth="1"/>
    <col min="12" max="12" width="15.33203125" customWidth="1"/>
  </cols>
  <sheetData>
    <row r="2" spans="2:10" ht="33.6">
      <c r="B2" s="13" t="s">
        <v>29</v>
      </c>
    </row>
    <row r="7" spans="2:10">
      <c r="B7" t="s">
        <v>22</v>
      </c>
      <c r="C7" t="s">
        <v>23</v>
      </c>
      <c r="D7" t="s">
        <v>24</v>
      </c>
      <c r="F7" t="s">
        <v>25</v>
      </c>
      <c r="G7">
        <v>0.11000087394649706</v>
      </c>
      <c r="I7" t="s">
        <v>12</v>
      </c>
      <c r="J7" s="46">
        <f>G9</f>
        <v>-3.2925993309618207E-7</v>
      </c>
    </row>
    <row r="8" spans="2:10">
      <c r="B8">
        <v>1</v>
      </c>
      <c r="C8">
        <v>100</v>
      </c>
      <c r="D8" s="41">
        <f>C8/(1+$G$7)^B8</f>
        <v>90.090019158687696</v>
      </c>
      <c r="F8" t="s">
        <v>26</v>
      </c>
      <c r="G8">
        <v>903.1</v>
      </c>
      <c r="I8">
        <v>0.01</v>
      </c>
      <c r="J8" s="41">
        <f t="dataTable" ref="J8:J27" dt2D="0" dtr="0" r1="G7"/>
        <v>351.97886520637178</v>
      </c>
    </row>
    <row r="9" spans="2:10">
      <c r="B9">
        <v>2</v>
      </c>
      <c r="C9">
        <v>100</v>
      </c>
      <c r="D9" s="41">
        <f>C9/(1+$G$7)^B9</f>
        <v>81.162115520127145</v>
      </c>
      <c r="F9" t="s">
        <v>28</v>
      </c>
      <c r="G9" s="46">
        <f>D12-G8</f>
        <v>-3.2925993309618207E-7</v>
      </c>
      <c r="I9">
        <v>0.02</v>
      </c>
      <c r="J9" s="41">
        <v>309.13375329129178</v>
      </c>
    </row>
    <row r="10" spans="2:10">
      <c r="B10">
        <v>3</v>
      </c>
      <c r="C10">
        <v>100</v>
      </c>
      <c r="D10" s="41">
        <f>C10/(1+$G$7)^B10</f>
        <v>73.11896542167878</v>
      </c>
      <c r="I10">
        <v>0.03</v>
      </c>
      <c r="J10" s="41">
        <v>268.24818340515719</v>
      </c>
    </row>
    <row r="11" spans="2:10">
      <c r="B11">
        <v>4</v>
      </c>
      <c r="C11">
        <v>1000</v>
      </c>
      <c r="D11" s="41">
        <f>C11/(1+$G$7)^B11</f>
        <v>658.72889957024643</v>
      </c>
      <c r="I11">
        <v>0.04</v>
      </c>
      <c r="J11" s="41">
        <v>229.21329435243831</v>
      </c>
    </row>
    <row r="12" spans="2:10">
      <c r="C12" s="11" t="s">
        <v>27</v>
      </c>
      <c r="D12" s="41">
        <f>SUM(D8:D11)</f>
        <v>903.09999967074009</v>
      </c>
      <c r="I12">
        <v>0.05</v>
      </c>
      <c r="J12" s="41">
        <v>191.92727772892965</v>
      </c>
    </row>
    <row r="13" spans="2:10">
      <c r="I13">
        <v>0.06</v>
      </c>
      <c r="J13" s="41">
        <v>156.29485818418414</v>
      </c>
    </row>
    <row r="14" spans="2:10">
      <c r="I14">
        <v>7.0000000000000007E-2</v>
      </c>
      <c r="J14" s="41">
        <v>122.22681648916512</v>
      </c>
    </row>
    <row r="15" spans="2:10">
      <c r="I15">
        <v>0.08</v>
      </c>
      <c r="J15" s="41">
        <v>89.63955152124106</v>
      </c>
    </row>
    <row r="16" spans="2:10">
      <c r="I16">
        <v>0.09</v>
      </c>
      <c r="J16" s="41">
        <v>58.454677664013843</v>
      </c>
    </row>
    <row r="17" spans="2:10">
      <c r="I17">
        <v>0.1</v>
      </c>
      <c r="J17" s="41">
        <v>28.598654463492721</v>
      </c>
    </row>
    <row r="18" spans="2:10">
      <c r="I18">
        <v>0.11</v>
      </c>
      <c r="J18" s="41">
        <v>2.445689590672373E-3</v>
      </c>
    </row>
    <row r="19" spans="2:10">
      <c r="I19">
        <v>0.12</v>
      </c>
      <c r="J19" s="41">
        <v>-27.398794773011446</v>
      </c>
    </row>
    <row r="20" spans="2:10">
      <c r="I20">
        <v>0.13</v>
      </c>
      <c r="J20" s="41">
        <v>-53.666012534235051</v>
      </c>
    </row>
    <row r="21" spans="2:10">
      <c r="I21">
        <v>0.14000000000000001</v>
      </c>
      <c r="J21" s="41">
        <v>-78.856519916965112</v>
      </c>
    </row>
    <row r="22" spans="2:10">
      <c r="I22">
        <v>0.15</v>
      </c>
      <c r="J22" s="41">
        <v>-103.02424269495873</v>
      </c>
    </row>
    <row r="23" spans="2:10">
      <c r="I23">
        <v>0.16</v>
      </c>
      <c r="J23" s="41">
        <v>-126.21994808286934</v>
      </c>
    </row>
    <row r="24" spans="2:10">
      <c r="I24">
        <v>0.17</v>
      </c>
      <c r="J24" s="41">
        <v>-148.49145555083851</v>
      </c>
    </row>
    <row r="25" spans="2:10">
      <c r="I25">
        <v>0.18</v>
      </c>
      <c r="J25" s="41">
        <v>-169.88383189210913</v>
      </c>
    </row>
    <row r="26" spans="2:10">
      <c r="I26">
        <v>0.19</v>
      </c>
      <c r="J26" s="41">
        <v>-190.43957184231192</v>
      </c>
    </row>
    <row r="27" spans="2:10">
      <c r="I27">
        <v>0.2</v>
      </c>
      <c r="J27" s="41">
        <v>-210.19876543209875</v>
      </c>
    </row>
    <row r="30" spans="2:10" ht="33.6">
      <c r="B30" s="13" t="s">
        <v>30</v>
      </c>
    </row>
    <row r="33" spans="2:8" ht="43.2">
      <c r="B33" t="s">
        <v>31</v>
      </c>
      <c r="C33" s="9" t="s">
        <v>32</v>
      </c>
      <c r="D33" s="9" t="s">
        <v>35</v>
      </c>
      <c r="E33" s="9" t="s">
        <v>33</v>
      </c>
      <c r="G33" s="9" t="s">
        <v>34</v>
      </c>
      <c r="H33">
        <v>0.1</v>
      </c>
    </row>
    <row r="34" spans="2:8">
      <c r="B34">
        <v>1</v>
      </c>
      <c r="C34" s="14">
        <v>1000000</v>
      </c>
      <c r="D34" s="38">
        <f>C34</f>
        <v>1000000</v>
      </c>
      <c r="E34" s="36">
        <f>D34*$H$33/12</f>
        <v>8333.3333333333339</v>
      </c>
    </row>
    <row r="35" spans="2:8">
      <c r="B35">
        <v>2</v>
      </c>
      <c r="C35" s="14">
        <v>1000000</v>
      </c>
      <c r="D35" s="38">
        <f>D34+C35+E34</f>
        <v>2008333.3333333333</v>
      </c>
      <c r="E35" s="36">
        <f t="shared" ref="E35:E45" si="0">D35*$H$33/12</f>
        <v>16736.111111111113</v>
      </c>
      <c r="H35" s="1"/>
    </row>
    <row r="36" spans="2:8">
      <c r="B36">
        <v>3</v>
      </c>
      <c r="C36" s="14">
        <v>1000000</v>
      </c>
      <c r="D36" s="38">
        <f t="shared" ref="D36:D45" si="1">D35+C36+E35</f>
        <v>3025069.444444444</v>
      </c>
      <c r="E36" s="36">
        <f t="shared" si="0"/>
        <v>25208.912037037036</v>
      </c>
    </row>
    <row r="37" spans="2:8">
      <c r="B37">
        <v>4</v>
      </c>
      <c r="C37" s="14">
        <v>1000000</v>
      </c>
      <c r="D37" s="38">
        <f t="shared" si="1"/>
        <v>4050278.3564814809</v>
      </c>
      <c r="E37" s="36">
        <f t="shared" si="0"/>
        <v>33752.319637345674</v>
      </c>
    </row>
    <row r="38" spans="2:8">
      <c r="B38">
        <v>5</v>
      </c>
      <c r="C38" s="14">
        <v>1000000</v>
      </c>
      <c r="D38" s="38">
        <f t="shared" si="1"/>
        <v>5084030.6761188274</v>
      </c>
      <c r="E38" s="36">
        <f t="shared" si="0"/>
        <v>42366.922300990227</v>
      </c>
    </row>
    <row r="39" spans="2:8">
      <c r="B39">
        <v>6</v>
      </c>
      <c r="C39" s="14">
        <v>1000000</v>
      </c>
      <c r="D39" s="38">
        <f t="shared" si="1"/>
        <v>6126397.5984198181</v>
      </c>
      <c r="E39" s="36">
        <f t="shared" si="0"/>
        <v>51053.313320165151</v>
      </c>
    </row>
    <row r="40" spans="2:8">
      <c r="B40">
        <v>7</v>
      </c>
      <c r="C40" s="14"/>
      <c r="D40" s="38">
        <f t="shared" si="1"/>
        <v>6177450.9117399836</v>
      </c>
      <c r="E40" s="36">
        <f t="shared" si="0"/>
        <v>51478.757597833202</v>
      </c>
    </row>
    <row r="41" spans="2:8">
      <c r="B41">
        <v>8</v>
      </c>
      <c r="C41" s="14"/>
      <c r="D41" s="38">
        <f t="shared" si="1"/>
        <v>6228929.6693378165</v>
      </c>
      <c r="E41" s="36">
        <f t="shared" si="0"/>
        <v>51907.747244481805</v>
      </c>
    </row>
    <row r="42" spans="2:8">
      <c r="B42">
        <v>9</v>
      </c>
      <c r="C42" s="14"/>
      <c r="D42" s="38">
        <f t="shared" si="1"/>
        <v>6280837.4165822985</v>
      </c>
      <c r="E42" s="36">
        <f t="shared" si="0"/>
        <v>52340.311804852485</v>
      </c>
    </row>
    <row r="43" spans="2:8">
      <c r="B43">
        <v>10</v>
      </c>
      <c r="C43" s="14"/>
      <c r="D43" s="38">
        <f t="shared" si="1"/>
        <v>6333177.7283871509</v>
      </c>
      <c r="E43" s="36">
        <f t="shared" si="0"/>
        <v>52776.481069892929</v>
      </c>
    </row>
    <row r="44" spans="2:8">
      <c r="B44">
        <v>11</v>
      </c>
      <c r="C44" s="14"/>
      <c r="D44" s="38">
        <f t="shared" si="1"/>
        <v>6385954.2094570436</v>
      </c>
      <c r="E44" s="36">
        <f t="shared" si="0"/>
        <v>53216.285078808702</v>
      </c>
    </row>
    <row r="45" spans="2:8">
      <c r="B45">
        <v>12</v>
      </c>
      <c r="C45" s="14"/>
      <c r="D45" s="38">
        <f t="shared" si="1"/>
        <v>6439170.4945358522</v>
      </c>
      <c r="E45" s="36">
        <f t="shared" si="0"/>
        <v>53659.754121132108</v>
      </c>
    </row>
    <row r="46" spans="2:8">
      <c r="D46" s="11" t="s">
        <v>36</v>
      </c>
      <c r="E46" s="36">
        <f>SUM(E34:E45)</f>
        <v>492830.24865698384</v>
      </c>
    </row>
    <row r="47" spans="2:8">
      <c r="D47" s="11" t="s">
        <v>37</v>
      </c>
      <c r="E47" s="36">
        <f>D45+E45</f>
        <v>6492830.2486569844</v>
      </c>
    </row>
    <row r="51" spans="2:12" ht="33.6">
      <c r="B51" s="13" t="s">
        <v>40</v>
      </c>
    </row>
    <row r="54" spans="2:12">
      <c r="B54" t="s">
        <v>38</v>
      </c>
      <c r="C54" t="s">
        <v>39</v>
      </c>
      <c r="D54" t="s">
        <v>41</v>
      </c>
      <c r="F54" s="18" t="s">
        <v>47</v>
      </c>
      <c r="G54" s="14">
        <v>1000</v>
      </c>
      <c r="I54" t="s">
        <v>45</v>
      </c>
      <c r="J54" s="41">
        <f>D85</f>
        <v>1000.0000000000017</v>
      </c>
      <c r="K54" t="s">
        <v>46</v>
      </c>
      <c r="L54" t="s">
        <v>49</v>
      </c>
    </row>
    <row r="55" spans="2:12">
      <c r="B55">
        <v>1</v>
      </c>
      <c r="C55" s="37">
        <f t="shared" ref="C55:C83" si="2">$G$54*$G$55/2</f>
        <v>35</v>
      </c>
      <c r="D55" s="41">
        <f t="shared" ref="D55:D84" si="3">C55/(1+$G$56/$G$58)^B55</f>
        <v>33.816425120772948</v>
      </c>
      <c r="F55" s="18" t="s">
        <v>48</v>
      </c>
      <c r="G55">
        <v>7.0000000000000007E-2</v>
      </c>
      <c r="I55">
        <v>0.01</v>
      </c>
      <c r="J55" s="41">
        <f t="dataTable" ref="J55:J83" dt2D="0" dtr="0" r1="G56"/>
        <v>1833.8216189531172</v>
      </c>
      <c r="K55" s="47">
        <f>$G$54*$G$55/J55</f>
        <v>3.8171651635321678E-2</v>
      </c>
      <c r="L55" s="48">
        <f>I55-K55</f>
        <v>-2.8171651635321676E-2</v>
      </c>
    </row>
    <row r="56" spans="2:12">
      <c r="B56">
        <v>2</v>
      </c>
      <c r="C56" s="37">
        <f t="shared" si="2"/>
        <v>35</v>
      </c>
      <c r="D56" s="41">
        <f t="shared" si="3"/>
        <v>32.672874512824109</v>
      </c>
      <c r="F56" s="18" t="s">
        <v>45</v>
      </c>
      <c r="G56">
        <v>7.0000000000000007E-2</v>
      </c>
      <c r="I56">
        <v>1.4999999999999999E-2</v>
      </c>
      <c r="J56" s="41">
        <v>1736.3147058240854</v>
      </c>
      <c r="K56" s="47">
        <f t="shared" ref="K56:K83" si="4">$G$54*$G$55/J56</f>
        <v>4.0315272205666643E-2</v>
      </c>
      <c r="L56" s="48">
        <f t="shared" ref="L56:L83" si="5">I56-K56</f>
        <v>-2.5315272205666643E-2</v>
      </c>
    </row>
    <row r="57" spans="2:12">
      <c r="B57">
        <v>3</v>
      </c>
      <c r="C57" s="37">
        <f t="shared" si="2"/>
        <v>35</v>
      </c>
      <c r="D57" s="41">
        <f t="shared" si="3"/>
        <v>31.567994698380783</v>
      </c>
      <c r="F57" s="18" t="s">
        <v>42</v>
      </c>
      <c r="G57">
        <v>15</v>
      </c>
      <c r="I57">
        <v>0.02</v>
      </c>
      <c r="J57" s="41">
        <v>1645.1927055321889</v>
      </c>
      <c r="K57" s="47">
        <f t="shared" si="4"/>
        <v>4.2548207127721442E-2</v>
      </c>
      <c r="L57" s="48">
        <f t="shared" si="5"/>
        <v>-2.2548207127721442E-2</v>
      </c>
    </row>
    <row r="58" spans="2:12">
      <c r="B58">
        <v>4</v>
      </c>
      <c r="C58" s="37">
        <f t="shared" si="2"/>
        <v>35</v>
      </c>
      <c r="D58" s="41">
        <f t="shared" si="3"/>
        <v>30.500477969450035</v>
      </c>
      <c r="F58" s="18" t="s">
        <v>43</v>
      </c>
      <c r="G58">
        <v>2</v>
      </c>
      <c r="I58">
        <v>2.5000000000000001E-2</v>
      </c>
      <c r="J58" s="41">
        <v>1560.0003901926498</v>
      </c>
      <c r="K58" s="47">
        <f t="shared" si="4"/>
        <v>4.4871783648307587E-2</v>
      </c>
      <c r="L58" s="48">
        <f t="shared" si="5"/>
        <v>-1.9871783648307585E-2</v>
      </c>
    </row>
    <row r="59" spans="2:12">
      <c r="B59">
        <v>5</v>
      </c>
      <c r="C59" s="37">
        <f t="shared" si="2"/>
        <v>35</v>
      </c>
      <c r="D59" s="41">
        <f t="shared" si="3"/>
        <v>29.469060840048346</v>
      </c>
      <c r="F59" s="18"/>
      <c r="I59">
        <v>0.03</v>
      </c>
      <c r="J59" s="41">
        <v>1480.3167601246862</v>
      </c>
      <c r="K59" s="47">
        <f t="shared" si="4"/>
        <v>4.7287176559497941E-2</v>
      </c>
      <c r="L59" s="48">
        <f t="shared" si="5"/>
        <v>-1.7287176559497942E-2</v>
      </c>
    </row>
    <row r="60" spans="2:12">
      <c r="B60">
        <v>6</v>
      </c>
      <c r="C60" s="37">
        <f t="shared" si="2"/>
        <v>35</v>
      </c>
      <c r="D60" s="41">
        <f t="shared" si="3"/>
        <v>28.472522550771348</v>
      </c>
      <c r="I60">
        <v>3.5000000000000003E-2</v>
      </c>
      <c r="J60" s="41">
        <v>1405.752363503776</v>
      </c>
      <c r="K60" s="47">
        <f t="shared" si="4"/>
        <v>4.9795399116760564E-2</v>
      </c>
      <c r="L60" s="48">
        <f t="shared" si="5"/>
        <v>-1.479539911676056E-2</v>
      </c>
    </row>
    <row r="61" spans="2:12">
      <c r="B61">
        <v>7</v>
      </c>
      <c r="C61" s="37">
        <f t="shared" si="2"/>
        <v>35</v>
      </c>
      <c r="D61" s="41">
        <f t="shared" si="3"/>
        <v>27.509683623933672</v>
      </c>
      <c r="I61">
        <v>0.04</v>
      </c>
      <c r="J61" s="41">
        <v>1335.9468332650663</v>
      </c>
      <c r="K61" s="47">
        <f t="shared" si="4"/>
        <v>5.2397294755300521E-2</v>
      </c>
      <c r="L61" s="48">
        <f t="shared" si="5"/>
        <v>-1.239729475530052E-2</v>
      </c>
    </row>
    <row r="62" spans="2:12">
      <c r="B62">
        <v>8</v>
      </c>
      <c r="C62" s="37">
        <f t="shared" si="2"/>
        <v>35</v>
      </c>
      <c r="D62" s="41">
        <f t="shared" si="3"/>
        <v>26.579404467568768</v>
      </c>
      <c r="I62">
        <v>4.4999999999999998E-2</v>
      </c>
      <c r="J62" s="41">
        <v>1270.5666230971251</v>
      </c>
      <c r="K62" s="47">
        <f t="shared" si="4"/>
        <v>5.5093529711467193E-2</v>
      </c>
      <c r="L62" s="48">
        <f t="shared" si="5"/>
        <v>-1.0093529711467195E-2</v>
      </c>
    </row>
    <row r="63" spans="2:12">
      <c r="B63">
        <v>9</v>
      </c>
      <c r="C63" s="37">
        <f t="shared" si="2"/>
        <v>35</v>
      </c>
      <c r="D63" s="41">
        <f t="shared" si="3"/>
        <v>25.680584026636495</v>
      </c>
      <c r="I63">
        <v>0.05</v>
      </c>
      <c r="J63" s="41">
        <v>1209.3029259276134</v>
      </c>
      <c r="K63" s="47">
        <f t="shared" si="4"/>
        <v>5.7884586648382981E-2</v>
      </c>
      <c r="L63" s="48">
        <f t="shared" si="5"/>
        <v>-7.8845866483829782E-3</v>
      </c>
    </row>
    <row r="64" spans="2:12">
      <c r="B64">
        <v>10</v>
      </c>
      <c r="C64" s="37">
        <f t="shared" si="2"/>
        <v>35</v>
      </c>
      <c r="D64" s="41">
        <f t="shared" si="3"/>
        <v>24.812158479842026</v>
      </c>
      <c r="I64">
        <v>5.5E-2</v>
      </c>
      <c r="J64" s="41">
        <v>1151.8697597260239</v>
      </c>
      <c r="K64" s="47">
        <f t="shared" si="4"/>
        <v>6.0770759375304496E-2</v>
      </c>
      <c r="L64" s="48">
        <f t="shared" si="5"/>
        <v>-5.7707593753044961E-3</v>
      </c>
    </row>
    <row r="65" spans="2:12">
      <c r="B65">
        <v>11</v>
      </c>
      <c r="C65" s="37">
        <f t="shared" si="2"/>
        <v>35</v>
      </c>
      <c r="D65" s="41">
        <f t="shared" si="3"/>
        <v>23.973099980523696</v>
      </c>
      <c r="I65">
        <v>0.06</v>
      </c>
      <c r="J65" s="41">
        <v>1098.0022067473492</v>
      </c>
      <c r="K65" s="47">
        <f t="shared" si="4"/>
        <v>6.3752148738720191E-2</v>
      </c>
      <c r="L65" s="48">
        <f t="shared" si="5"/>
        <v>-3.7521487387201929E-3</v>
      </c>
    </row>
    <row r="66" spans="2:12">
      <c r="B66">
        <v>12</v>
      </c>
      <c r="C66" s="37">
        <f t="shared" si="2"/>
        <v>35</v>
      </c>
      <c r="D66" s="41">
        <f t="shared" si="3"/>
        <v>23.162415440119513</v>
      </c>
      <c r="I66">
        <v>6.5000000000000002E-2</v>
      </c>
      <c r="J66" s="41">
        <v>1047.454793524761</v>
      </c>
      <c r="K66" s="47">
        <f t="shared" si="4"/>
        <v>6.6828659750026012E-2</v>
      </c>
      <c r="L66" s="48">
        <f t="shared" si="5"/>
        <v>-1.8286597500260099E-3</v>
      </c>
    </row>
    <row r="67" spans="2:12">
      <c r="B67">
        <v>13</v>
      </c>
      <c r="C67" s="37">
        <f t="shared" si="2"/>
        <v>35</v>
      </c>
      <c r="D67" s="41">
        <f t="shared" si="3"/>
        <v>22.379145352772483</v>
      </c>
      <c r="I67">
        <v>7.0000000000000007E-2</v>
      </c>
      <c r="J67" s="41">
        <v>1000.0000000000017</v>
      </c>
      <c r="K67" s="47">
        <f t="shared" si="4"/>
        <v>6.9999999999999882E-2</v>
      </c>
      <c r="L67" s="48">
        <f t="shared" si="5"/>
        <v>1.2490009027033011E-16</v>
      </c>
    </row>
    <row r="68" spans="2:12">
      <c r="B68">
        <v>14</v>
      </c>
      <c r="C68" s="37">
        <f t="shared" si="2"/>
        <v>35</v>
      </c>
      <c r="D68" s="41">
        <f t="shared" si="3"/>
        <v>21.622362659683557</v>
      </c>
      <c r="I68">
        <v>7.4999999999999997E-2</v>
      </c>
      <c r="J68" s="41">
        <v>955.42688716604039</v>
      </c>
      <c r="K68" s="47">
        <f t="shared" si="4"/>
        <v>7.3265679394508121E-2</v>
      </c>
      <c r="L68" s="48">
        <f t="shared" si="5"/>
        <v>1.7343206054918764E-3</v>
      </c>
    </row>
    <row r="69" spans="2:12">
      <c r="B69">
        <v>15</v>
      </c>
      <c r="C69" s="37">
        <f t="shared" si="2"/>
        <v>35</v>
      </c>
      <c r="D69" s="41">
        <f t="shared" si="3"/>
        <v>20.891171651868174</v>
      </c>
      <c r="I69">
        <v>0.08</v>
      </c>
      <c r="J69" s="41">
        <v>913.53983349667669</v>
      </c>
      <c r="K69" s="47">
        <f t="shared" si="4"/>
        <v>7.6625011229195239E-2</v>
      </c>
      <c r="L69" s="48">
        <f t="shared" si="5"/>
        <v>3.3749887708047627E-3</v>
      </c>
    </row>
    <row r="70" spans="2:12">
      <c r="B70">
        <v>16</v>
      </c>
      <c r="C70" s="37">
        <f t="shared" si="2"/>
        <v>35</v>
      </c>
      <c r="D70" s="41">
        <f t="shared" si="3"/>
        <v>20.184706910017564</v>
      </c>
      <c r="I70">
        <v>8.5000000000000006E-2</v>
      </c>
      <c r="J70" s="41">
        <v>874.1573712592467</v>
      </c>
      <c r="K70" s="47">
        <f t="shared" si="4"/>
        <v>8.0077114603704772E-2</v>
      </c>
      <c r="L70" s="48">
        <f t="shared" si="5"/>
        <v>4.9228853962952346E-3</v>
      </c>
    </row>
    <row r="71" spans="2:12">
      <c r="B71">
        <v>17</v>
      </c>
      <c r="C71" s="37">
        <f t="shared" si="2"/>
        <v>35</v>
      </c>
      <c r="D71" s="41">
        <f t="shared" si="3"/>
        <v>19.502132280210205</v>
      </c>
      <c r="I71">
        <v>0.09</v>
      </c>
      <c r="J71" s="41">
        <v>837.11111455711318</v>
      </c>
      <c r="K71" s="47">
        <f t="shared" si="4"/>
        <v>8.3620918158558447E-2</v>
      </c>
      <c r="L71" s="48">
        <f t="shared" si="5"/>
        <v>6.3790818414415501E-3</v>
      </c>
    </row>
    <row r="72" spans="2:12">
      <c r="B72">
        <v>18</v>
      </c>
      <c r="C72" s="37">
        <f t="shared" si="2"/>
        <v>35</v>
      </c>
      <c r="D72" s="41">
        <f t="shared" si="3"/>
        <v>18.842639884261072</v>
      </c>
      <c r="I72">
        <v>9.5000000000000001E-2</v>
      </c>
      <c r="J72" s="41">
        <v>802.24477163378197</v>
      </c>
      <c r="K72" s="47">
        <f t="shared" si="4"/>
        <v>8.7255165100601509E-2</v>
      </c>
      <c r="L72" s="48">
        <f t="shared" si="5"/>
        <v>7.7448348993984922E-3</v>
      </c>
    </row>
    <row r="73" spans="2:12">
      <c r="B73">
        <v>19</v>
      </c>
      <c r="C73" s="37">
        <f t="shared" si="2"/>
        <v>35</v>
      </c>
      <c r="D73" s="41">
        <f t="shared" si="3"/>
        <v>18.205449163537267</v>
      </c>
      <c r="I73">
        <v>0.1</v>
      </c>
      <c r="J73" s="41">
        <v>769.41323459675755</v>
      </c>
      <c r="K73" s="47">
        <f t="shared" si="4"/>
        <v>9.0978419466213573E-2</v>
      </c>
      <c r="L73" s="48">
        <f t="shared" si="5"/>
        <v>9.021580533786433E-3</v>
      </c>
    </row>
    <row r="74" spans="2:12">
      <c r="B74">
        <v>20</v>
      </c>
      <c r="C74" s="37">
        <f t="shared" si="2"/>
        <v>35</v>
      </c>
      <c r="D74" s="41">
        <f t="shared" si="3"/>
        <v>17.589805955108474</v>
      </c>
      <c r="I74">
        <v>0.105</v>
      </c>
      <c r="J74" s="41">
        <v>738.48174029131746</v>
      </c>
      <c r="K74" s="47">
        <f t="shared" si="4"/>
        <v>9.4789073555679643E-2</v>
      </c>
      <c r="L74" s="48">
        <f t="shared" si="5"/>
        <v>1.0210926444320353E-2</v>
      </c>
    </row>
    <row r="75" spans="2:12">
      <c r="B75">
        <v>21</v>
      </c>
      <c r="C75" s="37">
        <f t="shared" si="2"/>
        <v>35</v>
      </c>
      <c r="D75" s="41">
        <f t="shared" si="3"/>
        <v>16.994981599138622</v>
      </c>
      <c r="I75">
        <v>0.11</v>
      </c>
      <c r="J75" s="41">
        <v>709.32509657755918</v>
      </c>
      <c r="K75" s="47">
        <f t="shared" si="4"/>
        <v>9.8685356457490075E-2</v>
      </c>
      <c r="L75" s="48">
        <f t="shared" si="5"/>
        <v>1.1314643542509925E-2</v>
      </c>
    </row>
    <row r="76" spans="2:12">
      <c r="B76">
        <v>22</v>
      </c>
      <c r="C76" s="37">
        <f t="shared" si="2"/>
        <v>35</v>
      </c>
      <c r="D76" s="41">
        <f t="shared" si="3"/>
        <v>16.420272076462439</v>
      </c>
      <c r="I76">
        <v>0.115</v>
      </c>
      <c r="J76" s="41">
        <v>681.82696874204225</v>
      </c>
      <c r="K76" s="47">
        <f t="shared" si="4"/>
        <v>0.10266534356824968</v>
      </c>
      <c r="L76" s="48">
        <f t="shared" si="5"/>
        <v>1.2334656431750329E-2</v>
      </c>
    </row>
    <row r="77" spans="2:12">
      <c r="B77">
        <v>23</v>
      </c>
      <c r="C77" s="37">
        <f t="shared" si="2"/>
        <v>35</v>
      </c>
      <c r="D77" s="41">
        <f t="shared" si="3"/>
        <v>15.864997175326026</v>
      </c>
      <c r="I77">
        <v>0.12</v>
      </c>
      <c r="J77" s="41">
        <v>655.8792212127637</v>
      </c>
      <c r="K77" s="47">
        <f t="shared" si="4"/>
        <v>0.10672696700249995</v>
      </c>
      <c r="L77" s="48">
        <f t="shared" si="5"/>
        <v>1.3273032997500045E-2</v>
      </c>
    </row>
    <row r="78" spans="2:12">
      <c r="B78">
        <v>24</v>
      </c>
      <c r="C78" s="37">
        <f t="shared" si="2"/>
        <v>35</v>
      </c>
      <c r="D78" s="41">
        <f t="shared" si="3"/>
        <v>15.328499686305344</v>
      </c>
      <c r="I78">
        <v>0.125</v>
      </c>
      <c r="J78" s="41">
        <v>631.38131014604369</v>
      </c>
      <c r="K78" s="47">
        <f t="shared" si="4"/>
        <v>0.110868026777366</v>
      </c>
      <c r="L78" s="48">
        <f t="shared" si="5"/>
        <v>1.4131973222634001E-2</v>
      </c>
    </row>
    <row r="79" spans="2:12">
      <c r="B79">
        <v>25</v>
      </c>
      <c r="C79" s="37">
        <f t="shared" si="2"/>
        <v>35</v>
      </c>
      <c r="D79" s="41">
        <f t="shared" si="3"/>
        <v>14.81014462444961</v>
      </c>
      <c r="I79">
        <v>0.13</v>
      </c>
      <c r="J79" s="41">
        <v>608.23972281991416</v>
      </c>
      <c r="K79" s="47">
        <f t="shared" si="4"/>
        <v>0.1150862026496178</v>
      </c>
      <c r="L79" s="48">
        <f t="shared" si="5"/>
        <v>1.4913797350382202E-2</v>
      </c>
    </row>
    <row r="80" spans="2:12">
      <c r="B80">
        <v>26</v>
      </c>
      <c r="C80" s="37">
        <f t="shared" si="2"/>
        <v>35</v>
      </c>
      <c r="D80" s="41">
        <f t="shared" si="3"/>
        <v>14.309318477729091</v>
      </c>
      <c r="I80">
        <v>0.13500000000000001</v>
      </c>
      <c r="J80" s="41">
        <v>586.36746010335878</v>
      </c>
      <c r="K80" s="47">
        <f t="shared" si="4"/>
        <v>0.11937906647763354</v>
      </c>
      <c r="L80" s="48">
        <f t="shared" si="5"/>
        <v>1.5620933522366473E-2</v>
      </c>
    </row>
    <row r="81" spans="2:12">
      <c r="B81">
        <v>27</v>
      </c>
      <c r="C81" s="37">
        <f t="shared" si="2"/>
        <v>35</v>
      </c>
      <c r="D81" s="41">
        <f t="shared" si="3"/>
        <v>13.825428480897672</v>
      </c>
      <c r="I81">
        <v>0.14000000000000001</v>
      </c>
      <c r="J81" s="41">
        <v>565.68355857729478</v>
      </c>
      <c r="K81" s="47">
        <f t="shared" si="4"/>
        <v>0.12374409497785541</v>
      </c>
      <c r="L81" s="48">
        <f t="shared" si="5"/>
        <v>1.6255905022144607E-2</v>
      </c>
    </row>
    <row r="82" spans="2:12">
      <c r="B82">
        <v>28</v>
      </c>
      <c r="C82" s="37">
        <f t="shared" si="2"/>
        <v>35</v>
      </c>
      <c r="D82" s="41">
        <f t="shared" si="3"/>
        <v>13.357901913910794</v>
      </c>
      <c r="I82">
        <v>0.14499999999999999</v>
      </c>
      <c r="J82" s="41">
        <v>546.11264916376149</v>
      </c>
      <c r="K82" s="47">
        <f t="shared" si="4"/>
        <v>0.12817868274464608</v>
      </c>
      <c r="L82" s="48">
        <f t="shared" si="5"/>
        <v>1.6821317255353907E-2</v>
      </c>
    </row>
    <row r="83" spans="2:12">
      <c r="B83">
        <v>29</v>
      </c>
      <c r="C83" s="37">
        <f t="shared" si="2"/>
        <v>35</v>
      </c>
      <c r="D83" s="41">
        <f t="shared" si="3"/>
        <v>12.906185424068404</v>
      </c>
      <c r="I83">
        <v>0.15</v>
      </c>
      <c r="J83" s="41">
        <v>527.58454937671468</v>
      </c>
      <c r="K83" s="47">
        <f t="shared" si="4"/>
        <v>0.13268015540390179</v>
      </c>
      <c r="L83" s="48">
        <f t="shared" si="5"/>
        <v>1.7319844596098199E-2</v>
      </c>
    </row>
    <row r="84" spans="2:12">
      <c r="B84">
        <v>30</v>
      </c>
      <c r="C84" s="37">
        <f>$G$54*$G$55/2 + G54</f>
        <v>1035</v>
      </c>
      <c r="D84" s="41">
        <f t="shared" si="3"/>
        <v>368.74815497338295</v>
      </c>
    </row>
    <row r="85" spans="2:12">
      <c r="C85" s="11" t="s">
        <v>44</v>
      </c>
      <c r="D85" s="41">
        <f>SUM(D55:D84)</f>
        <v>1000.0000000000017</v>
      </c>
    </row>
    <row r="86" spans="2:12">
      <c r="D86" s="16"/>
    </row>
    <row r="89" spans="2:12" ht="33.6">
      <c r="B89" s="13" t="s">
        <v>50</v>
      </c>
    </row>
    <row r="92" spans="2:12">
      <c r="B92" t="s">
        <v>22</v>
      </c>
      <c r="C92" t="s">
        <v>23</v>
      </c>
      <c r="D92" t="s">
        <v>24</v>
      </c>
      <c r="F92" s="18" t="s">
        <v>53</v>
      </c>
      <c r="G92" s="14">
        <v>1000</v>
      </c>
    </row>
    <row r="93" spans="2:12">
      <c r="B93">
        <v>1</v>
      </c>
      <c r="C93" s="37">
        <f>$G$92*$G$94/2</f>
        <v>55</v>
      </c>
      <c r="D93" s="41">
        <f>C93/(1+$G$95/$G$97)^B93</f>
        <v>52.748923068121243</v>
      </c>
      <c r="F93" s="18" t="s">
        <v>52</v>
      </c>
      <c r="G93" s="14">
        <v>1055</v>
      </c>
    </row>
    <row r="94" spans="2:12">
      <c r="B94">
        <v>2</v>
      </c>
      <c r="C94" s="37">
        <f t="shared" ref="C94:C107" si="6">$G$92*$G$94/2</f>
        <v>55</v>
      </c>
      <c r="D94" s="41">
        <f t="shared" ref="D94:D108" si="7">C94/(1+$G$95/$G$97)^B94</f>
        <v>50.58997972448315</v>
      </c>
      <c r="F94" s="18" t="s">
        <v>48</v>
      </c>
      <c r="G94">
        <v>0.11</v>
      </c>
    </row>
    <row r="95" spans="2:12">
      <c r="B95">
        <v>3</v>
      </c>
      <c r="C95" s="37">
        <f t="shared" si="6"/>
        <v>55</v>
      </c>
      <c r="D95" s="41">
        <f t="shared" si="7"/>
        <v>48.519399063719547</v>
      </c>
      <c r="F95" s="18" t="s">
        <v>45</v>
      </c>
      <c r="G95" s="19">
        <v>8.5350630911332992E-2</v>
      </c>
    </row>
    <row r="96" spans="2:12">
      <c r="B96">
        <v>4</v>
      </c>
      <c r="C96" s="37">
        <f t="shared" si="6"/>
        <v>55</v>
      </c>
      <c r="D96" s="41">
        <f t="shared" si="7"/>
        <v>46.533564518611207</v>
      </c>
      <c r="F96" s="18" t="s">
        <v>51</v>
      </c>
      <c r="G96">
        <v>8</v>
      </c>
    </row>
    <row r="97" spans="2:7">
      <c r="B97">
        <v>5</v>
      </c>
      <c r="C97" s="37">
        <f t="shared" si="6"/>
        <v>55</v>
      </c>
      <c r="D97" s="41">
        <f t="shared" si="7"/>
        <v>44.629007543230529</v>
      </c>
      <c r="F97" s="18" t="s">
        <v>43</v>
      </c>
      <c r="G97">
        <v>2</v>
      </c>
    </row>
    <row r="98" spans="2:7">
      <c r="B98">
        <v>6</v>
      </c>
      <c r="C98" s="37">
        <f t="shared" si="6"/>
        <v>55</v>
      </c>
      <c r="D98" s="41">
        <f t="shared" si="7"/>
        <v>42.802401554626719</v>
      </c>
      <c r="F98" s="18" t="s">
        <v>54</v>
      </c>
      <c r="G98" s="14">
        <v>1169</v>
      </c>
    </row>
    <row r="99" spans="2:7">
      <c r="B99">
        <v>7</v>
      </c>
      <c r="C99" s="37">
        <f t="shared" si="6"/>
        <v>55</v>
      </c>
      <c r="D99" s="41">
        <f t="shared" si="7"/>
        <v>41.050556122469771</v>
      </c>
    </row>
    <row r="100" spans="2:7">
      <c r="B100">
        <v>8</v>
      </c>
      <c r="C100" s="37">
        <f t="shared" si="6"/>
        <v>55</v>
      </c>
      <c r="D100" s="41">
        <f t="shared" si="7"/>
        <v>39.370411396504579</v>
      </c>
    </row>
    <row r="101" spans="2:7">
      <c r="B101">
        <v>9</v>
      </c>
      <c r="C101" s="37">
        <f t="shared" si="6"/>
        <v>55</v>
      </c>
      <c r="D101" s="41">
        <f t="shared" si="7"/>
        <v>37.759032762081894</v>
      </c>
    </row>
    <row r="102" spans="2:7">
      <c r="B102">
        <v>10</v>
      </c>
      <c r="C102" s="37">
        <f t="shared" si="6"/>
        <v>55</v>
      </c>
      <c r="D102" s="41">
        <f t="shared" si="7"/>
        <v>36.213605714431402</v>
      </c>
    </row>
    <row r="103" spans="2:7">
      <c r="B103">
        <v>11</v>
      </c>
      <c r="C103" s="37">
        <f t="shared" si="6"/>
        <v>55</v>
      </c>
      <c r="D103" s="41">
        <f t="shared" si="7"/>
        <v>34.731430942723961</v>
      </c>
    </row>
    <row r="104" spans="2:7">
      <c r="B104">
        <v>12</v>
      </c>
      <c r="C104" s="37">
        <f t="shared" si="6"/>
        <v>55</v>
      </c>
      <c r="D104" s="41">
        <f t="shared" si="7"/>
        <v>33.309919615336582</v>
      </c>
    </row>
    <row r="105" spans="2:7">
      <c r="B105">
        <v>13</v>
      </c>
      <c r="C105" s="37">
        <f t="shared" si="6"/>
        <v>55</v>
      </c>
      <c r="D105" s="41">
        <f t="shared" si="7"/>
        <v>31.94658885808531</v>
      </c>
    </row>
    <row r="106" spans="2:7">
      <c r="B106">
        <v>14</v>
      </c>
      <c r="C106" s="37">
        <f t="shared" si="6"/>
        <v>55</v>
      </c>
      <c r="D106" s="41">
        <f t="shared" si="7"/>
        <v>30.639057417528019</v>
      </c>
    </row>
    <row r="107" spans="2:7">
      <c r="B107">
        <v>15</v>
      </c>
      <c r="C107" s="37">
        <f t="shared" si="6"/>
        <v>55</v>
      </c>
      <c r="D107" s="41">
        <f t="shared" si="7"/>
        <v>29.385041501762451</v>
      </c>
    </row>
    <row r="108" spans="2:7">
      <c r="B108">
        <v>16</v>
      </c>
      <c r="C108" s="37">
        <f>$G$92*$G$94/2+G93</f>
        <v>1110</v>
      </c>
      <c r="D108" s="41">
        <f t="shared" si="7"/>
        <v>568.77107960936189</v>
      </c>
    </row>
    <row r="109" spans="2:7">
      <c r="C109" s="11" t="s">
        <v>44</v>
      </c>
      <c r="D109" s="41">
        <f>SUM(D93:D108)</f>
        <v>1168.9999994130781</v>
      </c>
    </row>
    <row r="110" spans="2:7">
      <c r="C110" t="s">
        <v>55</v>
      </c>
      <c r="D110" s="49">
        <f>D109-G98</f>
        <v>-5.8692194215836935E-7</v>
      </c>
    </row>
    <row r="113" spans="2:11" ht="33.6">
      <c r="B113" s="13" t="s">
        <v>56</v>
      </c>
    </row>
    <row r="116" spans="2:11">
      <c r="B116" t="s">
        <v>62</v>
      </c>
      <c r="C116" t="s">
        <v>63</v>
      </c>
      <c r="D116" t="s">
        <v>23</v>
      </c>
      <c r="E116" t="s">
        <v>24</v>
      </c>
      <c r="G116" s="18" t="s">
        <v>67</v>
      </c>
      <c r="H116" s="21">
        <v>7225000</v>
      </c>
      <c r="J116" s="23"/>
      <c r="K116" t="s">
        <v>61</v>
      </c>
    </row>
    <row r="117" spans="2:11">
      <c r="B117" s="20">
        <v>40603</v>
      </c>
      <c r="C117">
        <v>1</v>
      </c>
      <c r="D117" s="50">
        <f>100*$H$118/2</f>
        <v>2.25</v>
      </c>
      <c r="E117" s="41">
        <f>D117/(1+$H$119/$H$122)^(C117-1+$H$134)</f>
        <v>2.2175139318676411</v>
      </c>
      <c r="G117" s="18" t="s">
        <v>60</v>
      </c>
      <c r="H117" s="22">
        <v>49919</v>
      </c>
    </row>
    <row r="118" spans="2:11">
      <c r="B118" s="20">
        <v>40787</v>
      </c>
      <c r="C118">
        <v>2</v>
      </c>
      <c r="D118" s="50">
        <f t="shared" ref="D118:D161" si="8">100*$H$118/2</f>
        <v>2.25</v>
      </c>
      <c r="E118" s="41">
        <f t="shared" ref="E118:E162" si="9">D118/(1+$H$119/$H$122)^(C118-1+$H$134)</f>
        <v>2.1677588491700295</v>
      </c>
      <c r="G118" s="18" t="s">
        <v>48</v>
      </c>
      <c r="H118" s="26">
        <v>4.4999999999999998E-2</v>
      </c>
    </row>
    <row r="119" spans="2:11">
      <c r="B119" s="20">
        <v>40969</v>
      </c>
      <c r="C119">
        <v>3</v>
      </c>
      <c r="D119" s="50">
        <f t="shared" si="8"/>
        <v>2.25</v>
      </c>
      <c r="E119" s="41">
        <f t="shared" si="9"/>
        <v>2.1191201374763025</v>
      </c>
      <c r="G119" s="18" t="s">
        <v>45</v>
      </c>
      <c r="H119" s="19">
        <v>4.5904628844357961E-2</v>
      </c>
    </row>
    <row r="120" spans="2:11">
      <c r="B120" s="20">
        <v>41153</v>
      </c>
      <c r="C120">
        <v>4</v>
      </c>
      <c r="D120" s="50">
        <f t="shared" si="8"/>
        <v>2.25</v>
      </c>
      <c r="E120" s="41">
        <f t="shared" si="9"/>
        <v>2.0715727484064597</v>
      </c>
      <c r="G120" s="18" t="s">
        <v>52</v>
      </c>
      <c r="H120" s="21">
        <v>100</v>
      </c>
      <c r="I120" t="s">
        <v>57</v>
      </c>
    </row>
    <row r="121" spans="2:11">
      <c r="B121" s="20">
        <v>41334</v>
      </c>
      <c r="C121">
        <v>5</v>
      </c>
      <c r="D121" s="50">
        <f t="shared" si="8"/>
        <v>2.25</v>
      </c>
      <c r="E121" s="41">
        <f t="shared" si="9"/>
        <v>2.025092195599167</v>
      </c>
      <c r="G121" s="18" t="s">
        <v>58</v>
      </c>
      <c r="H121" s="22">
        <v>44075</v>
      </c>
    </row>
    <row r="122" spans="2:11">
      <c r="B122" s="20">
        <v>41518</v>
      </c>
      <c r="C122">
        <v>6</v>
      </c>
      <c r="D122" s="50">
        <f t="shared" si="8"/>
        <v>2.25</v>
      </c>
      <c r="E122" s="41">
        <f t="shared" si="9"/>
        <v>1.979654542101557</v>
      </c>
      <c r="G122" s="18" t="s">
        <v>43</v>
      </c>
      <c r="H122" s="23">
        <v>2</v>
      </c>
    </row>
    <row r="123" spans="2:11">
      <c r="B123" s="20">
        <v>41699</v>
      </c>
      <c r="C123">
        <v>7</v>
      </c>
      <c r="D123" s="50">
        <f t="shared" si="8"/>
        <v>2.25</v>
      </c>
      <c r="E123" s="41">
        <f t="shared" si="9"/>
        <v>1.9352363880419754</v>
      </c>
      <c r="G123" s="18" t="s">
        <v>54</v>
      </c>
      <c r="H123" s="24">
        <v>99.531000000000006</v>
      </c>
      <c r="I123" t="s">
        <v>69</v>
      </c>
    </row>
    <row r="124" spans="2:11">
      <c r="B124" s="20">
        <v>41883</v>
      </c>
      <c r="C124">
        <v>8</v>
      </c>
      <c r="D124" s="50">
        <f t="shared" si="8"/>
        <v>2.25</v>
      </c>
      <c r="E124" s="41">
        <f t="shared" si="9"/>
        <v>1.8918148585793129</v>
      </c>
      <c r="G124" s="18" t="s">
        <v>59</v>
      </c>
      <c r="H124" s="22">
        <v>40487</v>
      </c>
      <c r="I124" t="s">
        <v>71</v>
      </c>
    </row>
    <row r="125" spans="2:11">
      <c r="B125" s="20">
        <v>42064</v>
      </c>
      <c r="C125">
        <v>9</v>
      </c>
      <c r="D125" s="50">
        <f t="shared" si="8"/>
        <v>2.25</v>
      </c>
      <c r="E125" s="41">
        <f t="shared" si="9"/>
        <v>1.8493675921227237</v>
      </c>
    </row>
    <row r="126" spans="2:11">
      <c r="B126" s="20">
        <v>42248</v>
      </c>
      <c r="C126">
        <v>10</v>
      </c>
      <c r="D126" s="50">
        <f t="shared" si="8"/>
        <v>2.25</v>
      </c>
      <c r="E126" s="41">
        <f t="shared" si="9"/>
        <v>1.8078727288156642</v>
      </c>
      <c r="G126" s="18" t="s">
        <v>66</v>
      </c>
    </row>
    <row r="127" spans="2:11">
      <c r="B127" s="20">
        <v>42430</v>
      </c>
      <c r="C127">
        <v>11</v>
      </c>
      <c r="D127" s="50">
        <f t="shared" si="8"/>
        <v>2.25</v>
      </c>
      <c r="E127" s="41">
        <f t="shared" si="9"/>
        <v>1.7673088992783133</v>
      </c>
      <c r="G127" s="22">
        <v>48823</v>
      </c>
      <c r="H127" s="21">
        <v>1675000</v>
      </c>
      <c r="I127" t="s">
        <v>65</v>
      </c>
    </row>
    <row r="128" spans="2:11">
      <c r="B128" s="20">
        <v>42614</v>
      </c>
      <c r="C128">
        <v>12</v>
      </c>
      <c r="D128" s="50">
        <f t="shared" si="8"/>
        <v>2.25</v>
      </c>
      <c r="E128" s="41">
        <f t="shared" si="9"/>
        <v>1.7276552136025896</v>
      </c>
      <c r="G128" s="22">
        <v>49188</v>
      </c>
      <c r="H128" s="21">
        <v>1750000</v>
      </c>
      <c r="I128" t="s">
        <v>65</v>
      </c>
    </row>
    <row r="129" spans="2:9">
      <c r="B129" s="20">
        <v>42795</v>
      </c>
      <c r="C129">
        <v>13</v>
      </c>
      <c r="D129" s="50">
        <f t="shared" si="8"/>
        <v>2.25</v>
      </c>
      <c r="E129" s="41">
        <f t="shared" si="9"/>
        <v>1.6888912505940867</v>
      </c>
      <c r="G129" s="22">
        <v>49553</v>
      </c>
      <c r="H129" s="21">
        <v>1850000</v>
      </c>
      <c r="I129" t="s">
        <v>65</v>
      </c>
    </row>
    <row r="130" spans="2:9">
      <c r="B130" s="20">
        <v>42979</v>
      </c>
      <c r="C130">
        <v>14</v>
      </c>
      <c r="D130" s="50">
        <f t="shared" si="8"/>
        <v>2.25</v>
      </c>
      <c r="E130" s="41">
        <f t="shared" si="9"/>
        <v>1.6509970472553919</v>
      </c>
    </row>
    <row r="131" spans="2:9">
      <c r="B131" s="20">
        <v>43160</v>
      </c>
      <c r="C131">
        <v>15</v>
      </c>
      <c r="D131" s="50">
        <f t="shared" si="8"/>
        <v>2.25</v>
      </c>
      <c r="E131" s="41">
        <f t="shared" si="9"/>
        <v>1.6139530885053697</v>
      </c>
      <c r="G131" s="18" t="s">
        <v>68</v>
      </c>
      <c r="H131" s="20">
        <v>40422</v>
      </c>
    </row>
    <row r="132" spans="2:9">
      <c r="B132" s="20">
        <v>43344</v>
      </c>
      <c r="C132">
        <v>16</v>
      </c>
      <c r="D132" s="50">
        <f t="shared" si="8"/>
        <v>2.25</v>
      </c>
      <c r="E132" s="41">
        <f t="shared" si="9"/>
        <v>1.5777402971291199</v>
      </c>
      <c r="G132" s="18" t="s">
        <v>70</v>
      </c>
      <c r="H132" s="39">
        <f>B117-H131</f>
        <v>181</v>
      </c>
    </row>
    <row r="133" spans="2:9">
      <c r="B133" s="20">
        <v>43525</v>
      </c>
      <c r="C133">
        <v>17</v>
      </c>
      <c r="D133" s="50">
        <f t="shared" si="8"/>
        <v>2.25</v>
      </c>
      <c r="E133" s="41">
        <f t="shared" si="9"/>
        <v>1.5423400239534295</v>
      </c>
      <c r="G133" s="18" t="s">
        <v>72</v>
      </c>
      <c r="H133" s="39">
        <f>B117-H124</f>
        <v>116</v>
      </c>
    </row>
    <row r="134" spans="2:9">
      <c r="B134" s="20">
        <v>43709</v>
      </c>
      <c r="C134">
        <v>18</v>
      </c>
      <c r="D134" s="50">
        <f t="shared" si="8"/>
        <v>2.25</v>
      </c>
      <c r="E134" s="41">
        <f t="shared" si="9"/>
        <v>1.5077340382426623</v>
      </c>
      <c r="G134" s="18" t="s">
        <v>73</v>
      </c>
      <c r="H134" s="42">
        <f>H133/H132</f>
        <v>0.64088397790055252</v>
      </c>
    </row>
    <row r="135" spans="2:9">
      <c r="B135" s="20">
        <v>43891</v>
      </c>
      <c r="C135">
        <v>19</v>
      </c>
      <c r="D135" s="50">
        <f t="shared" si="8"/>
        <v>2.25</v>
      </c>
      <c r="E135" s="41">
        <f t="shared" si="9"/>
        <v>1.4739045183101376</v>
      </c>
      <c r="H135" s="15"/>
    </row>
    <row r="136" spans="2:9">
      <c r="B136" s="20">
        <v>44075</v>
      </c>
      <c r="C136">
        <v>20</v>
      </c>
      <c r="D136" s="50">
        <f t="shared" si="8"/>
        <v>2.25</v>
      </c>
      <c r="E136" s="41">
        <f t="shared" si="9"/>
        <v>1.4408340423401669</v>
      </c>
    </row>
    <row r="137" spans="2:9">
      <c r="B137" s="20">
        <v>44256</v>
      </c>
      <c r="C137">
        <v>21</v>
      </c>
      <c r="D137" s="50">
        <f t="shared" si="8"/>
        <v>2.25</v>
      </c>
      <c r="E137" s="41">
        <f t="shared" si="9"/>
        <v>1.4085055794160171</v>
      </c>
      <c r="G137" s="18"/>
      <c r="H137" s="1"/>
    </row>
    <row r="138" spans="2:9">
      <c r="B138" s="20">
        <v>44440</v>
      </c>
      <c r="C138">
        <v>22</v>
      </c>
      <c r="D138" s="50">
        <f t="shared" si="8"/>
        <v>2.25</v>
      </c>
      <c r="E138" s="41">
        <f t="shared" si="9"/>
        <v>1.3769024807491834</v>
      </c>
    </row>
    <row r="139" spans="2:9">
      <c r="B139" s="20">
        <v>44621</v>
      </c>
      <c r="C139">
        <v>23</v>
      </c>
      <c r="D139" s="50">
        <f t="shared" si="8"/>
        <v>2.25</v>
      </c>
      <c r="E139" s="41">
        <f t="shared" si="9"/>
        <v>1.3460084711054545</v>
      </c>
    </row>
    <row r="140" spans="2:9">
      <c r="B140" s="20">
        <v>44805</v>
      </c>
      <c r="C140">
        <v>24</v>
      </c>
      <c r="D140" s="50">
        <f t="shared" si="8"/>
        <v>2.25</v>
      </c>
      <c r="E140" s="41">
        <f t="shared" si="9"/>
        <v>1.3158076404233523</v>
      </c>
    </row>
    <row r="141" spans="2:9">
      <c r="B141" s="20">
        <v>44986</v>
      </c>
      <c r="C141">
        <v>25</v>
      </c>
      <c r="D141" s="50">
        <f t="shared" si="8"/>
        <v>2.25</v>
      </c>
      <c r="E141" s="41">
        <f t="shared" si="9"/>
        <v>1.2862844356206322</v>
      </c>
    </row>
    <row r="142" spans="2:9">
      <c r="B142" s="20">
        <v>45170</v>
      </c>
      <c r="C142">
        <v>26</v>
      </c>
      <c r="D142" s="50">
        <f t="shared" si="8"/>
        <v>2.25</v>
      </c>
      <c r="E142" s="41">
        <f t="shared" si="9"/>
        <v>1.2574236525846252</v>
      </c>
    </row>
    <row r="143" spans="2:9">
      <c r="B143" s="20">
        <v>45352</v>
      </c>
      <c r="C143">
        <v>27</v>
      </c>
      <c r="D143" s="50">
        <f t="shared" si="8"/>
        <v>2.25</v>
      </c>
      <c r="E143" s="41">
        <f t="shared" si="9"/>
        <v>1.2292104283422916</v>
      </c>
    </row>
    <row r="144" spans="2:9">
      <c r="B144" s="20">
        <v>45536</v>
      </c>
      <c r="C144">
        <v>28</v>
      </c>
      <c r="D144" s="50">
        <f t="shared" si="8"/>
        <v>2.25</v>
      </c>
      <c r="E144" s="41">
        <f t="shared" si="9"/>
        <v>1.2016302334059616</v>
      </c>
    </row>
    <row r="145" spans="2:5">
      <c r="B145" s="20">
        <v>45717</v>
      </c>
      <c r="C145">
        <v>29</v>
      </c>
      <c r="D145" s="50">
        <f t="shared" si="8"/>
        <v>2.25</v>
      </c>
      <c r="E145" s="41">
        <f t="shared" si="9"/>
        <v>1.1746688642908147</v>
      </c>
    </row>
    <row r="146" spans="2:5">
      <c r="B146" s="20">
        <v>45901</v>
      </c>
      <c r="C146">
        <v>30</v>
      </c>
      <c r="D146" s="50">
        <f t="shared" si="8"/>
        <v>2.25</v>
      </c>
      <c r="E146" s="41">
        <f t="shared" si="9"/>
        <v>1.1483124362002484</v>
      </c>
    </row>
    <row r="147" spans="2:5">
      <c r="B147" s="20">
        <v>46082</v>
      </c>
      <c r="C147">
        <v>31</v>
      </c>
      <c r="D147" s="50">
        <f t="shared" si="8"/>
        <v>2.25</v>
      </c>
      <c r="E147" s="41">
        <f t="shared" si="9"/>
        <v>1.1225473758753648</v>
      </c>
    </row>
    <row r="148" spans="2:5">
      <c r="B148" s="20">
        <v>46266</v>
      </c>
      <c r="C148">
        <v>32</v>
      </c>
      <c r="D148" s="50">
        <f t="shared" si="8"/>
        <v>2.25</v>
      </c>
      <c r="E148" s="41">
        <f t="shared" si="9"/>
        <v>1.0973604146049003</v>
      </c>
    </row>
    <row r="149" spans="2:5">
      <c r="B149" s="20">
        <v>46447</v>
      </c>
      <c r="C149">
        <v>33</v>
      </c>
      <c r="D149" s="50">
        <f t="shared" si="8"/>
        <v>2.25</v>
      </c>
      <c r="E149" s="41">
        <f t="shared" si="9"/>
        <v>1.0727385813919892</v>
      </c>
    </row>
    <row r="150" spans="2:5">
      <c r="B150" s="20">
        <v>46631</v>
      </c>
      <c r="C150">
        <v>34</v>
      </c>
      <c r="D150" s="50">
        <f t="shared" si="8"/>
        <v>2.25</v>
      </c>
      <c r="E150" s="41">
        <f t="shared" si="9"/>
        <v>1.0486691962742489</v>
      </c>
    </row>
    <row r="151" spans="2:5">
      <c r="B151" s="20">
        <v>46813</v>
      </c>
      <c r="C151">
        <v>35</v>
      </c>
      <c r="D151" s="50">
        <f t="shared" si="8"/>
        <v>2.25</v>
      </c>
      <c r="E151" s="41">
        <f t="shared" si="9"/>
        <v>1.0251398637937452</v>
      </c>
    </row>
    <row r="152" spans="2:5">
      <c r="B152" s="20">
        <v>46997</v>
      </c>
      <c r="C152">
        <v>36</v>
      </c>
      <c r="D152" s="50">
        <f t="shared" si="8"/>
        <v>2.25</v>
      </c>
      <c r="E152" s="41">
        <f t="shared" si="9"/>
        <v>1.0021384666134723</v>
      </c>
    </row>
    <row r="153" spans="2:5">
      <c r="B153" s="20">
        <v>47178</v>
      </c>
      <c r="C153">
        <v>37</v>
      </c>
      <c r="D153" s="50">
        <f t="shared" si="8"/>
        <v>2.25</v>
      </c>
      <c r="E153" s="41">
        <f t="shared" si="9"/>
        <v>0.9796531592770642</v>
      </c>
    </row>
    <row r="154" spans="2:5">
      <c r="B154" s="20">
        <v>47362</v>
      </c>
      <c r="C154">
        <v>38</v>
      </c>
      <c r="D154" s="50">
        <f t="shared" si="8"/>
        <v>2.25</v>
      </c>
      <c r="E154" s="41">
        <f t="shared" si="9"/>
        <v>0.95767236210851847</v>
      </c>
    </row>
    <row r="155" spans="2:5">
      <c r="B155" s="20">
        <v>47543</v>
      </c>
      <c r="C155">
        <v>39</v>
      </c>
      <c r="D155" s="50">
        <f t="shared" si="8"/>
        <v>2.25</v>
      </c>
      <c r="E155" s="41">
        <f t="shared" si="9"/>
        <v>0.9361847552487973</v>
      </c>
    </row>
    <row r="156" spans="2:5">
      <c r="B156" s="20">
        <v>47727</v>
      </c>
      <c r="C156">
        <v>40</v>
      </c>
      <c r="D156" s="50">
        <f t="shared" si="8"/>
        <v>2.25</v>
      </c>
      <c r="E156" s="41">
        <f t="shared" si="9"/>
        <v>0.91517927282622868</v>
      </c>
    </row>
    <row r="157" spans="2:5">
      <c r="B157" s="20">
        <v>47908</v>
      </c>
      <c r="C157">
        <v>41</v>
      </c>
      <c r="D157" s="50">
        <f t="shared" si="8"/>
        <v>2.25</v>
      </c>
      <c r="E157" s="41">
        <f t="shared" si="9"/>
        <v>0.89464509725770869</v>
      </c>
    </row>
    <row r="158" spans="2:5">
      <c r="B158" s="20">
        <v>48092</v>
      </c>
      <c r="C158">
        <v>42</v>
      </c>
      <c r="D158" s="50">
        <f t="shared" si="8"/>
        <v>2.25</v>
      </c>
      <c r="E158" s="41">
        <f t="shared" si="9"/>
        <v>0.87457165367777134</v>
      </c>
    </row>
    <row r="159" spans="2:5">
      <c r="B159" s="20">
        <v>48274</v>
      </c>
      <c r="C159">
        <v>43</v>
      </c>
      <c r="D159" s="50">
        <f t="shared" si="8"/>
        <v>2.25</v>
      </c>
      <c r="E159" s="41">
        <f t="shared" si="9"/>
        <v>0.85494860449265275</v>
      </c>
    </row>
    <row r="160" spans="2:5">
      <c r="B160" s="20">
        <v>48458</v>
      </c>
      <c r="C160">
        <v>44</v>
      </c>
      <c r="D160" s="50">
        <f t="shared" si="8"/>
        <v>2.25</v>
      </c>
      <c r="E160" s="41">
        <f t="shared" si="9"/>
        <v>0.83576584405654897</v>
      </c>
    </row>
    <row r="161" spans="2:8">
      <c r="B161" s="20">
        <v>48639</v>
      </c>
      <c r="C161">
        <v>45</v>
      </c>
      <c r="D161" s="50">
        <f t="shared" si="8"/>
        <v>2.25</v>
      </c>
      <c r="E161" s="41">
        <f t="shared" si="9"/>
        <v>0.81701349346732421</v>
      </c>
    </row>
    <row r="162" spans="2:8">
      <c r="B162" s="20">
        <v>48823</v>
      </c>
      <c r="C162">
        <v>46</v>
      </c>
      <c r="D162" s="50">
        <f>100*$H$118/2+100</f>
        <v>102.25</v>
      </c>
      <c r="E162" s="41">
        <f t="shared" si="9"/>
        <v>36.295655027878475</v>
      </c>
    </row>
    <row r="163" spans="2:8">
      <c r="B163" s="20"/>
      <c r="D163" s="11" t="s">
        <v>64</v>
      </c>
      <c r="E163" s="41">
        <f>SUM(E117:E162)</f>
        <v>99.53099978237546</v>
      </c>
    </row>
    <row r="164" spans="2:8">
      <c r="B164" s="20"/>
      <c r="D164" t="s">
        <v>55</v>
      </c>
      <c r="E164" s="36">
        <f>E163-H123</f>
        <v>-2.1762454593954317E-7</v>
      </c>
    </row>
    <row r="165" spans="2:8">
      <c r="B165" s="20"/>
      <c r="D165" s="17"/>
      <c r="E165" s="1"/>
    </row>
    <row r="166" spans="2:8">
      <c r="B166" s="20"/>
      <c r="D166" s="17"/>
      <c r="E166" s="1"/>
    </row>
    <row r="167" spans="2:8">
      <c r="B167" s="20"/>
      <c r="D167" s="17"/>
      <c r="E167" s="1"/>
    </row>
    <row r="168" spans="2:8" ht="33.6">
      <c r="B168" s="13" t="s">
        <v>74</v>
      </c>
      <c r="D168" s="17"/>
      <c r="E168" s="1"/>
    </row>
    <row r="169" spans="2:8">
      <c r="B169" s="20"/>
      <c r="D169" s="17"/>
      <c r="E169" s="1"/>
    </row>
    <row r="170" spans="2:8">
      <c r="B170" s="20"/>
      <c r="D170" s="17"/>
      <c r="E170" s="1"/>
    </row>
    <row r="171" spans="2:8">
      <c r="B171" s="20" t="s">
        <v>75</v>
      </c>
      <c r="C171" t="s">
        <v>79</v>
      </c>
      <c r="D171" s="17" t="s">
        <v>80</v>
      </c>
      <c r="E171" s="1" t="s">
        <v>81</v>
      </c>
      <c r="F171" t="s">
        <v>82</v>
      </c>
      <c r="G171" t="s">
        <v>85</v>
      </c>
      <c r="H171" t="s">
        <v>83</v>
      </c>
    </row>
    <row r="172" spans="2:8">
      <c r="B172" s="20" t="s">
        <v>76</v>
      </c>
      <c r="C172">
        <v>7.0000000000000007E-2</v>
      </c>
      <c r="D172" s="17">
        <v>5</v>
      </c>
      <c r="E172" s="14">
        <v>10000</v>
      </c>
      <c r="F172" s="14">
        <v>9209</v>
      </c>
      <c r="G172" s="39">
        <f>F172/E172*100</f>
        <v>92.09</v>
      </c>
      <c r="H172" s="42">
        <f>YIELD($C$176,DATE(YEAR($C$176)+D172,MONTH($C$176),DAY($C$176)),C172,G172,100,2)</f>
        <v>8.9992774458843572E-2</v>
      </c>
    </row>
    <row r="173" spans="2:8">
      <c r="B173" s="20" t="s">
        <v>78</v>
      </c>
      <c r="C173">
        <v>0.105</v>
      </c>
      <c r="D173" s="17">
        <v>7</v>
      </c>
      <c r="E173" s="14">
        <v>20000</v>
      </c>
      <c r="F173" s="14">
        <v>20000</v>
      </c>
      <c r="G173" s="39">
        <f t="shared" ref="G173:G174" si="10">F173/E173*100</f>
        <v>100</v>
      </c>
      <c r="H173" s="42">
        <f>YIELD($C$176,DATE(YEAR($C$176)+D173,MONTH($C$176),DAY($C$176)),C173,G173,100,2)</f>
        <v>0.105</v>
      </c>
    </row>
    <row r="174" spans="2:8">
      <c r="B174" s="20" t="s">
        <v>77</v>
      </c>
      <c r="C174">
        <v>0.06</v>
      </c>
      <c r="D174" s="17">
        <v>3</v>
      </c>
      <c r="E174" s="14">
        <v>30000</v>
      </c>
      <c r="F174" s="14">
        <v>28050</v>
      </c>
      <c r="G174" s="39">
        <f t="shared" si="10"/>
        <v>93.5</v>
      </c>
      <c r="H174" s="42">
        <f>YIELD($C$176,DATE(YEAR($C$176)+D174,MONTH($C$176),DAY($C$176)),C174,G174,100,2)</f>
        <v>8.5001302866310982E-2</v>
      </c>
    </row>
    <row r="175" spans="2:8">
      <c r="B175" s="20"/>
      <c r="D175" s="17"/>
      <c r="E175" s="1"/>
      <c r="G175" s="28" t="s">
        <v>97</v>
      </c>
      <c r="H175" s="42">
        <f>AVERAGE(H172:H174)</f>
        <v>9.3331359108384845E-2</v>
      </c>
    </row>
    <row r="176" spans="2:8">
      <c r="B176" t="s">
        <v>84</v>
      </c>
      <c r="C176" s="20">
        <v>44927</v>
      </c>
      <c r="D176" s="17"/>
      <c r="E176" s="1"/>
      <c r="G176" s="28" t="s">
        <v>98</v>
      </c>
      <c r="H176" s="40">
        <f>E172/SUM(E172:E174)*H172+E173/SUM(E172:E174)*H173+E174/SUM(E172:E174)*H174</f>
        <v>9.2499447176296073E-2</v>
      </c>
    </row>
    <row r="177" spans="2:7">
      <c r="B177" s="20" t="s">
        <v>86</v>
      </c>
      <c r="C177">
        <v>2</v>
      </c>
      <c r="D177" s="17"/>
      <c r="E177" s="1"/>
    </row>
    <row r="178" spans="2:7">
      <c r="B178" s="20" t="s">
        <v>87</v>
      </c>
      <c r="D178" s="17"/>
      <c r="E178" s="1"/>
    </row>
    <row r="179" spans="2:7">
      <c r="B179" s="20" t="s">
        <v>93</v>
      </c>
      <c r="C179" s="37">
        <f>SUM(F172:F174)</f>
        <v>57259</v>
      </c>
      <c r="D179" s="17"/>
      <c r="E179" s="1"/>
    </row>
    <row r="180" spans="2:7">
      <c r="B180" s="20" t="s">
        <v>94</v>
      </c>
      <c r="C180" s="27">
        <v>9.5393232684022083E-2</v>
      </c>
      <c r="D180" s="17"/>
      <c r="E180" s="1"/>
    </row>
    <row r="183" spans="2:7">
      <c r="B183" s="20" t="s">
        <v>89</v>
      </c>
      <c r="C183" t="s">
        <v>76</v>
      </c>
      <c r="D183" s="17" t="s">
        <v>90</v>
      </c>
      <c r="E183" s="1" t="s">
        <v>77</v>
      </c>
      <c r="F183" t="s">
        <v>91</v>
      </c>
      <c r="G183" t="s">
        <v>92</v>
      </c>
    </row>
    <row r="184" spans="2:7">
      <c r="B184">
        <v>1</v>
      </c>
      <c r="C184" s="37">
        <f>$E$172*$C$172/2</f>
        <v>350.00000000000006</v>
      </c>
      <c r="D184" s="37">
        <f>$E$173*$C$173/2</f>
        <v>1050</v>
      </c>
      <c r="E184" s="41">
        <f>$E$174*$C$174/2</f>
        <v>900</v>
      </c>
      <c r="F184" s="37">
        <f>SUM(C184:E184)</f>
        <v>2300</v>
      </c>
      <c r="G184" s="49">
        <f>F184/(1+$C$180/2)^B184</f>
        <v>2195.2919997301833</v>
      </c>
    </row>
    <row r="185" spans="2:7">
      <c r="B185">
        <v>2</v>
      </c>
      <c r="C185" s="37">
        <f t="shared" ref="C185:C192" si="11">$E$172*$C$172/2</f>
        <v>350.00000000000006</v>
      </c>
      <c r="D185" s="37">
        <f t="shared" ref="D185:D196" si="12">$E$173*$C$173/2</f>
        <v>1050</v>
      </c>
      <c r="E185" s="41">
        <f t="shared" ref="E185:E188" si="13">$E$174*$C$174/2</f>
        <v>900</v>
      </c>
      <c r="F185" s="37">
        <f t="shared" ref="F185:F197" si="14">SUM(C185:E185)</f>
        <v>2300</v>
      </c>
      <c r="G185" s="49">
        <f t="shared" ref="G185:G197" si="15">F185/(1+$C$180/2)^B185</f>
        <v>2095.3508539475424</v>
      </c>
    </row>
    <row r="186" spans="2:7">
      <c r="B186">
        <v>3</v>
      </c>
      <c r="C186" s="37">
        <f t="shared" si="11"/>
        <v>350.00000000000006</v>
      </c>
      <c r="D186" s="37">
        <f t="shared" si="12"/>
        <v>1050</v>
      </c>
      <c r="E186" s="41">
        <f t="shared" si="13"/>
        <v>900</v>
      </c>
      <c r="F186" s="37">
        <f t="shared" si="14"/>
        <v>2300</v>
      </c>
      <c r="G186" s="49">
        <f t="shared" si="15"/>
        <v>1999.9595505647167</v>
      </c>
    </row>
    <row r="187" spans="2:7">
      <c r="B187">
        <v>4</v>
      </c>
      <c r="C187" s="37">
        <f t="shared" si="11"/>
        <v>350.00000000000006</v>
      </c>
      <c r="D187" s="37">
        <f t="shared" si="12"/>
        <v>1050</v>
      </c>
      <c r="E187" s="41">
        <f t="shared" si="13"/>
        <v>900</v>
      </c>
      <c r="F187" s="37">
        <f t="shared" si="14"/>
        <v>2300</v>
      </c>
      <c r="G187" s="49">
        <f t="shared" si="15"/>
        <v>1908.9109570168243</v>
      </c>
    </row>
    <row r="188" spans="2:7">
      <c r="B188">
        <v>5</v>
      </c>
      <c r="C188" s="37">
        <f t="shared" si="11"/>
        <v>350.00000000000006</v>
      </c>
      <c r="D188" s="37">
        <f t="shared" si="12"/>
        <v>1050</v>
      </c>
      <c r="E188" s="41">
        <f t="shared" si="13"/>
        <v>900</v>
      </c>
      <c r="F188" s="37">
        <f t="shared" si="14"/>
        <v>2300</v>
      </c>
      <c r="G188" s="49">
        <f t="shared" si="15"/>
        <v>1822.0073704940532</v>
      </c>
    </row>
    <row r="189" spans="2:7">
      <c r="B189">
        <v>6</v>
      </c>
      <c r="C189" s="37">
        <f t="shared" si="11"/>
        <v>350.00000000000006</v>
      </c>
      <c r="D189" s="37">
        <f t="shared" si="12"/>
        <v>1050</v>
      </c>
      <c r="E189" s="41">
        <f>$E$174*$C$174/2+E174</f>
        <v>30900</v>
      </c>
      <c r="F189" s="37">
        <f t="shared" si="14"/>
        <v>32300</v>
      </c>
      <c r="G189" s="49">
        <f t="shared" si="15"/>
        <v>24422.452549302317</v>
      </c>
    </row>
    <row r="190" spans="2:7">
      <c r="B190">
        <v>7</v>
      </c>
      <c r="C190" s="37">
        <f t="shared" si="11"/>
        <v>350.00000000000006</v>
      </c>
      <c r="D190" s="37">
        <f t="shared" si="12"/>
        <v>1050</v>
      </c>
      <c r="E190" s="1"/>
      <c r="F190" s="37">
        <f t="shared" si="14"/>
        <v>1400</v>
      </c>
      <c r="G190" s="49">
        <f t="shared" si="15"/>
        <v>1010.3672173022313</v>
      </c>
    </row>
    <row r="191" spans="2:7">
      <c r="B191">
        <v>8</v>
      </c>
      <c r="C191" s="37">
        <f t="shared" si="11"/>
        <v>350.00000000000006</v>
      </c>
      <c r="D191" s="37">
        <f t="shared" si="12"/>
        <v>1050</v>
      </c>
      <c r="E191" s="1"/>
      <c r="F191" s="37">
        <f t="shared" si="14"/>
        <v>1400</v>
      </c>
      <c r="G191" s="49">
        <f t="shared" si="15"/>
        <v>964.37002997097215</v>
      </c>
    </row>
    <row r="192" spans="2:7">
      <c r="B192">
        <v>9</v>
      </c>
      <c r="C192" s="37">
        <f t="shared" si="11"/>
        <v>350.00000000000006</v>
      </c>
      <c r="D192" s="37">
        <f t="shared" si="12"/>
        <v>1050</v>
      </c>
      <c r="E192" s="1"/>
      <c r="F192" s="37">
        <f t="shared" si="14"/>
        <v>1400</v>
      </c>
      <c r="G192" s="49">
        <f t="shared" si="15"/>
        <v>920.46687459775319</v>
      </c>
    </row>
    <row r="193" spans="2:7">
      <c r="B193">
        <v>10</v>
      </c>
      <c r="C193" s="37">
        <f>$E$172*$C$172/2+E172</f>
        <v>10350</v>
      </c>
      <c r="D193" s="37">
        <f t="shared" si="12"/>
        <v>1050</v>
      </c>
      <c r="E193" s="1"/>
      <c r="F193" s="37">
        <f t="shared" si="14"/>
        <v>11400</v>
      </c>
      <c r="G193" s="49">
        <f t="shared" si="15"/>
        <v>7154.0082765094621</v>
      </c>
    </row>
    <row r="194" spans="2:7">
      <c r="B194">
        <v>11</v>
      </c>
      <c r="D194" s="37">
        <f t="shared" si="12"/>
        <v>1050</v>
      </c>
      <c r="E194" s="1"/>
      <c r="F194" s="37">
        <f t="shared" si="14"/>
        <v>1050</v>
      </c>
      <c r="G194" s="49">
        <f t="shared" si="15"/>
        <v>628.92425599526996</v>
      </c>
    </row>
    <row r="195" spans="2:7">
      <c r="B195">
        <v>12</v>
      </c>
      <c r="D195" s="37">
        <f t="shared" si="12"/>
        <v>1050</v>
      </c>
      <c r="E195" s="1"/>
      <c r="F195" s="37">
        <f t="shared" si="14"/>
        <v>1050</v>
      </c>
      <c r="G195" s="49">
        <f t="shared" si="15"/>
        <v>600.29234244464078</v>
      </c>
    </row>
    <row r="196" spans="2:7">
      <c r="B196">
        <v>13</v>
      </c>
      <c r="D196" s="37">
        <f t="shared" si="12"/>
        <v>1050</v>
      </c>
      <c r="E196" s="1"/>
      <c r="F196" s="37">
        <f t="shared" si="14"/>
        <v>1050</v>
      </c>
      <c r="G196" s="49">
        <f t="shared" si="15"/>
        <v>572.96390298609208</v>
      </c>
    </row>
    <row r="197" spans="2:7">
      <c r="B197">
        <v>14</v>
      </c>
      <c r="D197" s="37">
        <f>$E$173*$C$173/2+E173</f>
        <v>21050</v>
      </c>
      <c r="E197" s="1"/>
      <c r="F197" s="37">
        <f t="shared" si="14"/>
        <v>21050</v>
      </c>
      <c r="G197" s="49">
        <f t="shared" si="15"/>
        <v>10963.633819117393</v>
      </c>
    </row>
    <row r="198" spans="2:7">
      <c r="B198" s="20"/>
      <c r="D198" s="17"/>
      <c r="E198" s="1"/>
      <c r="F198" s="11" t="s">
        <v>95</v>
      </c>
      <c r="G198" s="49">
        <f>SUM(G184:G197)</f>
        <v>57258.999999979453</v>
      </c>
    </row>
    <row r="199" spans="2:7">
      <c r="B199" s="20"/>
      <c r="D199" s="17"/>
      <c r="E199" s="1"/>
      <c r="F199" t="s">
        <v>96</v>
      </c>
      <c r="G199" s="37">
        <f>G198-C179</f>
        <v>-2.0547304302453995E-8</v>
      </c>
    </row>
    <row r="200" spans="2:7">
      <c r="B200" s="20"/>
      <c r="D200" s="17"/>
      <c r="E200" s="1"/>
    </row>
    <row r="201" spans="2:7">
      <c r="B201" s="20"/>
      <c r="D201" s="17"/>
      <c r="E201" s="1"/>
    </row>
    <row r="202" spans="2:7">
      <c r="B202" s="20"/>
      <c r="D202" s="17"/>
      <c r="E202" s="1"/>
    </row>
    <row r="203" spans="2:7" ht="33.6">
      <c r="B203" s="13" t="s">
        <v>99</v>
      </c>
      <c r="D203" s="17"/>
      <c r="E203" s="1"/>
    </row>
    <row r="204" spans="2:7">
      <c r="B204" s="20"/>
      <c r="D204" s="17"/>
      <c r="E204" s="1"/>
    </row>
    <row r="205" spans="2:7">
      <c r="B205" s="20" t="s">
        <v>100</v>
      </c>
      <c r="C205">
        <v>6</v>
      </c>
      <c r="D205" s="17"/>
      <c r="E205" s="1"/>
    </row>
    <row r="206" spans="2:7">
      <c r="B206" s="20" t="s">
        <v>79</v>
      </c>
      <c r="C206" t="s">
        <v>102</v>
      </c>
      <c r="D206" s="17"/>
      <c r="E206" s="1"/>
    </row>
    <row r="207" spans="2:7">
      <c r="B207" s="20" t="s">
        <v>82</v>
      </c>
      <c r="C207">
        <v>99.309799999999996</v>
      </c>
      <c r="D207" s="17"/>
      <c r="E207" s="1"/>
    </row>
    <row r="208" spans="2:7">
      <c r="B208" s="20" t="s">
        <v>101</v>
      </c>
      <c r="C208">
        <v>0.1</v>
      </c>
      <c r="D208" s="17"/>
      <c r="E208" s="1"/>
    </row>
    <row r="209" spans="2:14">
      <c r="B209" s="20" t="s">
        <v>103</v>
      </c>
      <c r="C209" s="25">
        <v>8.0000000000000002E-3</v>
      </c>
      <c r="D209" s="17"/>
      <c r="E209" s="1"/>
    </row>
    <row r="210" spans="2:14">
      <c r="B210" s="20"/>
      <c r="D210" s="17"/>
      <c r="E210" s="1"/>
    </row>
    <row r="211" spans="2:14">
      <c r="E211" s="52" t="s">
        <v>107</v>
      </c>
      <c r="F211" s="52"/>
      <c r="G211" s="52"/>
      <c r="H211" s="52"/>
      <c r="I211" s="52"/>
      <c r="K211" t="s">
        <v>92</v>
      </c>
    </row>
    <row r="212" spans="2:14">
      <c r="B212" s="20" t="s">
        <v>89</v>
      </c>
      <c r="C212" t="s">
        <v>105</v>
      </c>
      <c r="D212" t="s">
        <v>106</v>
      </c>
      <c r="E212">
        <v>8.0000000000000002E-3</v>
      </c>
      <c r="F212">
        <v>8.3999999999999995E-3</v>
      </c>
      <c r="G212">
        <v>8.8000000000000005E-3</v>
      </c>
      <c r="H212">
        <v>9.5999999999999992E-3</v>
      </c>
      <c r="I212">
        <v>0.01</v>
      </c>
      <c r="K212" s="27">
        <v>1.0368820639798101E-2</v>
      </c>
      <c r="N212" s="27"/>
    </row>
    <row r="213" spans="2:14">
      <c r="B213">
        <v>1</v>
      </c>
      <c r="C213" s="39">
        <f>$C$208</f>
        <v>0.1</v>
      </c>
      <c r="D213" s="41">
        <f>100*(C213+$C$209)/2</f>
        <v>5.4</v>
      </c>
      <c r="E213" s="40">
        <f>$D213/(1+($C213+E$212)/2)^$B213</f>
        <v>5.1233396584440225</v>
      </c>
      <c r="F213" s="40">
        <f t="shared" ref="F213:I213" si="16">$D213/(1+($C213+F$212)/2)^$B213</f>
        <v>5.122367672168469</v>
      </c>
      <c r="G213" s="40">
        <f t="shared" si="16"/>
        <v>5.1213960546282253</v>
      </c>
      <c r="H213" s="40">
        <f t="shared" si="16"/>
        <v>5.1194539249146764</v>
      </c>
      <c r="I213" s="40">
        <f t="shared" si="16"/>
        <v>5.1184834123222753</v>
      </c>
      <c r="K213" s="40">
        <f>$D213/(1+($C213+K$212)/2)^$B213</f>
        <v>5.1175888756382291</v>
      </c>
    </row>
    <row r="214" spans="2:14">
      <c r="B214">
        <v>2</v>
      </c>
      <c r="C214" s="39">
        <f t="shared" ref="C214:C224" si="17">$C$208</f>
        <v>0.1</v>
      </c>
      <c r="D214" s="41">
        <f t="shared" ref="D214:D223" si="18">100*(C214+$C$209)/2</f>
        <v>5.4</v>
      </c>
      <c r="E214" s="40">
        <f t="shared" ref="E214:I224" si="19">$D214/(1+($C214+E$212)/2)^$B214</f>
        <v>4.8608535658861696</v>
      </c>
      <c r="F214" s="40">
        <f t="shared" si="19"/>
        <v>4.8590093646067816</v>
      </c>
      <c r="G214" s="40">
        <f t="shared" si="19"/>
        <v>4.8571662126595454</v>
      </c>
      <c r="H214" s="40">
        <f t="shared" si="19"/>
        <v>4.8534830535785707</v>
      </c>
      <c r="I214" s="40">
        <f t="shared" si="19"/>
        <v>4.8516430448552379</v>
      </c>
      <c r="K214" s="40">
        <f t="shared" ref="K214:K224" si="20">$D214/(1+($C214+K$212)/2)^$B214</f>
        <v>4.8499473888992881</v>
      </c>
    </row>
    <row r="215" spans="2:14">
      <c r="B215">
        <v>3</v>
      </c>
      <c r="C215" s="39">
        <f t="shared" si="17"/>
        <v>0.1</v>
      </c>
      <c r="D215" s="41">
        <f t="shared" si="18"/>
        <v>5.4</v>
      </c>
      <c r="E215" s="40">
        <f t="shared" si="19"/>
        <v>4.6118155274062334</v>
      </c>
      <c r="F215" s="40">
        <f t="shared" si="19"/>
        <v>4.6091912014862277</v>
      </c>
      <c r="G215" s="40">
        <f t="shared" si="19"/>
        <v>4.6065688663311324</v>
      </c>
      <c r="H215" s="40">
        <f t="shared" si="19"/>
        <v>4.6013301607684589</v>
      </c>
      <c r="I215" s="40">
        <f t="shared" si="19"/>
        <v>4.5987137865926426</v>
      </c>
      <c r="K215" s="40">
        <f t="shared" si="20"/>
        <v>4.5963031120114204</v>
      </c>
    </row>
    <row r="216" spans="2:14">
      <c r="B216">
        <v>4</v>
      </c>
      <c r="C216" s="39">
        <f t="shared" si="17"/>
        <v>0.1</v>
      </c>
      <c r="D216" s="41">
        <f t="shared" si="18"/>
        <v>5.4</v>
      </c>
      <c r="E216" s="40">
        <f t="shared" si="19"/>
        <v>4.3755365535163504</v>
      </c>
      <c r="F216" s="40">
        <f t="shared" si="19"/>
        <v>4.3722170380252576</v>
      </c>
      <c r="G216" s="40">
        <f t="shared" si="19"/>
        <v>4.3689006698891619</v>
      </c>
      <c r="H216" s="40">
        <f t="shared" si="19"/>
        <v>4.3622773613656234</v>
      </c>
      <c r="I216" s="40">
        <f t="shared" si="19"/>
        <v>4.358970413831889</v>
      </c>
      <c r="K216" s="40">
        <f t="shared" si="20"/>
        <v>4.3559240139057449</v>
      </c>
    </row>
    <row r="217" spans="2:14">
      <c r="B217">
        <v>5</v>
      </c>
      <c r="C217" s="39">
        <f t="shared" si="17"/>
        <v>0.1</v>
      </c>
      <c r="D217" s="41">
        <f t="shared" si="18"/>
        <v>5.4</v>
      </c>
      <c r="E217" s="40">
        <f t="shared" si="19"/>
        <v>4.1513629540003318</v>
      </c>
      <c r="F217" s="40">
        <f t="shared" si="19"/>
        <v>4.1474265206082883</v>
      </c>
      <c r="G217" s="40">
        <f t="shared" si="19"/>
        <v>4.1434945655246223</v>
      </c>
      <c r="H217" s="40">
        <f t="shared" si="19"/>
        <v>4.1356440665203102</v>
      </c>
      <c r="I217" s="40">
        <f t="shared" si="19"/>
        <v>4.131725510741127</v>
      </c>
      <c r="K217" s="40">
        <f t="shared" si="20"/>
        <v>4.1281163475350864</v>
      </c>
    </row>
    <row r="218" spans="2:14">
      <c r="B218">
        <v>6</v>
      </c>
      <c r="C218" s="39">
        <f t="shared" si="17"/>
        <v>0.1</v>
      </c>
      <c r="D218" s="41">
        <f t="shared" si="18"/>
        <v>5.4</v>
      </c>
      <c r="E218" s="40">
        <f t="shared" si="19"/>
        <v>3.9386745294120797</v>
      </c>
      <c r="F218" s="40">
        <f t="shared" si="19"/>
        <v>3.9341932466403793</v>
      </c>
      <c r="G218" s="40">
        <f t="shared" si="19"/>
        <v>3.9297179111576468</v>
      </c>
      <c r="H218" s="40">
        <f t="shared" si="19"/>
        <v>3.9207850459995357</v>
      </c>
      <c r="I218" s="40">
        <f t="shared" si="19"/>
        <v>3.916327498332822</v>
      </c>
      <c r="K218" s="40">
        <f t="shared" si="20"/>
        <v>3.9122226476825692</v>
      </c>
    </row>
    <row r="219" spans="2:14">
      <c r="B219">
        <v>7</v>
      </c>
      <c r="C219" s="39">
        <f t="shared" si="17"/>
        <v>0.1</v>
      </c>
      <c r="D219" s="41">
        <f t="shared" si="18"/>
        <v>5.4</v>
      </c>
      <c r="E219" s="40">
        <f t="shared" si="19"/>
        <v>3.7368828552296769</v>
      </c>
      <c r="F219" s="40">
        <f t="shared" si="19"/>
        <v>3.7319230190100359</v>
      </c>
      <c r="G219" s="40">
        <f t="shared" si="19"/>
        <v>3.7269707048156744</v>
      </c>
      <c r="H219" s="40">
        <f t="shared" si="19"/>
        <v>3.7170885912016836</v>
      </c>
      <c r="I219" s="40">
        <f t="shared" si="19"/>
        <v>3.7121587661922484</v>
      </c>
      <c r="K219" s="40">
        <f t="shared" si="20"/>
        <v>3.7076198334815285</v>
      </c>
    </row>
    <row r="220" spans="2:14">
      <c r="B220">
        <v>8</v>
      </c>
      <c r="C220" s="39">
        <f t="shared" si="17"/>
        <v>0.1</v>
      </c>
      <c r="D220" s="41">
        <f t="shared" si="18"/>
        <v>5.4</v>
      </c>
      <c r="E220" s="40">
        <f t="shared" si="19"/>
        <v>3.5454296539180996</v>
      </c>
      <c r="F220" s="40">
        <f t="shared" si="19"/>
        <v>3.5400521902959921</v>
      </c>
      <c r="G220" s="40">
        <f t="shared" si="19"/>
        <v>3.5346839006218458</v>
      </c>
      <c r="H220" s="40">
        <f t="shared" si="19"/>
        <v>3.5239747736079665</v>
      </c>
      <c r="I220" s="40">
        <f t="shared" si="19"/>
        <v>3.5186339016040269</v>
      </c>
      <c r="K220" s="40">
        <f t="shared" si="20"/>
        <v>3.5137174101705066</v>
      </c>
    </row>
    <row r="221" spans="2:14">
      <c r="B221">
        <v>9</v>
      </c>
      <c r="C221" s="39">
        <f t="shared" si="17"/>
        <v>0.1</v>
      </c>
      <c r="D221" s="41">
        <f t="shared" si="18"/>
        <v>5.4</v>
      </c>
      <c r="E221" s="40">
        <f t="shared" si="19"/>
        <v>3.3637852503966785</v>
      </c>
      <c r="F221" s="40">
        <f t="shared" si="19"/>
        <v>3.3580460921039577</v>
      </c>
      <c r="G221" s="40">
        <f t="shared" si="19"/>
        <v>3.3523178116671528</v>
      </c>
      <c r="H221" s="40">
        <f t="shared" si="19"/>
        <v>3.3408937937125209</v>
      </c>
      <c r="I221" s="40">
        <f t="shared" si="19"/>
        <v>3.3351980109990778</v>
      </c>
      <c r="K221" s="40">
        <f t="shared" si="20"/>
        <v>3.3299557648935103</v>
      </c>
    </row>
    <row r="222" spans="2:14">
      <c r="B222">
        <v>10</v>
      </c>
      <c r="C222" s="39">
        <f t="shared" si="17"/>
        <v>0.1</v>
      </c>
      <c r="D222" s="41">
        <f t="shared" si="18"/>
        <v>5.4</v>
      </c>
      <c r="E222" s="40">
        <f t="shared" si="19"/>
        <v>3.1914471066382153</v>
      </c>
      <c r="F222" s="40">
        <f t="shared" si="19"/>
        <v>3.1853975451564764</v>
      </c>
      <c r="G222" s="40">
        <f t="shared" si="19"/>
        <v>3.1793605952837187</v>
      </c>
      <c r="H222" s="40">
        <f t="shared" si="19"/>
        <v>3.1673244157304898</v>
      </c>
      <c r="I222" s="40">
        <f t="shared" si="19"/>
        <v>3.1613251289090787</v>
      </c>
      <c r="K222" s="40">
        <f t="shared" si="20"/>
        <v>3.1558045516271145</v>
      </c>
    </row>
    <row r="223" spans="2:14">
      <c r="B223">
        <v>11</v>
      </c>
      <c r="C223" s="39">
        <f t="shared" si="17"/>
        <v>0.1</v>
      </c>
      <c r="D223" s="41">
        <f t="shared" si="18"/>
        <v>5.4</v>
      </c>
      <c r="E223" s="40">
        <f t="shared" si="19"/>
        <v>3.0279384313455551</v>
      </c>
      <c r="F223" s="40">
        <f t="shared" si="19"/>
        <v>3.0216254459841361</v>
      </c>
      <c r="G223" s="40">
        <f t="shared" si="19"/>
        <v>3.0153268164678666</v>
      </c>
      <c r="H223" s="40">
        <f t="shared" si="19"/>
        <v>3.0027724836276928</v>
      </c>
      <c r="I223" s="40">
        <f t="shared" si="19"/>
        <v>2.9965167098664254</v>
      </c>
      <c r="K223" s="40">
        <f t="shared" si="20"/>
        <v>2.9907611605732236</v>
      </c>
    </row>
    <row r="224" spans="2:14">
      <c r="B224">
        <v>12</v>
      </c>
      <c r="C224" s="39">
        <f t="shared" si="17"/>
        <v>0.1</v>
      </c>
      <c r="D224" s="41">
        <f>100*(C224+$C$209)/2+100</f>
        <v>105.4</v>
      </c>
      <c r="E224" s="40">
        <f t="shared" si="19"/>
        <v>56.072933913806573</v>
      </c>
      <c r="F224" s="40">
        <f t="shared" si="19"/>
        <v>55.945410949979248</v>
      </c>
      <c r="G224" s="40">
        <f t="shared" si="19"/>
        <v>55.818202111735161</v>
      </c>
      <c r="H224" s="40">
        <f t="shared" si="19"/>
        <v>55.56472348178324</v>
      </c>
      <c r="I224" s="40">
        <f t="shared" si="19"/>
        <v>55.438452030879631</v>
      </c>
      <c r="K224" s="40">
        <f t="shared" si="20"/>
        <v>55.322298667601487</v>
      </c>
    </row>
    <row r="225" spans="2:11">
      <c r="D225" s="11" t="s">
        <v>95</v>
      </c>
      <c r="E225" s="40">
        <f>SUM(E213:E224)</f>
        <v>99.999999999999986</v>
      </c>
      <c r="F225" s="40">
        <f t="shared" ref="F225:I225" si="21">SUM(F213:F224)</f>
        <v>99.826860286065255</v>
      </c>
      <c r="G225" s="40">
        <f t="shared" si="21"/>
        <v>99.654106220781756</v>
      </c>
      <c r="H225" s="40">
        <f t="shared" si="21"/>
        <v>99.309751152810776</v>
      </c>
      <c r="I225" s="40">
        <f t="shared" si="21"/>
        <v>99.138148215126478</v>
      </c>
      <c r="J225" s="11"/>
      <c r="K225" s="40">
        <f>SUM(K213:K224)</f>
        <v>98.980259774019714</v>
      </c>
    </row>
    <row r="226" spans="2:11">
      <c r="J226" t="s">
        <v>96</v>
      </c>
      <c r="K226" s="51">
        <f>K225-C207</f>
        <v>-0.32954022598028132</v>
      </c>
    </row>
    <row r="229" spans="2:11">
      <c r="B229" s="20"/>
    </row>
    <row r="230" spans="2:11">
      <c r="C230" s="52" t="s">
        <v>104</v>
      </c>
      <c r="D230" s="52"/>
      <c r="E230" s="52"/>
    </row>
    <row r="231" spans="2:11">
      <c r="B231" t="s">
        <v>88</v>
      </c>
      <c r="C231" t="s">
        <v>108</v>
      </c>
      <c r="D231" t="s">
        <v>109</v>
      </c>
      <c r="E231" t="s">
        <v>110</v>
      </c>
    </row>
    <row r="232" spans="2:11">
      <c r="B232">
        <v>1</v>
      </c>
      <c r="C232" s="25">
        <v>0.1</v>
      </c>
      <c r="D232" s="25">
        <v>0.1</v>
      </c>
      <c r="E232" s="25">
        <v>0.1</v>
      </c>
    </row>
    <row r="233" spans="2:11">
      <c r="B233">
        <v>2</v>
      </c>
      <c r="C233" s="25">
        <v>0.10100000000000001</v>
      </c>
      <c r="D233" s="25">
        <v>9.9000000000000005E-2</v>
      </c>
      <c r="E233" s="25">
        <v>0.10200000000000001</v>
      </c>
    </row>
    <row r="234" spans="2:11">
      <c r="B234">
        <v>3</v>
      </c>
      <c r="C234" s="25">
        <v>0.10200000000000001</v>
      </c>
      <c r="D234" s="25">
        <v>9.8000000000000004E-2</v>
      </c>
      <c r="E234" s="25">
        <v>0.10400000000000001</v>
      </c>
    </row>
    <row r="235" spans="2:11">
      <c r="B235">
        <v>4</v>
      </c>
      <c r="C235" s="25">
        <v>0.10300000000000001</v>
      </c>
      <c r="D235" s="25">
        <v>9.7000000000000003E-2</v>
      </c>
      <c r="E235" s="25">
        <v>0.10600000000000001</v>
      </c>
    </row>
    <row r="236" spans="2:11">
      <c r="B236">
        <v>5</v>
      </c>
      <c r="C236" s="25">
        <v>0.10400000000000001</v>
      </c>
      <c r="D236" s="25">
        <v>9.6000000000000002E-2</v>
      </c>
      <c r="E236" s="25">
        <v>0.10800000000000001</v>
      </c>
    </row>
    <row r="237" spans="2:11">
      <c r="B237">
        <v>6</v>
      </c>
      <c r="C237" s="25">
        <v>0.10500000000000001</v>
      </c>
      <c r="D237" s="25">
        <v>9.5000000000000001E-2</v>
      </c>
      <c r="E237" s="25">
        <v>0.11000000000000001</v>
      </c>
    </row>
    <row r="238" spans="2:11">
      <c r="B238">
        <v>7</v>
      </c>
      <c r="C238" s="25">
        <v>0.10600000000000001</v>
      </c>
      <c r="D238" s="25">
        <v>9.4E-2</v>
      </c>
      <c r="E238" s="25">
        <v>0.10900000000000001</v>
      </c>
    </row>
    <row r="239" spans="2:11">
      <c r="B239">
        <v>8</v>
      </c>
      <c r="C239" s="25">
        <v>0.10700000000000001</v>
      </c>
      <c r="D239" s="25">
        <v>9.2999999999999999E-2</v>
      </c>
      <c r="E239" s="25">
        <v>0.10800000000000001</v>
      </c>
    </row>
    <row r="240" spans="2:11">
      <c r="B240">
        <v>9</v>
      </c>
      <c r="C240" s="25">
        <v>0.10800000000000001</v>
      </c>
      <c r="D240" s="25">
        <v>9.1999999999999998E-2</v>
      </c>
      <c r="E240" s="25">
        <v>0.10700000000000001</v>
      </c>
    </row>
    <row r="241" spans="2:5">
      <c r="B241">
        <v>10</v>
      </c>
      <c r="C241" s="25">
        <v>0.10900000000000001</v>
      </c>
      <c r="D241" s="25">
        <v>9.0999999999999998E-2</v>
      </c>
      <c r="E241" s="25">
        <v>0.10600000000000001</v>
      </c>
    </row>
    <row r="242" spans="2:5">
      <c r="B242">
        <v>11</v>
      </c>
      <c r="C242" s="25">
        <v>0.11000000000000001</v>
      </c>
      <c r="D242" s="25">
        <v>0.09</v>
      </c>
      <c r="E242" s="25">
        <v>0.10500000000000001</v>
      </c>
    </row>
    <row r="243" spans="2:5">
      <c r="B243">
        <v>12</v>
      </c>
      <c r="C243" s="25">
        <v>0.11100000000000002</v>
      </c>
      <c r="D243" s="25">
        <v>8.8999999999999996E-2</v>
      </c>
      <c r="E243" s="25">
        <v>0.10400000000000001</v>
      </c>
    </row>
    <row r="244" spans="2:5">
      <c r="C244" s="27">
        <v>4.7674657728177632E-3</v>
      </c>
      <c r="D244" s="27">
        <v>1.44867811853896E-2</v>
      </c>
      <c r="E244" s="27">
        <v>1.0368820639798092E-2</v>
      </c>
    </row>
    <row r="249" spans="2:5" ht="33.6">
      <c r="B249" s="13" t="s">
        <v>111</v>
      </c>
    </row>
    <row r="251" spans="2:5">
      <c r="B251" s="18" t="s">
        <v>112</v>
      </c>
      <c r="C251">
        <v>1000</v>
      </c>
    </row>
    <row r="252" spans="2:5">
      <c r="B252" s="30" t="s">
        <v>60</v>
      </c>
      <c r="C252">
        <v>15</v>
      </c>
    </row>
    <row r="253" spans="2:5">
      <c r="B253" s="30" t="s">
        <v>79</v>
      </c>
      <c r="C253">
        <v>7.0000000000000007E-2</v>
      </c>
    </row>
    <row r="254" spans="2:5">
      <c r="B254" s="30" t="s">
        <v>26</v>
      </c>
      <c r="C254">
        <v>769.4</v>
      </c>
    </row>
    <row r="255" spans="2:5">
      <c r="B255" s="30" t="s">
        <v>115</v>
      </c>
      <c r="C255" s="29">
        <v>2</v>
      </c>
    </row>
    <row r="256" spans="2:5">
      <c r="B256" s="30" t="s">
        <v>121</v>
      </c>
      <c r="C256" s="1">
        <v>0.1</v>
      </c>
    </row>
    <row r="257" spans="2:11">
      <c r="B257" s="30" t="s">
        <v>113</v>
      </c>
      <c r="C257">
        <v>0.08</v>
      </c>
    </row>
    <row r="258" spans="2:11">
      <c r="B258" s="30" t="s">
        <v>118</v>
      </c>
      <c r="C258">
        <v>2</v>
      </c>
    </row>
    <row r="260" spans="2:11">
      <c r="B260" t="s">
        <v>114</v>
      </c>
      <c r="C260" t="s">
        <v>116</v>
      </c>
      <c r="D260" t="s">
        <v>117</v>
      </c>
      <c r="E260" t="s">
        <v>125</v>
      </c>
      <c r="H260" t="s">
        <v>124</v>
      </c>
      <c r="I260" t="s">
        <v>122</v>
      </c>
      <c r="J260" t="s">
        <v>127</v>
      </c>
      <c r="K260" t="s">
        <v>123</v>
      </c>
    </row>
    <row r="261" spans="2:11">
      <c r="B261">
        <v>1</v>
      </c>
      <c r="C261" s="39">
        <f>$C$251*$C$253/2</f>
        <v>35</v>
      </c>
      <c r="D261" s="39">
        <f>C261* (1+$C$257/2)^(30-B261)</f>
        <v>109.15280081823461</v>
      </c>
      <c r="E261" s="39">
        <f>C261/(1+$C$256/2)^B261</f>
        <v>33.333333333333329</v>
      </c>
      <c r="H261">
        <v>1</v>
      </c>
      <c r="I261" s="39">
        <f>$C$251*$C$253/2*((1+$C$256/2)^H261-1)/($C$256/2) + $C$251</f>
        <v>1035</v>
      </c>
      <c r="J261" s="39">
        <f>I261-$C$251-H261*$C$251*$C$253/2</f>
        <v>0</v>
      </c>
      <c r="K261" s="39">
        <f>J261/I261</f>
        <v>0</v>
      </c>
    </row>
    <row r="262" spans="2:11">
      <c r="B262">
        <v>2</v>
      </c>
      <c r="C262" s="39">
        <f t="shared" ref="C262:C290" si="22">$C$251*$C$253/2</f>
        <v>35</v>
      </c>
      <c r="D262" s="39">
        <f t="shared" ref="D262:D290" si="23">C262* (1+$C$257/2)^(30-B262)</f>
        <v>104.95461617137943</v>
      </c>
      <c r="E262" s="39">
        <f t="shared" ref="E262:E289" si="24">C262/(1+$C$256/2)^B262</f>
        <v>31.746031746031743</v>
      </c>
      <c r="H262">
        <v>2</v>
      </c>
      <c r="I262" s="39">
        <f t="shared" ref="I262:I290" si="25">$C$251*$C$253/2*((1+$C$256/2)^H262-1)/($C$256/2) + $C$251</f>
        <v>1071.75</v>
      </c>
      <c r="J262" s="39">
        <f t="shared" ref="J262:J280" si="26">I262-$C$251-H262*$C$251*$C$253/2</f>
        <v>1.75</v>
      </c>
      <c r="K262" s="39">
        <f t="shared" ref="K262:K280" si="27">J262/I262</f>
        <v>1.6328434802892467E-3</v>
      </c>
    </row>
    <row r="263" spans="2:11">
      <c r="B263">
        <v>3</v>
      </c>
      <c r="C263" s="39">
        <f t="shared" si="22"/>
        <v>35</v>
      </c>
      <c r="D263" s="39">
        <f t="shared" si="23"/>
        <v>100.91790016478789</v>
      </c>
      <c r="E263" s="39">
        <f t="shared" si="24"/>
        <v>30.234315948601658</v>
      </c>
      <c r="H263">
        <v>3</v>
      </c>
      <c r="I263" s="39">
        <f t="shared" si="25"/>
        <v>1110.3375000000001</v>
      </c>
      <c r="J263" s="39">
        <f t="shared" si="26"/>
        <v>5.3375000000000767</v>
      </c>
      <c r="K263" s="39">
        <f t="shared" si="27"/>
        <v>4.8070969412454109E-3</v>
      </c>
    </row>
    <row r="264" spans="2:11">
      <c r="B264">
        <v>4</v>
      </c>
      <c r="C264" s="39">
        <f t="shared" si="22"/>
        <v>35</v>
      </c>
      <c r="D264" s="39">
        <f t="shared" si="23"/>
        <v>97.036442466142205</v>
      </c>
      <c r="E264" s="39">
        <f t="shared" si="24"/>
        <v>28.794586617715868</v>
      </c>
      <c r="H264">
        <v>4</v>
      </c>
      <c r="I264" s="39">
        <f t="shared" si="25"/>
        <v>1150.8543749999999</v>
      </c>
      <c r="J264" s="39">
        <f t="shared" si="26"/>
        <v>10.854374999999891</v>
      </c>
      <c r="K264" s="39">
        <f t="shared" si="27"/>
        <v>9.4315799077532222E-3</v>
      </c>
    </row>
    <row r="265" spans="2:11">
      <c r="B265">
        <v>5</v>
      </c>
      <c r="C265" s="39">
        <f t="shared" si="22"/>
        <v>35</v>
      </c>
      <c r="D265" s="39">
        <f t="shared" si="23"/>
        <v>93.304271602059814</v>
      </c>
      <c r="E265" s="39">
        <f t="shared" si="24"/>
        <v>27.423415826396063</v>
      </c>
      <c r="H265">
        <v>5</v>
      </c>
      <c r="I265" s="39">
        <f t="shared" si="25"/>
        <v>1193.3970937500001</v>
      </c>
      <c r="J265" s="39">
        <f t="shared" si="26"/>
        <v>18.397093750000039</v>
      </c>
      <c r="K265" s="39">
        <f t="shared" si="27"/>
        <v>1.5415735337674596E-2</v>
      </c>
    </row>
    <row r="266" spans="2:11">
      <c r="B266">
        <v>6</v>
      </c>
      <c r="C266" s="39">
        <f t="shared" si="22"/>
        <v>35</v>
      </c>
      <c r="D266" s="39">
        <f t="shared" si="23"/>
        <v>89.715645771211342</v>
      </c>
      <c r="E266" s="39">
        <f t="shared" si="24"/>
        <v>26.11753888228197</v>
      </c>
      <c r="H266">
        <v>6</v>
      </c>
      <c r="I266" s="39">
        <f t="shared" si="25"/>
        <v>1238.0669484375001</v>
      </c>
      <c r="J266" s="39">
        <f t="shared" si="26"/>
        <v>28.066948437500031</v>
      </c>
      <c r="K266" s="39">
        <f t="shared" si="27"/>
        <v>2.2669976347338784E-2</v>
      </c>
    </row>
    <row r="267" spans="2:11">
      <c r="B267">
        <v>7</v>
      </c>
      <c r="C267" s="39">
        <f t="shared" si="22"/>
        <v>35</v>
      </c>
      <c r="D267" s="39">
        <f t="shared" si="23"/>
        <v>86.26504401078013</v>
      </c>
      <c r="E267" s="39">
        <f t="shared" si="24"/>
        <v>24.873846554554252</v>
      </c>
      <c r="H267">
        <v>7</v>
      </c>
      <c r="I267" s="39">
        <f t="shared" si="25"/>
        <v>1284.9702958593753</v>
      </c>
      <c r="J267" s="39">
        <f t="shared" si="26"/>
        <v>39.970295859375227</v>
      </c>
      <c r="K267" s="39">
        <f t="shared" si="27"/>
        <v>3.1106007654942321E-2</v>
      </c>
    </row>
    <row r="268" spans="2:11">
      <c r="B268">
        <v>8</v>
      </c>
      <c r="C268" s="39">
        <f t="shared" si="22"/>
        <v>35</v>
      </c>
      <c r="D268" s="39">
        <f t="shared" si="23"/>
        <v>82.947157702673209</v>
      </c>
      <c r="E268" s="39">
        <f t="shared" si="24"/>
        <v>23.689377671004053</v>
      </c>
      <c r="H268">
        <v>8</v>
      </c>
      <c r="I268" s="39">
        <f t="shared" si="25"/>
        <v>1334.2188106523438</v>
      </c>
      <c r="J268" s="39">
        <f t="shared" si="26"/>
        <v>54.218810652343791</v>
      </c>
      <c r="K268" s="39">
        <f t="shared" si="27"/>
        <v>4.0637120552838267E-2</v>
      </c>
    </row>
    <row r="269" spans="2:11">
      <c r="B269">
        <v>9</v>
      </c>
      <c r="C269" s="39">
        <f t="shared" si="22"/>
        <v>35</v>
      </c>
      <c r="D269" s="39">
        <f t="shared" si="23"/>
        <v>79.756882406416551</v>
      </c>
      <c r="E269" s="39">
        <f t="shared" si="24"/>
        <v>22.561312067622904</v>
      </c>
      <c r="H269">
        <v>9</v>
      </c>
      <c r="I269" s="39">
        <f t="shared" si="25"/>
        <v>1385.9297511849611</v>
      </c>
      <c r="J269" s="39">
        <f t="shared" si="26"/>
        <v>70.929751184961049</v>
      </c>
      <c r="K269" s="39">
        <f t="shared" si="27"/>
        <v>5.1178460614123164E-2</v>
      </c>
    </row>
    <row r="270" spans="2:11">
      <c r="B270">
        <v>10</v>
      </c>
      <c r="C270" s="39">
        <f t="shared" si="22"/>
        <v>35</v>
      </c>
      <c r="D270" s="39">
        <f t="shared" si="23"/>
        <v>76.689310006169748</v>
      </c>
      <c r="E270" s="39">
        <f t="shared" si="24"/>
        <v>21.486963873926577</v>
      </c>
      <c r="H270">
        <v>10</v>
      </c>
      <c r="I270" s="39">
        <f t="shared" si="25"/>
        <v>1440.226238744209</v>
      </c>
      <c r="J270" s="39">
        <f t="shared" si="26"/>
        <v>90.226238744208956</v>
      </c>
      <c r="K270" s="39">
        <f t="shared" si="27"/>
        <v>6.2647267711828963E-2</v>
      </c>
    </row>
    <row r="271" spans="2:11">
      <c r="B271">
        <v>11</v>
      </c>
      <c r="C271" s="39">
        <f t="shared" si="22"/>
        <v>35</v>
      </c>
      <c r="D271" s="39">
        <f t="shared" si="23"/>
        <v>73.739721159778597</v>
      </c>
      <c r="E271" s="39">
        <f t="shared" si="24"/>
        <v>20.46377511802531</v>
      </c>
      <c r="H271">
        <v>11</v>
      </c>
      <c r="I271" s="39">
        <f t="shared" si="25"/>
        <v>1497.2375506814196</v>
      </c>
      <c r="J271" s="39">
        <f t="shared" si="26"/>
        <v>112.23755068141958</v>
      </c>
      <c r="K271" s="39">
        <f t="shared" si="27"/>
        <v>7.4963088275696976E-2</v>
      </c>
    </row>
    <row r="272" spans="2:11">
      <c r="B272">
        <v>12</v>
      </c>
      <c r="C272" s="39">
        <f t="shared" si="22"/>
        <v>35</v>
      </c>
      <c r="D272" s="39">
        <f t="shared" si="23"/>
        <v>70.903578038248654</v>
      </c>
      <c r="E272" s="39">
        <f t="shared" si="24"/>
        <v>19.489309636214582</v>
      </c>
      <c r="H272">
        <v>12</v>
      </c>
      <c r="I272" s="39">
        <f t="shared" si="25"/>
        <v>1557.0994282154904</v>
      </c>
      <c r="J272" s="39">
        <f t="shared" si="26"/>
        <v>137.09942821549038</v>
      </c>
      <c r="K272" s="39">
        <f t="shared" si="27"/>
        <v>8.8047960028225555E-2</v>
      </c>
    </row>
    <row r="273" spans="2:11">
      <c r="B273">
        <v>13</v>
      </c>
      <c r="C273" s="39">
        <f t="shared" si="22"/>
        <v>35</v>
      </c>
      <c r="D273" s="39">
        <f t="shared" si="23"/>
        <v>68.176517344469858</v>
      </c>
      <c r="E273" s="39">
        <f t="shared" si="24"/>
        <v>18.561247272585312</v>
      </c>
      <c r="H273">
        <v>13</v>
      </c>
      <c r="I273" s="39">
        <f t="shared" si="25"/>
        <v>1619.9543996262651</v>
      </c>
      <c r="J273" s="39">
        <f t="shared" si="26"/>
        <v>164.954399626265</v>
      </c>
      <c r="K273" s="39">
        <f t="shared" si="27"/>
        <v>0.1018265697258646</v>
      </c>
    </row>
    <row r="274" spans="2:11">
      <c r="B274">
        <v>14</v>
      </c>
      <c r="C274" s="39">
        <f t="shared" si="22"/>
        <v>35</v>
      </c>
      <c r="D274" s="39">
        <f t="shared" si="23"/>
        <v>65.554343600451773</v>
      </c>
      <c r="E274" s="39">
        <f t="shared" si="24"/>
        <v>17.67737835484316</v>
      </c>
      <c r="H274">
        <v>14</v>
      </c>
      <c r="I274" s="39">
        <f t="shared" si="25"/>
        <v>1685.952119607578</v>
      </c>
      <c r="J274" s="39">
        <f t="shared" si="26"/>
        <v>195.95211960757791</v>
      </c>
      <c r="K274" s="39">
        <f t="shared" si="27"/>
        <v>0.11622638468118994</v>
      </c>
    </row>
    <row r="275" spans="2:11">
      <c r="B275">
        <v>15</v>
      </c>
      <c r="C275" s="39">
        <f t="shared" si="22"/>
        <v>35</v>
      </c>
      <c r="D275" s="39">
        <f t="shared" si="23"/>
        <v>63.033022692742087</v>
      </c>
      <c r="E275" s="39">
        <f t="shared" si="24"/>
        <v>16.835598433183957</v>
      </c>
      <c r="H275">
        <v>15</v>
      </c>
      <c r="I275" s="39">
        <f t="shared" si="25"/>
        <v>1755.2497255879575</v>
      </c>
      <c r="J275" s="39">
        <f t="shared" si="26"/>
        <v>230.24972558795753</v>
      </c>
      <c r="K275" s="39">
        <f t="shared" si="27"/>
        <v>0.13117775905695161</v>
      </c>
    </row>
    <row r="276" spans="2:11">
      <c r="B276">
        <v>16</v>
      </c>
      <c r="C276" s="39">
        <f t="shared" si="22"/>
        <v>35</v>
      </c>
      <c r="D276" s="39">
        <f t="shared" si="23"/>
        <v>60.608675666098158</v>
      </c>
      <c r="E276" s="39">
        <f t="shared" si="24"/>
        <v>16.033903269699007</v>
      </c>
      <c r="H276">
        <v>16</v>
      </c>
      <c r="I276" s="39">
        <f t="shared" si="25"/>
        <v>1828.0122118673553</v>
      </c>
      <c r="J276" s="39">
        <f t="shared" si="26"/>
        <v>268.01221186735529</v>
      </c>
      <c r="K276" s="39">
        <f t="shared" si="27"/>
        <v>0.14661401610308436</v>
      </c>
    </row>
    <row r="277" spans="2:11">
      <c r="B277">
        <v>17</v>
      </c>
      <c r="C277" s="39">
        <f t="shared" si="22"/>
        <v>35</v>
      </c>
      <c r="D277" s="39">
        <f t="shared" si="23"/>
        <v>58.277572755863616</v>
      </c>
      <c r="E277" s="39">
        <f t="shared" si="24"/>
        <v>15.270384066380005</v>
      </c>
      <c r="H277">
        <v>17</v>
      </c>
      <c r="I277" s="39">
        <f t="shared" si="25"/>
        <v>1904.4128224607232</v>
      </c>
      <c r="J277" s="39">
        <f t="shared" si="26"/>
        <v>309.41282246072319</v>
      </c>
      <c r="K277" s="39">
        <f t="shared" si="27"/>
        <v>0.16247150765395801</v>
      </c>
    </row>
    <row r="278" spans="2:11">
      <c r="B278">
        <v>18</v>
      </c>
      <c r="C278" s="39">
        <f t="shared" si="22"/>
        <v>35</v>
      </c>
      <c r="D278" s="39">
        <f t="shared" si="23"/>
        <v>56.03612764986886</v>
      </c>
      <c r="E278" s="39">
        <f t="shared" si="24"/>
        <v>14.543222920361909</v>
      </c>
      <c r="H278">
        <v>18</v>
      </c>
      <c r="I278" s="39">
        <f t="shared" si="25"/>
        <v>1984.6334635837593</v>
      </c>
      <c r="J278" s="39">
        <f t="shared" si="26"/>
        <v>354.63346358375918</v>
      </c>
      <c r="K278" s="39">
        <f t="shared" si="27"/>
        <v>0.17868965231664413</v>
      </c>
    </row>
    <row r="279" spans="2:11">
      <c r="B279">
        <v>19</v>
      </c>
      <c r="C279" s="39">
        <f t="shared" si="22"/>
        <v>35</v>
      </c>
      <c r="D279" s="39">
        <f t="shared" si="23"/>
        <v>53.880891971027737</v>
      </c>
      <c r="E279" s="39">
        <f t="shared" si="24"/>
        <v>13.850688495582771</v>
      </c>
      <c r="H279">
        <v>19</v>
      </c>
      <c r="I279" s="39">
        <f t="shared" si="25"/>
        <v>2068.8651367629473</v>
      </c>
      <c r="J279" s="39">
        <f t="shared" si="26"/>
        <v>403.86513676294715</v>
      </c>
      <c r="K279" s="39">
        <f t="shared" si="27"/>
        <v>0.1952109538637474</v>
      </c>
    </row>
    <row r="280" spans="2:11">
      <c r="B280">
        <v>20</v>
      </c>
      <c r="C280" s="39">
        <f t="shared" si="22"/>
        <v>35</v>
      </c>
      <c r="D280" s="39">
        <f t="shared" si="23"/>
        <v>51.80854997214206</v>
      </c>
      <c r="E280" s="39">
        <f t="shared" si="24"/>
        <v>13.191131900555021</v>
      </c>
      <c r="H280">
        <v>20</v>
      </c>
      <c r="I280" s="39">
        <f t="shared" si="25"/>
        <v>2157.3083936010944</v>
      </c>
      <c r="J280" s="39">
        <f t="shared" si="26"/>
        <v>457.30839360109428</v>
      </c>
      <c r="K280" s="39">
        <f t="shared" si="27"/>
        <v>0.21198100139856718</v>
      </c>
    </row>
    <row r="281" spans="2:11">
      <c r="B281">
        <v>21</v>
      </c>
      <c r="C281" s="39">
        <f t="shared" si="22"/>
        <v>35</v>
      </c>
      <c r="D281" s="39">
        <f t="shared" si="23"/>
        <v>49.815913434751984</v>
      </c>
      <c r="E281" s="39">
        <f t="shared" si="24"/>
        <v>12.562982762433354</v>
      </c>
      <c r="H281">
        <v>21</v>
      </c>
      <c r="I281" s="39">
        <f t="shared" si="25"/>
        <v>2250.1738132811493</v>
      </c>
      <c r="J281" s="39">
        <f t="shared" ref="J281:J290" si="28">I281-$C$251-H281*$C$251*$C$253/2</f>
        <v>515.17381328114914</v>
      </c>
      <c r="K281" s="39">
        <f t="shared" ref="K281:K290" si="29">J281/I281</f>
        <v>0.22894845288859489</v>
      </c>
    </row>
    <row r="282" spans="2:11">
      <c r="B282">
        <v>22</v>
      </c>
      <c r="C282" s="39">
        <f t="shared" si="22"/>
        <v>35</v>
      </c>
      <c r="D282" s="39">
        <f t="shared" si="23"/>
        <v>47.899916764184596</v>
      </c>
      <c r="E282" s="39">
        <f t="shared" si="24"/>
        <v>11.964745488031767</v>
      </c>
      <c r="H282">
        <v>22</v>
      </c>
      <c r="I282" s="39">
        <f t="shared" si="25"/>
        <v>2347.6825039452065</v>
      </c>
      <c r="J282" s="39">
        <f t="shared" si="28"/>
        <v>577.68250394520635</v>
      </c>
      <c r="K282" s="39">
        <f t="shared" si="29"/>
        <v>0.24606500366826822</v>
      </c>
    </row>
    <row r="283" spans="2:11">
      <c r="B283">
        <v>23</v>
      </c>
      <c r="C283" s="39">
        <f t="shared" si="22"/>
        <v>35</v>
      </c>
      <c r="D283" s="39">
        <f t="shared" si="23"/>
        <v>46.057612273254406</v>
      </c>
      <c r="E283" s="39">
        <f t="shared" si="24"/>
        <v>11.394995702887394</v>
      </c>
      <c r="H283">
        <v>23</v>
      </c>
      <c r="I283" s="39">
        <f t="shared" si="25"/>
        <v>2450.0666291424673</v>
      </c>
      <c r="J283" s="39">
        <f t="shared" si="28"/>
        <v>645.06662914246715</v>
      </c>
      <c r="K283" s="39">
        <f t="shared" si="29"/>
        <v>0.26328534149630167</v>
      </c>
    </row>
    <row r="284" spans="2:11">
      <c r="B284">
        <v>24</v>
      </c>
      <c r="C284" s="39">
        <f t="shared" si="22"/>
        <v>35</v>
      </c>
      <c r="D284" s="39">
        <f t="shared" si="23"/>
        <v>44.286165647360015</v>
      </c>
      <c r="E284" s="39">
        <f t="shared" si="24"/>
        <v>10.852376859892757</v>
      </c>
      <c r="H284">
        <v>24</v>
      </c>
      <c r="I284" s="39">
        <f t="shared" si="25"/>
        <v>2557.5699605995906</v>
      </c>
      <c r="J284" s="39">
        <f t="shared" si="28"/>
        <v>717.56996059959044</v>
      </c>
      <c r="K284" s="39">
        <f t="shared" si="29"/>
        <v>0.28056708971955752</v>
      </c>
    </row>
    <row r="285" spans="2:11">
      <c r="B285">
        <v>25</v>
      </c>
      <c r="C285" s="39">
        <f t="shared" si="22"/>
        <v>35</v>
      </c>
      <c r="D285" s="39">
        <f t="shared" si="23"/>
        <v>42.582851584000011</v>
      </c>
      <c r="E285" s="39">
        <f t="shared" si="24"/>
        <v>10.335597009421674</v>
      </c>
      <c r="H285">
        <v>25</v>
      </c>
      <c r="I285" s="39">
        <f t="shared" si="25"/>
        <v>2670.4484586295703</v>
      </c>
      <c r="J285" s="39">
        <f t="shared" si="28"/>
        <v>795.44845862957015</v>
      </c>
      <c r="K285" s="39">
        <f t="shared" si="29"/>
        <v>0.29787074004707847</v>
      </c>
    </row>
    <row r="286" spans="2:11">
      <c r="B286">
        <v>26</v>
      </c>
      <c r="C286" s="39">
        <f t="shared" si="22"/>
        <v>35</v>
      </c>
      <c r="D286" s="39">
        <f t="shared" si="23"/>
        <v>40.945049600000004</v>
      </c>
      <c r="E286" s="39">
        <f t="shared" si="24"/>
        <v>9.8434257232587363</v>
      </c>
      <c r="H286">
        <v>26</v>
      </c>
      <c r="I286" s="39">
        <f t="shared" si="25"/>
        <v>2788.9708815610484</v>
      </c>
      <c r="J286" s="39">
        <f t="shared" si="28"/>
        <v>878.97088156104826</v>
      </c>
      <c r="K286" s="39">
        <f t="shared" si="29"/>
        <v>0.31515957637717212</v>
      </c>
    </row>
    <row r="287" spans="2:11">
      <c r="B287">
        <v>27</v>
      </c>
      <c r="C287" s="39">
        <f t="shared" si="22"/>
        <v>35</v>
      </c>
      <c r="D287" s="39">
        <f t="shared" si="23"/>
        <v>39.370240000000003</v>
      </c>
      <c r="E287" s="39">
        <f t="shared" si="24"/>
        <v>9.3746911650083202</v>
      </c>
      <c r="H287">
        <v>27</v>
      </c>
      <c r="I287" s="39">
        <f t="shared" si="25"/>
        <v>2913.4194256391011</v>
      </c>
      <c r="J287" s="39">
        <f t="shared" si="28"/>
        <v>968.41942563910095</v>
      </c>
      <c r="K287" s="39">
        <f t="shared" si="29"/>
        <v>0.3323995910498414</v>
      </c>
    </row>
    <row r="288" spans="2:11">
      <c r="B288">
        <v>28</v>
      </c>
      <c r="C288" s="39">
        <f t="shared" si="22"/>
        <v>35</v>
      </c>
      <c r="D288" s="39">
        <f t="shared" si="23"/>
        <v>37.856000000000002</v>
      </c>
      <c r="E288" s="39">
        <f t="shared" si="24"/>
        <v>8.9282773000079239</v>
      </c>
      <c r="H288">
        <v>28</v>
      </c>
      <c r="I288" s="39">
        <f t="shared" si="25"/>
        <v>3044.0903969210558</v>
      </c>
      <c r="J288" s="39">
        <f t="shared" si="28"/>
        <v>1064.0903969210558</v>
      </c>
      <c r="K288" s="39">
        <f t="shared" si="29"/>
        <v>0.34955939481867215</v>
      </c>
    </row>
    <row r="289" spans="2:11">
      <c r="B289">
        <v>29</v>
      </c>
      <c r="C289" s="39">
        <f t="shared" si="22"/>
        <v>35</v>
      </c>
      <c r="D289" s="39">
        <f t="shared" si="23"/>
        <v>36.4</v>
      </c>
      <c r="E289" s="39">
        <f t="shared" si="24"/>
        <v>8.5031212381027839</v>
      </c>
      <c r="H289">
        <v>29</v>
      </c>
      <c r="I289" s="39">
        <f t="shared" si="25"/>
        <v>3181.294916767109</v>
      </c>
      <c r="J289" s="39">
        <f t="shared" si="28"/>
        <v>1166.294916767109</v>
      </c>
      <c r="K289" s="39">
        <f t="shared" si="29"/>
        <v>0.36661012175266028</v>
      </c>
    </row>
    <row r="290" spans="2:11">
      <c r="B290">
        <v>30</v>
      </c>
      <c r="C290" s="39">
        <f t="shared" si="22"/>
        <v>35</v>
      </c>
      <c r="D290" s="39">
        <f t="shared" si="23"/>
        <v>35</v>
      </c>
      <c r="E290" s="39">
        <f>(C251+C290)/(1+$C$256/2)^B290</f>
        <v>239.47565935881318</v>
      </c>
      <c r="H290">
        <v>30</v>
      </c>
      <c r="I290" s="39">
        <f t="shared" si="25"/>
        <v>3325.3596626054637</v>
      </c>
      <c r="J290" s="39">
        <f t="shared" si="28"/>
        <v>1275.3596626054637</v>
      </c>
      <c r="K290" s="39">
        <f t="shared" si="29"/>
        <v>0.38352533019126189</v>
      </c>
    </row>
    <row r="291" spans="2:11">
      <c r="C291" s="11" t="s">
        <v>119</v>
      </c>
      <c r="D291" s="49">
        <f>SUM(D261:D290)</f>
        <v>1962.9728212740977</v>
      </c>
      <c r="E291" s="49">
        <f>SUM(E261:E290)</f>
        <v>769.41323459675755</v>
      </c>
    </row>
    <row r="292" spans="2:11">
      <c r="C292" t="s">
        <v>120</v>
      </c>
      <c r="D292" s="49">
        <f>D291-C290*30</f>
        <v>912.97282127409767</v>
      </c>
      <c r="E292" t="s">
        <v>126</v>
      </c>
      <c r="F292" s="46">
        <f>E291-C254</f>
        <v>1.3234596757570216E-2</v>
      </c>
    </row>
    <row r="298" spans="2:11" ht="33.6">
      <c r="B298" s="13" t="s">
        <v>128</v>
      </c>
    </row>
    <row r="301" spans="2:11">
      <c r="B301" s="18" t="s">
        <v>129</v>
      </c>
      <c r="C301">
        <v>1000</v>
      </c>
    </row>
    <row r="302" spans="2:11">
      <c r="B302" s="18" t="s">
        <v>130</v>
      </c>
      <c r="C302">
        <v>13</v>
      </c>
    </row>
    <row r="303" spans="2:11">
      <c r="B303" s="18" t="s">
        <v>132</v>
      </c>
      <c r="C303">
        <v>0.09</v>
      </c>
    </row>
    <row r="304" spans="2:11">
      <c r="B304" s="18" t="s">
        <v>133</v>
      </c>
      <c r="C304">
        <v>1000</v>
      </c>
    </row>
    <row r="305" spans="2:9">
      <c r="B305" s="18" t="s">
        <v>131</v>
      </c>
      <c r="C305">
        <v>0.09</v>
      </c>
      <c r="D305" t="s">
        <v>134</v>
      </c>
    </row>
    <row r="306" spans="2:9">
      <c r="B306" s="18" t="s">
        <v>137</v>
      </c>
      <c r="C306">
        <v>0.08</v>
      </c>
    </row>
    <row r="307" spans="2:9">
      <c r="B307" s="18" t="s">
        <v>138</v>
      </c>
      <c r="C307">
        <v>0.1</v>
      </c>
    </row>
    <row r="308" spans="2:9">
      <c r="B308" s="18" t="s">
        <v>139</v>
      </c>
      <c r="C308">
        <v>0.106</v>
      </c>
    </row>
    <row r="309" spans="2:9">
      <c r="B309" s="31" t="s">
        <v>142</v>
      </c>
      <c r="C309" s="39">
        <f>D327+I329</f>
        <v>1613.5391345733328</v>
      </c>
    </row>
    <row r="310" spans="2:9">
      <c r="B310" s="31" t="s">
        <v>143</v>
      </c>
      <c r="C310" s="39">
        <f>2*((C309/C301)^(1/12)-1)</f>
        <v>8.1349218403212298E-2</v>
      </c>
    </row>
    <row r="314" spans="2:9">
      <c r="B314" t="s">
        <v>135</v>
      </c>
      <c r="C314" t="s">
        <v>132</v>
      </c>
      <c r="D314" t="s">
        <v>136</v>
      </c>
      <c r="G314" t="s">
        <v>135</v>
      </c>
      <c r="H314" t="s">
        <v>132</v>
      </c>
      <c r="I314" t="s">
        <v>141</v>
      </c>
    </row>
    <row r="315" spans="2:9">
      <c r="B315">
        <v>1</v>
      </c>
      <c r="C315" s="39">
        <f>$C$301*$C$303/2</f>
        <v>45</v>
      </c>
      <c r="D315" s="39">
        <f>C315*(1+$C$306/2)^(B$326-B315)</f>
        <v>69.27543253417852</v>
      </c>
      <c r="G315">
        <v>1</v>
      </c>
      <c r="H315" s="39">
        <f>$C$301*$C$303/2</f>
        <v>45</v>
      </c>
      <c r="I315" s="39">
        <f>H315/(1+$C$308/2)^G315</f>
        <v>42.73504273504274</v>
      </c>
    </row>
    <row r="316" spans="2:9">
      <c r="B316">
        <v>2</v>
      </c>
      <c r="C316" s="39">
        <f t="shared" ref="C316:C326" si="30">$C$301*$C$303/2</f>
        <v>45</v>
      </c>
      <c r="D316" s="39">
        <f t="shared" ref="D316:D318" si="31">C316*(1+$C$306/2)^(B$326-B316)</f>
        <v>66.61099282132551</v>
      </c>
      <c r="G316">
        <v>2</v>
      </c>
      <c r="H316" s="39">
        <f t="shared" ref="H316:H327" si="32">$C$301*$C$303/2</f>
        <v>45</v>
      </c>
      <c r="I316" s="39">
        <f t="shared" ref="I316:I328" si="33">H316/(1+$C$308/2)^G316</f>
        <v>40.584086168131755</v>
      </c>
    </row>
    <row r="317" spans="2:9">
      <c r="B317">
        <v>3</v>
      </c>
      <c r="C317" s="39">
        <f t="shared" si="30"/>
        <v>45</v>
      </c>
      <c r="D317" s="39">
        <f t="shared" si="31"/>
        <v>64.049031558966831</v>
      </c>
      <c r="G317">
        <v>3</v>
      </c>
      <c r="H317" s="39">
        <f t="shared" si="32"/>
        <v>45</v>
      </c>
      <c r="I317" s="39">
        <f t="shared" si="33"/>
        <v>38.541392372394832</v>
      </c>
    </row>
    <row r="318" spans="2:9">
      <c r="B318">
        <v>4</v>
      </c>
      <c r="C318" s="39">
        <f t="shared" si="30"/>
        <v>45</v>
      </c>
      <c r="D318" s="39">
        <f t="shared" si="31"/>
        <v>61.585607268237332</v>
      </c>
      <c r="G318">
        <v>4</v>
      </c>
      <c r="H318" s="39">
        <f t="shared" si="32"/>
        <v>45</v>
      </c>
      <c r="I318" s="39">
        <f t="shared" si="33"/>
        <v>36.601512224496517</v>
      </c>
    </row>
    <row r="319" spans="2:9">
      <c r="B319">
        <v>5</v>
      </c>
      <c r="C319" s="39">
        <f t="shared" si="30"/>
        <v>45</v>
      </c>
      <c r="D319" s="39">
        <f>C319*(1+$C$307/2)^(B$326-B319)</f>
        <v>63.319519019531263</v>
      </c>
      <c r="G319">
        <v>5</v>
      </c>
      <c r="H319" s="39">
        <f t="shared" si="32"/>
        <v>45</v>
      </c>
      <c r="I319" s="39">
        <f t="shared" si="33"/>
        <v>34.759270868467731</v>
      </c>
    </row>
    <row r="320" spans="2:9">
      <c r="B320">
        <v>6</v>
      </c>
      <c r="C320" s="39">
        <f t="shared" si="30"/>
        <v>45</v>
      </c>
      <c r="D320" s="39">
        <f t="shared" ref="D320:D326" si="34">C320*(1+$C$307/2)^(B$326-B320)</f>
        <v>60.304303828125001</v>
      </c>
      <c r="G320">
        <v>6</v>
      </c>
      <c r="H320" s="39">
        <f t="shared" si="32"/>
        <v>45</v>
      </c>
      <c r="I320" s="39">
        <f t="shared" si="33"/>
        <v>33.00975391117543</v>
      </c>
    </row>
    <row r="321" spans="2:9">
      <c r="B321">
        <v>7</v>
      </c>
      <c r="C321" s="39">
        <f t="shared" si="30"/>
        <v>45</v>
      </c>
      <c r="D321" s="39">
        <f t="shared" si="34"/>
        <v>57.432670312500008</v>
      </c>
      <c r="G321">
        <v>7</v>
      </c>
      <c r="H321" s="39">
        <f t="shared" si="32"/>
        <v>45</v>
      </c>
      <c r="I321" s="39">
        <f t="shared" si="33"/>
        <v>31.348294312607251</v>
      </c>
    </row>
    <row r="322" spans="2:9">
      <c r="B322">
        <v>8</v>
      </c>
      <c r="C322" s="39">
        <f t="shared" si="30"/>
        <v>45</v>
      </c>
      <c r="D322" s="39">
        <f t="shared" si="34"/>
        <v>54.697781249999998</v>
      </c>
      <c r="G322">
        <v>8</v>
      </c>
      <c r="H322" s="39">
        <f t="shared" si="32"/>
        <v>45</v>
      </c>
      <c r="I322" s="39">
        <f t="shared" si="33"/>
        <v>29.770459935999288</v>
      </c>
    </row>
    <row r="323" spans="2:9">
      <c r="B323">
        <v>9</v>
      </c>
      <c r="C323" s="39">
        <f t="shared" si="30"/>
        <v>45</v>
      </c>
      <c r="D323" s="39">
        <f t="shared" si="34"/>
        <v>52.093125000000008</v>
      </c>
      <c r="G323">
        <v>9</v>
      </c>
      <c r="H323" s="39">
        <f t="shared" si="32"/>
        <v>45</v>
      </c>
      <c r="I323" s="39">
        <f t="shared" si="33"/>
        <v>28.272041724595717</v>
      </c>
    </row>
    <row r="324" spans="2:9">
      <c r="B324">
        <v>10</v>
      </c>
      <c r="C324" s="39">
        <f t="shared" si="30"/>
        <v>45</v>
      </c>
      <c r="D324" s="39">
        <f t="shared" si="34"/>
        <v>49.612500000000004</v>
      </c>
      <c r="G324">
        <v>10</v>
      </c>
      <c r="H324" s="39">
        <f t="shared" si="32"/>
        <v>45</v>
      </c>
      <c r="I324" s="39">
        <f t="shared" si="33"/>
        <v>26.849042473500205</v>
      </c>
    </row>
    <row r="325" spans="2:9">
      <c r="B325">
        <v>11</v>
      </c>
      <c r="C325" s="39">
        <f t="shared" si="30"/>
        <v>45</v>
      </c>
      <c r="D325" s="39">
        <f t="shared" si="34"/>
        <v>47.25</v>
      </c>
      <c r="G325">
        <v>11</v>
      </c>
      <c r="H325" s="39">
        <f t="shared" si="32"/>
        <v>45</v>
      </c>
      <c r="I325" s="39">
        <f t="shared" si="33"/>
        <v>25.497666166666864</v>
      </c>
    </row>
    <row r="326" spans="2:9">
      <c r="B326">
        <v>12</v>
      </c>
      <c r="C326" s="39">
        <f t="shared" si="30"/>
        <v>45</v>
      </c>
      <c r="D326" s="39">
        <f t="shared" si="34"/>
        <v>45</v>
      </c>
      <c r="G326">
        <v>12</v>
      </c>
      <c r="H326" s="39">
        <f t="shared" si="32"/>
        <v>45</v>
      </c>
      <c r="I326" s="39">
        <f t="shared" si="33"/>
        <v>24.214307850585818</v>
      </c>
    </row>
    <row r="327" spans="2:9">
      <c r="C327" s="11" t="s">
        <v>140</v>
      </c>
      <c r="D327" s="39">
        <f>SUM(D315:D326)</f>
        <v>691.23096359286444</v>
      </c>
      <c r="G327">
        <v>13</v>
      </c>
      <c r="H327" s="39">
        <f t="shared" si="32"/>
        <v>45</v>
      </c>
      <c r="I327" s="39">
        <f t="shared" si="33"/>
        <v>22.995544017650349</v>
      </c>
    </row>
    <row r="328" spans="2:9">
      <c r="G328">
        <v>14</v>
      </c>
      <c r="H328" s="39">
        <f>$C$301*$C$303/2+C301</f>
        <v>1045</v>
      </c>
      <c r="I328" s="39">
        <f t="shared" si="33"/>
        <v>507.12975621915405</v>
      </c>
    </row>
    <row r="329" spans="2:9">
      <c r="H329" s="11" t="s">
        <v>140</v>
      </c>
      <c r="I329" s="39">
        <f>SUM(I315:I328)</f>
        <v>922.3081709804685</v>
      </c>
    </row>
  </sheetData>
  <mergeCells count="2">
    <mergeCell ref="E211:I211"/>
    <mergeCell ref="C230:E230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M354"/>
  <sheetViews>
    <sheetView tabSelected="1" topLeftCell="A195" zoomScale="90" zoomScaleNormal="90" workbookViewId="0">
      <selection activeCell="D177" sqref="D177"/>
    </sheetView>
  </sheetViews>
  <sheetFormatPr defaultRowHeight="14.4"/>
  <cols>
    <col min="1" max="1" width="8.6640625" customWidth="1"/>
    <col min="2" max="2" width="12.33203125" customWidth="1"/>
    <col min="3" max="3" width="14.33203125" customWidth="1"/>
    <col min="4" max="4" width="12.33203125" bestFit="1" customWidth="1"/>
    <col min="5" max="6" width="13" customWidth="1"/>
    <col min="7" max="7" width="11.33203125" customWidth="1"/>
    <col min="8" max="8" width="11.109375" bestFit="1" customWidth="1"/>
    <col min="9" max="9" width="11.88671875" customWidth="1"/>
    <col min="10" max="10" width="11.33203125" bestFit="1" customWidth="1"/>
    <col min="11" max="11" width="15.33203125" customWidth="1"/>
  </cols>
  <sheetData>
    <row r="2" spans="2:13" ht="33.6">
      <c r="B2" s="13" t="s">
        <v>144</v>
      </c>
    </row>
    <row r="5" spans="2:13">
      <c r="B5" t="s">
        <v>145</v>
      </c>
    </row>
    <row r="6" spans="2:13">
      <c r="B6" t="s">
        <v>146</v>
      </c>
    </row>
    <row r="7" spans="2:13">
      <c r="B7" t="s">
        <v>150</v>
      </c>
    </row>
    <row r="9" spans="2:13">
      <c r="B9" t="s">
        <v>12</v>
      </c>
      <c r="C9">
        <v>0</v>
      </c>
      <c r="D9">
        <v>0.01</v>
      </c>
      <c r="E9">
        <v>0.02</v>
      </c>
      <c r="F9">
        <v>0.03</v>
      </c>
      <c r="G9">
        <v>0.04</v>
      </c>
      <c r="H9">
        <v>0.05</v>
      </c>
      <c r="I9">
        <v>0.06</v>
      </c>
      <c r="J9">
        <v>7.0000000000000007E-2</v>
      </c>
      <c r="K9">
        <v>0.08</v>
      </c>
      <c r="L9">
        <v>0.09</v>
      </c>
      <c r="M9">
        <v>0.1</v>
      </c>
    </row>
    <row r="10" spans="2:13">
      <c r="B10">
        <v>0.03</v>
      </c>
      <c r="C10" s="42">
        <f>-PV($B10/2,10*2,100*C$9/2,100)</f>
        <v>74.247041822377312</v>
      </c>
      <c r="D10" s="42">
        <f t="shared" ref="D10:M22" si="0">-PV($B10/2,10*2,100*D$9/2,100)</f>
        <v>82.831361214918203</v>
      </c>
      <c r="E10" s="42">
        <f t="shared" si="0"/>
        <v>91.415680607459109</v>
      </c>
      <c r="F10" s="42">
        <f t="shared" si="0"/>
        <v>100</v>
      </c>
      <c r="G10" s="42">
        <f t="shared" si="0"/>
        <v>108.58431939254089</v>
      </c>
      <c r="H10" s="42">
        <f t="shared" si="0"/>
        <v>117.16863878508178</v>
      </c>
      <c r="I10" s="42">
        <f t="shared" si="0"/>
        <v>125.7529581776227</v>
      </c>
      <c r="J10" s="42">
        <f t="shared" si="0"/>
        <v>134.33727757016359</v>
      </c>
      <c r="K10" s="42">
        <f t="shared" si="0"/>
        <v>142.92159696270448</v>
      </c>
      <c r="L10" s="42">
        <f t="shared" si="0"/>
        <v>151.50591635524538</v>
      </c>
      <c r="M10" s="42">
        <f t="shared" si="0"/>
        <v>160.09023574778627</v>
      </c>
    </row>
    <row r="11" spans="2:13">
      <c r="B11">
        <v>0.04</v>
      </c>
      <c r="C11" s="42">
        <f t="shared" ref="C11:C22" si="1">-PV($B11/2,10*2,100*C$9/2,100)</f>
        <v>67.297133310805776</v>
      </c>
      <c r="D11" s="42">
        <f t="shared" si="0"/>
        <v>75.472849983104325</v>
      </c>
      <c r="E11" s="42">
        <f t="shared" si="0"/>
        <v>83.648566655402888</v>
      </c>
      <c r="F11" s="42">
        <f t="shared" si="0"/>
        <v>91.824283327701451</v>
      </c>
      <c r="G11" s="42">
        <f t="shared" si="0"/>
        <v>100</v>
      </c>
      <c r="H11" s="42">
        <f t="shared" si="0"/>
        <v>108.17571667229856</v>
      </c>
      <c r="I11" s="42">
        <f t="shared" si="0"/>
        <v>116.35143334459711</v>
      </c>
      <c r="J11" s="42">
        <f t="shared" si="0"/>
        <v>124.52715001689567</v>
      </c>
      <c r="K11" s="42">
        <f t="shared" si="0"/>
        <v>132.70286668919422</v>
      </c>
      <c r="L11" s="42">
        <f t="shared" si="0"/>
        <v>140.87858336149276</v>
      </c>
      <c r="M11" s="42">
        <f t="shared" si="0"/>
        <v>149.05430003379135</v>
      </c>
    </row>
    <row r="12" spans="2:13">
      <c r="B12">
        <v>0.05</v>
      </c>
      <c r="C12" s="42">
        <f t="shared" si="1"/>
        <v>61.027094285883038</v>
      </c>
      <c r="D12" s="42">
        <f t="shared" si="0"/>
        <v>68.821675428706428</v>
      </c>
      <c r="E12" s="42">
        <f t="shared" si="0"/>
        <v>76.616256571529817</v>
      </c>
      <c r="F12" s="42">
        <f t="shared" si="0"/>
        <v>84.410837714353207</v>
      </c>
      <c r="G12" s="42">
        <f t="shared" si="0"/>
        <v>92.205418857176596</v>
      </c>
      <c r="H12" s="42">
        <f t="shared" si="0"/>
        <v>100</v>
      </c>
      <c r="I12" s="42">
        <f t="shared" si="0"/>
        <v>107.79458114282339</v>
      </c>
      <c r="J12" s="42">
        <f t="shared" si="0"/>
        <v>115.58916228564679</v>
      </c>
      <c r="K12" s="42">
        <f t="shared" si="0"/>
        <v>123.38374342847017</v>
      </c>
      <c r="L12" s="42">
        <f t="shared" si="0"/>
        <v>131.17832457129359</v>
      </c>
      <c r="M12" s="42">
        <f t="shared" si="0"/>
        <v>138.97290571411696</v>
      </c>
    </row>
    <row r="13" spans="2:13">
      <c r="B13">
        <v>0.06</v>
      </c>
      <c r="C13" s="42">
        <f t="shared" si="1"/>
        <v>55.3675754186335</v>
      </c>
      <c r="D13" s="42">
        <f t="shared" si="0"/>
        <v>62.806312848861246</v>
      </c>
      <c r="E13" s="42">
        <f t="shared" si="0"/>
        <v>70.245050279089</v>
      </c>
      <c r="F13" s="42">
        <f t="shared" si="0"/>
        <v>77.683787709316746</v>
      </c>
      <c r="G13" s="42">
        <f t="shared" si="0"/>
        <v>85.122525139544507</v>
      </c>
      <c r="H13" s="42">
        <f t="shared" si="0"/>
        <v>92.561262569772254</v>
      </c>
      <c r="I13" s="42">
        <f t="shared" si="0"/>
        <v>99.999999999999986</v>
      </c>
      <c r="J13" s="42">
        <f t="shared" si="0"/>
        <v>107.43873743022775</v>
      </c>
      <c r="K13" s="42">
        <f t="shared" si="0"/>
        <v>114.87747486045551</v>
      </c>
      <c r="L13" s="42">
        <f t="shared" si="0"/>
        <v>122.31621229068325</v>
      </c>
      <c r="M13" s="42">
        <f t="shared" si="0"/>
        <v>129.75494972091099</v>
      </c>
    </row>
    <row r="14" spans="2:13">
      <c r="B14">
        <v>7.0000000000000007E-2</v>
      </c>
      <c r="C14" s="42">
        <f t="shared" si="1"/>
        <v>50.256588443167068</v>
      </c>
      <c r="D14" s="42">
        <f t="shared" si="0"/>
        <v>57.3627900941432</v>
      </c>
      <c r="E14" s="42">
        <f t="shared" si="0"/>
        <v>64.468991745119339</v>
      </c>
      <c r="F14" s="42">
        <f t="shared" si="0"/>
        <v>71.575193396095457</v>
      </c>
      <c r="G14" s="42">
        <f t="shared" si="0"/>
        <v>78.681395047071604</v>
      </c>
      <c r="H14" s="42">
        <f t="shared" si="0"/>
        <v>85.787596698047722</v>
      </c>
      <c r="I14" s="42">
        <f t="shared" si="0"/>
        <v>92.893798349023854</v>
      </c>
      <c r="J14" s="42">
        <f t="shared" si="0"/>
        <v>100</v>
      </c>
      <c r="K14" s="42">
        <f t="shared" si="0"/>
        <v>107.10620165097613</v>
      </c>
      <c r="L14" s="42">
        <f t="shared" si="0"/>
        <v>114.21240330195226</v>
      </c>
      <c r="M14" s="42">
        <f t="shared" si="0"/>
        <v>121.31860495292838</v>
      </c>
    </row>
    <row r="15" spans="2:13">
      <c r="B15">
        <v>0.08</v>
      </c>
      <c r="C15" s="42">
        <f t="shared" si="1"/>
        <v>45.638694620129208</v>
      </c>
      <c r="D15" s="42">
        <f t="shared" si="0"/>
        <v>52.433857792613054</v>
      </c>
      <c r="E15" s="42">
        <f t="shared" si="0"/>
        <v>59.229020965096908</v>
      </c>
      <c r="F15" s="42">
        <f t="shared" si="0"/>
        <v>66.024184137580747</v>
      </c>
      <c r="G15" s="42">
        <f t="shared" si="0"/>
        <v>72.819347310064614</v>
      </c>
      <c r="H15" s="42">
        <f t="shared" si="0"/>
        <v>79.61451048254844</v>
      </c>
      <c r="I15" s="42">
        <f t="shared" si="0"/>
        <v>86.409673655032293</v>
      </c>
      <c r="J15" s="42">
        <f t="shared" si="0"/>
        <v>93.204836827516147</v>
      </c>
      <c r="K15" s="42">
        <f t="shared" si="0"/>
        <v>100</v>
      </c>
      <c r="L15" s="42">
        <f t="shared" si="0"/>
        <v>106.79516317248384</v>
      </c>
      <c r="M15" s="42">
        <f t="shared" si="0"/>
        <v>113.59032634496769</v>
      </c>
    </row>
    <row r="16" spans="2:13">
      <c r="B16">
        <v>0.09</v>
      </c>
      <c r="C16" s="42">
        <f t="shared" si="1"/>
        <v>41.464285968458455</v>
      </c>
      <c r="D16" s="42">
        <f t="shared" si="0"/>
        <v>47.968254194185292</v>
      </c>
      <c r="E16" s="42">
        <f t="shared" si="0"/>
        <v>54.472222419912129</v>
      </c>
      <c r="F16" s="42">
        <f t="shared" si="0"/>
        <v>60.976190645638972</v>
      </c>
      <c r="G16" s="42">
        <f t="shared" si="0"/>
        <v>67.480158871365802</v>
      </c>
      <c r="H16" s="42">
        <f t="shared" si="0"/>
        <v>73.984127097092639</v>
      </c>
      <c r="I16" s="42">
        <f t="shared" si="0"/>
        <v>80.48809532281949</v>
      </c>
      <c r="J16" s="42">
        <f t="shared" si="0"/>
        <v>86.992063548546327</v>
      </c>
      <c r="K16" s="42">
        <f t="shared" si="0"/>
        <v>93.496031774273163</v>
      </c>
      <c r="L16" s="42">
        <f t="shared" si="0"/>
        <v>100</v>
      </c>
      <c r="M16" s="42">
        <f t="shared" si="0"/>
        <v>106.50396822572684</v>
      </c>
    </row>
    <row r="17" spans="2:13">
      <c r="B17">
        <v>0.1</v>
      </c>
      <c r="C17" s="42">
        <f t="shared" si="1"/>
        <v>37.688948287300057</v>
      </c>
      <c r="D17" s="42">
        <f t="shared" si="0"/>
        <v>43.920053458570052</v>
      </c>
      <c r="E17" s="42">
        <f t="shared" si="0"/>
        <v>50.151158629840047</v>
      </c>
      <c r="F17" s="42">
        <f t="shared" si="0"/>
        <v>56.382263801110035</v>
      </c>
      <c r="G17" s="42">
        <f t="shared" si="0"/>
        <v>62.61336897238003</v>
      </c>
      <c r="H17" s="42">
        <f t="shared" si="0"/>
        <v>68.844474143650032</v>
      </c>
      <c r="I17" s="42">
        <f t="shared" si="0"/>
        <v>75.07557931492002</v>
      </c>
      <c r="J17" s="42">
        <f t="shared" si="0"/>
        <v>81.306684486190022</v>
      </c>
      <c r="K17" s="42">
        <f t="shared" si="0"/>
        <v>87.53778965746001</v>
      </c>
      <c r="L17" s="42">
        <f t="shared" si="0"/>
        <v>93.768894828729998</v>
      </c>
      <c r="M17" s="42">
        <f t="shared" si="0"/>
        <v>100</v>
      </c>
    </row>
    <row r="18" spans="2:13">
      <c r="B18">
        <v>0.11</v>
      </c>
      <c r="C18" s="42">
        <f t="shared" si="1"/>
        <v>34.272896332894383</v>
      </c>
      <c r="D18" s="42">
        <f t="shared" si="0"/>
        <v>40.248087575358525</v>
      </c>
      <c r="E18" s="42">
        <f t="shared" si="0"/>
        <v>46.223278817822674</v>
      </c>
      <c r="F18" s="42">
        <f t="shared" si="0"/>
        <v>52.198470060286823</v>
      </c>
      <c r="G18" s="42">
        <f t="shared" si="0"/>
        <v>58.173661302750972</v>
      </c>
      <c r="H18" s="42">
        <f t="shared" si="0"/>
        <v>64.148852545215121</v>
      </c>
      <c r="I18" s="42">
        <f t="shared" si="0"/>
        <v>70.12404378767927</v>
      </c>
      <c r="J18" s="42">
        <f t="shared" si="0"/>
        <v>76.099235030143419</v>
      </c>
      <c r="K18" s="42">
        <f t="shared" si="0"/>
        <v>82.074426272607568</v>
      </c>
      <c r="L18" s="42">
        <f t="shared" si="0"/>
        <v>88.049617515071702</v>
      </c>
      <c r="M18" s="42">
        <f t="shared" si="0"/>
        <v>94.024808757535851</v>
      </c>
    </row>
    <row r="19" spans="2:13">
      <c r="B19">
        <v>0.12</v>
      </c>
      <c r="C19" s="42">
        <f t="shared" si="1"/>
        <v>31.180472688608429</v>
      </c>
      <c r="D19" s="42">
        <f t="shared" si="0"/>
        <v>36.915433297891063</v>
      </c>
      <c r="E19" s="42">
        <f t="shared" si="0"/>
        <v>42.650393907173694</v>
      </c>
      <c r="F19" s="42">
        <f t="shared" si="0"/>
        <v>48.385354516456317</v>
      </c>
      <c r="G19" s="42">
        <f t="shared" si="0"/>
        <v>54.120315125738955</v>
      </c>
      <c r="H19" s="42">
        <f t="shared" si="0"/>
        <v>59.855275735021586</v>
      </c>
      <c r="I19" s="42">
        <f t="shared" si="0"/>
        <v>65.590236344304216</v>
      </c>
      <c r="J19" s="42">
        <f t="shared" si="0"/>
        <v>71.325196953586854</v>
      </c>
      <c r="K19" s="42">
        <f t="shared" si="0"/>
        <v>77.060157562869477</v>
      </c>
      <c r="L19" s="42">
        <f t="shared" si="0"/>
        <v>82.795118172152115</v>
      </c>
      <c r="M19" s="42">
        <f t="shared" si="0"/>
        <v>88.530078781434739</v>
      </c>
    </row>
    <row r="20" spans="2:13">
      <c r="B20">
        <v>0.13</v>
      </c>
      <c r="C20" s="42">
        <f t="shared" si="1"/>
        <v>28.379702892141989</v>
      </c>
      <c r="D20" s="42">
        <f t="shared" si="0"/>
        <v>33.888956515823374</v>
      </c>
      <c r="E20" s="42">
        <f t="shared" si="0"/>
        <v>39.398210139504755</v>
      </c>
      <c r="F20" s="42">
        <f t="shared" si="0"/>
        <v>44.907463763186144</v>
      </c>
      <c r="G20" s="42">
        <f t="shared" si="0"/>
        <v>50.416717386867532</v>
      </c>
      <c r="H20" s="42">
        <f t="shared" si="0"/>
        <v>55.925971010548913</v>
      </c>
      <c r="I20" s="42">
        <f t="shared" si="0"/>
        <v>61.435224634230309</v>
      </c>
      <c r="J20" s="42">
        <f t="shared" si="0"/>
        <v>66.944478257911683</v>
      </c>
      <c r="K20" s="42">
        <f t="shared" si="0"/>
        <v>72.453731881593072</v>
      </c>
      <c r="L20" s="42">
        <f t="shared" si="0"/>
        <v>77.96298550527446</v>
      </c>
      <c r="M20" s="42">
        <f t="shared" si="0"/>
        <v>83.472239128955835</v>
      </c>
    </row>
    <row r="21" spans="2:13">
      <c r="B21">
        <v>0.14000000000000001</v>
      </c>
      <c r="C21" s="42">
        <f t="shared" si="1"/>
        <v>25.84190028138687</v>
      </c>
      <c r="D21" s="42">
        <f t="shared" si="0"/>
        <v>31.138907404144948</v>
      </c>
      <c r="E21" s="42">
        <f t="shared" si="0"/>
        <v>36.435914526903026</v>
      </c>
      <c r="F21" s="42">
        <f t="shared" si="0"/>
        <v>41.732921649661115</v>
      </c>
      <c r="G21" s="42">
        <f t="shared" si="0"/>
        <v>47.02992877241919</v>
      </c>
      <c r="H21" s="42">
        <f t="shared" si="0"/>
        <v>52.326935895177272</v>
      </c>
      <c r="I21" s="42">
        <f t="shared" si="0"/>
        <v>57.623943017935353</v>
      </c>
      <c r="J21" s="42">
        <f t="shared" si="0"/>
        <v>62.920950140693435</v>
      </c>
      <c r="K21" s="42">
        <f t="shared" si="0"/>
        <v>68.21795726345151</v>
      </c>
      <c r="L21" s="42">
        <f t="shared" si="0"/>
        <v>73.514964386209599</v>
      </c>
      <c r="M21" s="42">
        <f t="shared" si="0"/>
        <v>78.811971508967673</v>
      </c>
    </row>
    <row r="22" spans="2:13">
      <c r="B22">
        <v>0.15</v>
      </c>
      <c r="C22" s="42">
        <f t="shared" si="1"/>
        <v>23.541314806060655</v>
      </c>
      <c r="D22" s="42">
        <f t="shared" si="0"/>
        <v>28.638560485656608</v>
      </c>
      <c r="E22" s="42">
        <f t="shared" si="0"/>
        <v>33.735806165252569</v>
      </c>
      <c r="F22" s="42">
        <f t="shared" si="0"/>
        <v>38.833051844848519</v>
      </c>
      <c r="G22" s="42">
        <f t="shared" si="0"/>
        <v>43.930297524444477</v>
      </c>
      <c r="H22" s="42">
        <f t="shared" si="0"/>
        <v>49.027543204040434</v>
      </c>
      <c r="I22" s="42">
        <f t="shared" si="0"/>
        <v>54.124788883636391</v>
      </c>
      <c r="J22" s="42">
        <f t="shared" si="0"/>
        <v>59.222034563232356</v>
      </c>
      <c r="K22" s="42">
        <f t="shared" si="0"/>
        <v>64.319280242828299</v>
      </c>
      <c r="L22" s="42">
        <f t="shared" si="0"/>
        <v>69.41652592242427</v>
      </c>
      <c r="M22" s="42">
        <f t="shared" si="0"/>
        <v>74.513771602020213</v>
      </c>
    </row>
    <row r="25" spans="2:13">
      <c r="B25" t="s">
        <v>147</v>
      </c>
    </row>
    <row r="27" spans="2:13">
      <c r="B27" t="s">
        <v>148</v>
      </c>
      <c r="C27">
        <v>0</v>
      </c>
      <c r="D27">
        <v>0.01</v>
      </c>
      <c r="E27">
        <v>0.02</v>
      </c>
      <c r="F27">
        <v>0.03</v>
      </c>
      <c r="G27">
        <v>0.04</v>
      </c>
      <c r="H27">
        <v>0.05</v>
      </c>
      <c r="I27">
        <v>0.06</v>
      </c>
      <c r="J27">
        <v>7.0000000000000007E-2</v>
      </c>
      <c r="K27">
        <v>0.08</v>
      </c>
      <c r="L27">
        <v>0.09</v>
      </c>
      <c r="M27">
        <v>0.1</v>
      </c>
    </row>
    <row r="28" spans="2:13">
      <c r="B28" s="39">
        <f>B10-B$16</f>
        <v>-0.06</v>
      </c>
      <c r="C28" s="42">
        <f>(C10-C$16)/C$16</f>
        <v>0.79062632065716587</v>
      </c>
      <c r="D28" s="42">
        <f t="shared" ref="D28:M28" si="2">(D10-D$16)/D$16</f>
        <v>0.72679541097326439</v>
      </c>
      <c r="E28" s="42">
        <f t="shared" si="2"/>
        <v>0.67820728706017386</v>
      </c>
      <c r="F28" s="42">
        <f t="shared" si="2"/>
        <v>0.63998437654373241</v>
      </c>
      <c r="G28" s="42">
        <f t="shared" si="2"/>
        <v>0.60912957539904411</v>
      </c>
      <c r="H28" s="42">
        <f t="shared" si="2"/>
        <v>0.5836996850867241</v>
      </c>
      <c r="I28" s="42">
        <f t="shared" si="2"/>
        <v>0.56237960002974496</v>
      </c>
      <c r="J28" s="42">
        <f t="shared" si="2"/>
        <v>0.54424751052371634</v>
      </c>
      <c r="K28" s="42">
        <f t="shared" si="2"/>
        <v>0.52863810635042918</v>
      </c>
      <c r="L28" s="42">
        <f t="shared" si="2"/>
        <v>0.51505916355245374</v>
      </c>
      <c r="M28" s="42">
        <f t="shared" si="2"/>
        <v>0.50313869440514669</v>
      </c>
    </row>
    <row r="29" spans="2:13">
      <c r="B29" s="39">
        <f t="shared" ref="B29:B40" si="3">B11-B$16</f>
        <v>-4.9999999999999996E-2</v>
      </c>
      <c r="C29" s="42">
        <f t="shared" ref="C29:M29" si="4">(C11-C$16)/C$16</f>
        <v>0.62301440237022676</v>
      </c>
      <c r="D29" s="42">
        <f t="shared" si="4"/>
        <v>0.57339163684329242</v>
      </c>
      <c r="E29" s="42">
        <f t="shared" si="4"/>
        <v>0.53561876015591847</v>
      </c>
      <c r="F29" s="42">
        <f t="shared" si="4"/>
        <v>0.50590390044755507</v>
      </c>
      <c r="G29" s="42">
        <f t="shared" si="4"/>
        <v>0.48191708010980255</v>
      </c>
      <c r="H29" s="42">
        <f t="shared" si="4"/>
        <v>0.46214763783500196</v>
      </c>
      <c r="I29" s="42">
        <f t="shared" si="4"/>
        <v>0.44557319784917149</v>
      </c>
      <c r="J29" s="42">
        <f t="shared" si="4"/>
        <v>0.43147713638730639</v>
      </c>
      <c r="K29" s="42">
        <f t="shared" si="4"/>
        <v>0.41934223486166616</v>
      </c>
      <c r="L29" s="42">
        <f t="shared" si="4"/>
        <v>0.4087858336149276</v>
      </c>
      <c r="M29" s="42">
        <f t="shared" si="4"/>
        <v>0.39951874579811347</v>
      </c>
    </row>
    <row r="30" spans="2:13">
      <c r="B30" s="39">
        <f t="shared" si="3"/>
        <v>-3.9999999999999994E-2</v>
      </c>
      <c r="C30" s="42">
        <f t="shared" ref="C30:M30" si="5">(C12-C$16)/C$16</f>
        <v>0.47179899184338669</v>
      </c>
      <c r="D30" s="42">
        <f t="shared" si="5"/>
        <v>0.43473379602480899</v>
      </c>
      <c r="E30" s="42">
        <f t="shared" si="5"/>
        <v>0.40651974837588073</v>
      </c>
      <c r="F30" s="42">
        <f t="shared" si="5"/>
        <v>0.3843245506250772</v>
      </c>
      <c r="G30" s="42">
        <f t="shared" si="5"/>
        <v>0.36640785083128469</v>
      </c>
      <c r="H30" s="42">
        <f t="shared" si="5"/>
        <v>0.35164127663175077</v>
      </c>
      <c r="I30" s="42">
        <f t="shared" si="5"/>
        <v>0.33926117533883465</v>
      </c>
      <c r="J30" s="42">
        <f t="shared" si="5"/>
        <v>0.32873227246922038</v>
      </c>
      <c r="K30" s="42">
        <f t="shared" si="5"/>
        <v>0.31966823711143916</v>
      </c>
      <c r="L30" s="42">
        <f t="shared" si="5"/>
        <v>0.31178324571293586</v>
      </c>
      <c r="M30" s="42">
        <f t="shared" si="5"/>
        <v>0.30486129323909089</v>
      </c>
    </row>
    <row r="31" spans="2:13">
      <c r="B31" s="39">
        <f t="shared" si="3"/>
        <v>-0.03</v>
      </c>
      <c r="C31" s="42">
        <f t="shared" ref="C31:M31" si="6">(C13-C$16)/C$16</f>
        <v>0.33530758158361063</v>
      </c>
      <c r="D31" s="42">
        <f t="shared" si="6"/>
        <v>0.30933080438175758</v>
      </c>
      <c r="E31" s="42">
        <f t="shared" si="6"/>
        <v>0.28955726714412833</v>
      </c>
      <c r="F31" s="42">
        <f t="shared" si="6"/>
        <v>0.27400198154019489</v>
      </c>
      <c r="G31" s="42">
        <f t="shared" si="6"/>
        <v>0.26144523906367062</v>
      </c>
      <c r="H31" s="42">
        <f t="shared" si="6"/>
        <v>0.2510962310645366</v>
      </c>
      <c r="I31" s="42">
        <f t="shared" si="6"/>
        <v>0.24241975908266525</v>
      </c>
      <c r="J31" s="42">
        <f t="shared" si="6"/>
        <v>0.23504068127170083</v>
      </c>
      <c r="K31" s="42">
        <f t="shared" si="6"/>
        <v>0.22868824141973659</v>
      </c>
      <c r="L31" s="42">
        <f t="shared" si="6"/>
        <v>0.22316212290683254</v>
      </c>
      <c r="M31" s="42">
        <f t="shared" si="6"/>
        <v>0.21831094073326462</v>
      </c>
    </row>
    <row r="32" spans="2:13">
      <c r="B32" s="39">
        <f t="shared" si="3"/>
        <v>-1.999999999999999E-2</v>
      </c>
      <c r="C32" s="42">
        <f t="shared" ref="C32:M32" si="7">(C14-C$16)/C$16</f>
        <v>0.21204519188867368</v>
      </c>
      <c r="D32" s="42">
        <f t="shared" si="7"/>
        <v>0.19584902677355961</v>
      </c>
      <c r="E32" s="42">
        <f t="shared" si="7"/>
        <v>0.18352049689004293</v>
      </c>
      <c r="F32" s="42">
        <f t="shared" si="7"/>
        <v>0.17382198917692684</v>
      </c>
      <c r="G32" s="42">
        <f t="shared" si="7"/>
        <v>0.16599303207122232</v>
      </c>
      <c r="H32" s="42">
        <f t="shared" si="7"/>
        <v>0.15954056720118989</v>
      </c>
      <c r="I32" s="42">
        <f t="shared" si="7"/>
        <v>0.15413090565067919</v>
      </c>
      <c r="J32" s="42">
        <f t="shared" si="7"/>
        <v>0.14953015161198624</v>
      </c>
      <c r="K32" s="42">
        <f t="shared" si="7"/>
        <v>0.14556949229205696</v>
      </c>
      <c r="L32" s="42">
        <f t="shared" si="7"/>
        <v>0.14212403301952264</v>
      </c>
      <c r="M32" s="42">
        <f t="shared" si="7"/>
        <v>0.139099387318631</v>
      </c>
    </row>
    <row r="33" spans="2:13">
      <c r="B33" s="39">
        <f t="shared" si="3"/>
        <v>-9.999999999999995E-3</v>
      </c>
      <c r="C33" s="42">
        <f t="shared" ref="C33:M33" si="8">(C15-C$16)/C$16</f>
        <v>0.10067479890636948</v>
      </c>
      <c r="D33" s="42">
        <f t="shared" si="8"/>
        <v>9.3094978615441928E-2</v>
      </c>
      <c r="E33" s="42">
        <f t="shared" si="8"/>
        <v>8.7325215198966216E-2</v>
      </c>
      <c r="F33" s="42">
        <f t="shared" si="8"/>
        <v>8.2786304596789498E-2</v>
      </c>
      <c r="G33" s="42">
        <f t="shared" si="8"/>
        <v>7.9122345412325601E-2</v>
      </c>
      <c r="H33" s="42">
        <f t="shared" si="8"/>
        <v>7.6102585870436779E-2</v>
      </c>
      <c r="I33" s="42">
        <f t="shared" si="8"/>
        <v>7.3570859248969625E-2</v>
      </c>
      <c r="J33" s="42">
        <f t="shared" si="8"/>
        <v>7.1417702093050747E-2</v>
      </c>
      <c r="K33" s="42">
        <f t="shared" si="8"/>
        <v>6.9564109859007961E-2</v>
      </c>
      <c r="L33" s="42">
        <f t="shared" si="8"/>
        <v>6.7951631724838396E-2</v>
      </c>
      <c r="M33" s="42">
        <f t="shared" si="8"/>
        <v>6.6536094732375359E-2</v>
      </c>
    </row>
    <row r="34" spans="2:13">
      <c r="B34" s="39">
        <f t="shared" si="3"/>
        <v>0</v>
      </c>
      <c r="C34" s="42">
        <f t="shared" ref="C34:M34" si="9">(C16-C$16)/C$16</f>
        <v>0</v>
      </c>
      <c r="D34" s="42">
        <f t="shared" si="9"/>
        <v>0</v>
      </c>
      <c r="E34" s="42">
        <f t="shared" si="9"/>
        <v>0</v>
      </c>
      <c r="F34" s="42">
        <f t="shared" si="9"/>
        <v>0</v>
      </c>
      <c r="G34" s="42">
        <f t="shared" si="9"/>
        <v>0</v>
      </c>
      <c r="H34" s="42">
        <f t="shared" si="9"/>
        <v>0</v>
      </c>
      <c r="I34" s="42">
        <f t="shared" si="9"/>
        <v>0</v>
      </c>
      <c r="J34" s="42">
        <f t="shared" si="9"/>
        <v>0</v>
      </c>
      <c r="K34" s="42">
        <f t="shared" si="9"/>
        <v>0</v>
      </c>
      <c r="L34" s="42">
        <f t="shared" si="9"/>
        <v>0</v>
      </c>
      <c r="M34" s="42">
        <f t="shared" si="9"/>
        <v>0</v>
      </c>
    </row>
    <row r="35" spans="2:13">
      <c r="B35" s="39">
        <f t="shared" si="3"/>
        <v>1.0000000000000009E-2</v>
      </c>
      <c r="C35" s="42">
        <f t="shared" ref="C35:M35" si="10">(C17-C$16)/C$16</f>
        <v>-9.1050348341468273E-2</v>
      </c>
      <c r="D35" s="42">
        <f t="shared" si="10"/>
        <v>-8.4393330622942742E-2</v>
      </c>
      <c r="E35" s="42">
        <f t="shared" si="10"/>
        <v>-7.9326005037248695E-2</v>
      </c>
      <c r="F35" s="42">
        <f t="shared" si="10"/>
        <v>-7.5339682520123047E-2</v>
      </c>
      <c r="G35" s="42">
        <f t="shared" si="10"/>
        <v>-7.2121790766128763E-2</v>
      </c>
      <c r="H35" s="42">
        <f t="shared" si="10"/>
        <v>-6.9469670794353136E-2</v>
      </c>
      <c r="I35" s="42">
        <f t="shared" si="10"/>
        <v>-6.7246168345655291E-2</v>
      </c>
      <c r="J35" s="42">
        <f t="shared" si="10"/>
        <v>-6.5355146555220553E-2</v>
      </c>
      <c r="K35" s="42">
        <f t="shared" si="10"/>
        <v>-6.3727219259937115E-2</v>
      </c>
      <c r="L35" s="42">
        <f t="shared" si="10"/>
        <v>-6.2311051712700023E-2</v>
      </c>
      <c r="M35" s="42">
        <f t="shared" si="10"/>
        <v>-6.1067848776697076E-2</v>
      </c>
    </row>
    <row r="36" spans="2:13">
      <c r="B36" s="39">
        <f t="shared" si="3"/>
        <v>2.0000000000000004E-2</v>
      </c>
      <c r="C36" s="42">
        <f t="shared" ref="C36:M36" si="11">(C18-C$16)/C$16</f>
        <v>-0.17343575242160214</v>
      </c>
      <c r="D36" s="42">
        <f t="shared" si="11"/>
        <v>-0.16094324774827024</v>
      </c>
      <c r="E36" s="42">
        <f t="shared" si="11"/>
        <v>-0.15143394625063217</v>
      </c>
      <c r="F36" s="42">
        <f t="shared" si="11"/>
        <v>-0.14395324621643832</v>
      </c>
      <c r="G36" s="42">
        <f t="shared" si="11"/>
        <v>-0.13791457702930665</v>
      </c>
      <c r="H36" s="42">
        <f t="shared" si="11"/>
        <v>-0.13293763051323498</v>
      </c>
      <c r="I36" s="42">
        <f t="shared" si="11"/>
        <v>-0.12876502411409241</v>
      </c>
      <c r="J36" s="42">
        <f t="shared" si="11"/>
        <v>-0.12521634818243063</v>
      </c>
      <c r="K36" s="42">
        <f t="shared" si="11"/>
        <v>-0.12216139321549711</v>
      </c>
      <c r="L36" s="42">
        <f t="shared" si="11"/>
        <v>-0.11950382484928297</v>
      </c>
      <c r="M36" s="42">
        <f t="shared" si="11"/>
        <v>-0.1171708404492721</v>
      </c>
    </row>
    <row r="37" spans="2:13">
      <c r="B37" s="39">
        <f t="shared" si="3"/>
        <v>0.03</v>
      </c>
      <c r="C37" s="42">
        <f t="shared" ref="C37:M37" si="12">(C19-C$16)/C$16</f>
        <v>-0.24801616715823441</v>
      </c>
      <c r="D37" s="42">
        <f t="shared" si="12"/>
        <v>-0.23041949476731322</v>
      </c>
      <c r="E37" s="42">
        <f t="shared" si="12"/>
        <v>-0.21702489796739058</v>
      </c>
      <c r="F37" s="42">
        <f t="shared" si="12"/>
        <v>-0.20648774539481918</v>
      </c>
      <c r="G37" s="42">
        <f t="shared" si="12"/>
        <v>-0.19798180634242546</v>
      </c>
      <c r="H37" s="42">
        <f t="shared" si="12"/>
        <v>-0.19097138692369969</v>
      </c>
      <c r="I37" s="42">
        <f t="shared" si="12"/>
        <v>-0.1850939436293447</v>
      </c>
      <c r="J37" s="42">
        <f t="shared" si="12"/>
        <v>-0.18009535532188525</v>
      </c>
      <c r="K37" s="42">
        <f t="shared" si="12"/>
        <v>-0.17579221170674608</v>
      </c>
      <c r="L37" s="42">
        <f t="shared" si="12"/>
        <v>-0.17204881827847884</v>
      </c>
      <c r="M37" s="42">
        <f t="shared" si="12"/>
        <v>-0.16876262681778997</v>
      </c>
    </row>
    <row r="38" spans="2:13">
      <c r="B38" s="39">
        <f t="shared" si="3"/>
        <v>4.0000000000000008E-2</v>
      </c>
      <c r="C38" s="42">
        <f t="shared" ref="C38:M38" si="13">(C20-C$16)/C$16</f>
        <v>-0.31556272514302552</v>
      </c>
      <c r="D38" s="42">
        <f t="shared" si="13"/>
        <v>-0.29351282248809901</v>
      </c>
      <c r="E38" s="42">
        <f t="shared" si="13"/>
        <v>-0.27672842433719247</v>
      </c>
      <c r="F38" s="42">
        <f t="shared" si="13"/>
        <v>-0.26352461038170916</v>
      </c>
      <c r="G38" s="42">
        <f t="shared" si="13"/>
        <v>-0.2528660538133215</v>
      </c>
      <c r="H38" s="42">
        <f t="shared" si="13"/>
        <v>-0.24408149146431382</v>
      </c>
      <c r="I38" s="42">
        <f t="shared" si="13"/>
        <v>-0.23671663010750146</v>
      </c>
      <c r="J38" s="42">
        <f t="shared" si="13"/>
        <v>-0.23045303758597466</v>
      </c>
      <c r="K38" s="42">
        <f t="shared" si="13"/>
        <v>-0.22506088754100681</v>
      </c>
      <c r="L38" s="42">
        <f t="shared" si="13"/>
        <v>-0.2203701449472554</v>
      </c>
      <c r="M38" s="42">
        <f t="shared" si="13"/>
        <v>-0.21625230947223537</v>
      </c>
    </row>
    <row r="39" spans="2:13">
      <c r="B39" s="39">
        <f t="shared" si="3"/>
        <v>5.0000000000000017E-2</v>
      </c>
      <c r="C39" s="42">
        <f t="shared" ref="C39:M39" si="14">(C21-C$16)/C$16</f>
        <v>-0.37676726662929649</v>
      </c>
      <c r="D39" s="42">
        <f t="shared" si="14"/>
        <v>-0.35084342911275673</v>
      </c>
      <c r="E39" s="42">
        <f t="shared" si="14"/>
        <v>-0.33111018959299876</v>
      </c>
      <c r="F39" s="42">
        <f t="shared" si="14"/>
        <v>-0.31558660507032082</v>
      </c>
      <c r="G39" s="42">
        <f t="shared" si="14"/>
        <v>-0.30305545275804563</v>
      </c>
      <c r="H39" s="42">
        <f t="shared" si="14"/>
        <v>-0.29272753564414805</v>
      </c>
      <c r="I39" s="42">
        <f t="shared" si="14"/>
        <v>-0.28406874598263521</v>
      </c>
      <c r="J39" s="42">
        <f t="shared" si="14"/>
        <v>-0.27670470645198447</v>
      </c>
      <c r="K39" s="42">
        <f t="shared" si="14"/>
        <v>-0.27036521263116642</v>
      </c>
      <c r="L39" s="42">
        <f t="shared" si="14"/>
        <v>-0.26485035613790403</v>
      </c>
      <c r="M39" s="42">
        <f t="shared" si="14"/>
        <v>-0.26000906048935324</v>
      </c>
    </row>
    <row r="40" spans="2:13">
      <c r="B40" s="39">
        <f t="shared" si="3"/>
        <v>0.06</v>
      </c>
      <c r="C40" s="42">
        <f t="shared" ref="C40:M40" si="15">(C22-C$16)/C$16</f>
        <v>-0.43225080919111109</v>
      </c>
      <c r="D40" s="42">
        <f t="shared" si="15"/>
        <v>-0.40296846389860541</v>
      </c>
      <c r="E40" s="42">
        <f t="shared" si="15"/>
        <v>-0.38067872639393974</v>
      </c>
      <c r="F40" s="42">
        <f t="shared" si="15"/>
        <v>-0.3631440168093566</v>
      </c>
      <c r="G40" s="42">
        <f t="shared" si="15"/>
        <v>-0.34898941764220354</v>
      </c>
      <c r="H40" s="42">
        <f t="shared" si="15"/>
        <v>-0.33732348913572469</v>
      </c>
      <c r="I40" s="42">
        <f t="shared" si="15"/>
        <v>-0.32754292834792348</v>
      </c>
      <c r="J40" s="42">
        <f t="shared" si="15"/>
        <v>-0.31922485629757219</v>
      </c>
      <c r="K40" s="42">
        <f t="shared" si="15"/>
        <v>-0.31206406280307275</v>
      </c>
      <c r="L40" s="42">
        <f t="shared" si="15"/>
        <v>-0.30583474077575729</v>
      </c>
      <c r="M40" s="42">
        <f t="shared" si="15"/>
        <v>-0.30036624133953305</v>
      </c>
    </row>
    <row r="46" spans="2:13">
      <c r="B46" t="s">
        <v>145</v>
      </c>
    </row>
    <row r="47" spans="2:13">
      <c r="B47" t="s">
        <v>146</v>
      </c>
    </row>
    <row r="48" spans="2:13">
      <c r="B48" t="s">
        <v>149</v>
      </c>
    </row>
    <row r="50" spans="2:13">
      <c r="B50" t="s">
        <v>12</v>
      </c>
      <c r="C50">
        <v>1</v>
      </c>
      <c r="D50">
        <v>3</v>
      </c>
      <c r="E50">
        <v>5</v>
      </c>
      <c r="F50">
        <v>7</v>
      </c>
      <c r="G50">
        <v>10</v>
      </c>
      <c r="H50">
        <v>15</v>
      </c>
      <c r="I50">
        <v>20</v>
      </c>
      <c r="J50">
        <v>25</v>
      </c>
      <c r="K50">
        <v>30</v>
      </c>
    </row>
    <row r="51" spans="2:13">
      <c r="B51">
        <v>0.03</v>
      </c>
      <c r="C51" s="42">
        <f>-PV($B51/2,C$50*2,100*0.06/2,100)</f>
        <v>102.93382513528596</v>
      </c>
      <c r="D51" s="42">
        <f t="shared" ref="D51:K63" si="16">-PV($B51/2,D$50*2,100*0.06/2,100)</f>
        <v>108.54578074821281</v>
      </c>
      <c r="E51" s="42">
        <f t="shared" si="16"/>
        <v>113.83327682778155</v>
      </c>
      <c r="F51" s="42">
        <f t="shared" si="16"/>
        <v>118.81507225165407</v>
      </c>
      <c r="G51" s="42">
        <f t="shared" si="16"/>
        <v>125.7529581776227</v>
      </c>
      <c r="H51" s="42">
        <f t="shared" si="16"/>
        <v>136.02375700935087</v>
      </c>
      <c r="I51" s="42">
        <f t="shared" si="16"/>
        <v>144.87376780626153</v>
      </c>
      <c r="J51" s="42">
        <f t="shared" si="16"/>
        <v>152.49953211034702</v>
      </c>
      <c r="K51" s="42">
        <f t="shared" si="16"/>
        <v>159.07040332801418</v>
      </c>
      <c r="L51" s="25"/>
      <c r="M51" s="25"/>
    </row>
    <row r="52" spans="2:13">
      <c r="B52">
        <v>0.04</v>
      </c>
      <c r="C52" s="42">
        <f t="shared" ref="C52:C63" si="17">-PV($B52/2,C$50*2,100*0.06/2,100)</f>
        <v>101.94156093810074</v>
      </c>
      <c r="D52" s="42">
        <f t="shared" si="16"/>
        <v>105.60143089069039</v>
      </c>
      <c r="E52" s="42">
        <f t="shared" si="16"/>
        <v>108.98258500624222</v>
      </c>
      <c r="F52" s="42">
        <f t="shared" si="16"/>
        <v>112.10624877058554</v>
      </c>
      <c r="G52" s="42">
        <f t="shared" si="16"/>
        <v>116.35143334459711</v>
      </c>
      <c r="H52" s="42">
        <f t="shared" si="16"/>
        <v>122.39645555100439</v>
      </c>
      <c r="I52" s="42">
        <f t="shared" si="16"/>
        <v>127.35547924073818</v>
      </c>
      <c r="J52" s="42">
        <f t="shared" si="16"/>
        <v>131.42360589365188</v>
      </c>
      <c r="K52" s="42">
        <f t="shared" si="16"/>
        <v>134.76088667704647</v>
      </c>
      <c r="L52" s="25"/>
      <c r="M52" s="25"/>
    </row>
    <row r="53" spans="2:13">
      <c r="B53">
        <v>0.05</v>
      </c>
      <c r="C53" s="42">
        <f t="shared" si="17"/>
        <v>100.96371207614514</v>
      </c>
      <c r="D53" s="42">
        <f t="shared" si="16"/>
        <v>102.75406268078991</v>
      </c>
      <c r="E53" s="42">
        <f t="shared" si="16"/>
        <v>104.37603196548547</v>
      </c>
      <c r="F53" s="42">
        <f t="shared" si="16"/>
        <v>105.8454560848008</v>
      </c>
      <c r="G53" s="42">
        <f t="shared" si="16"/>
        <v>107.79458114282339</v>
      </c>
      <c r="H53" s="42">
        <f t="shared" si="16"/>
        <v>110.46514629638058</v>
      </c>
      <c r="I53" s="42">
        <f t="shared" si="16"/>
        <v>112.55138752604387</v>
      </c>
      <c r="J53" s="42">
        <f t="shared" si="16"/>
        <v>114.18115584027116</v>
      </c>
      <c r="K53" s="42">
        <f t="shared" si="16"/>
        <v>115.45432824252875</v>
      </c>
      <c r="L53" s="25"/>
      <c r="M53" s="25"/>
    </row>
    <row r="54" spans="2:13">
      <c r="B54">
        <v>0.06</v>
      </c>
      <c r="C54" s="42">
        <f t="shared" si="17"/>
        <v>100</v>
      </c>
      <c r="D54" s="42">
        <f t="shared" si="16"/>
        <v>100</v>
      </c>
      <c r="E54" s="42">
        <f t="shared" si="16"/>
        <v>100.00000000000001</v>
      </c>
      <c r="F54" s="42">
        <f t="shared" si="16"/>
        <v>100</v>
      </c>
      <c r="G54" s="42">
        <f t="shared" si="16"/>
        <v>99.999999999999986</v>
      </c>
      <c r="H54" s="42">
        <f t="shared" si="16"/>
        <v>100</v>
      </c>
      <c r="I54" s="42">
        <f t="shared" si="16"/>
        <v>100</v>
      </c>
      <c r="J54" s="42">
        <f t="shared" si="16"/>
        <v>100</v>
      </c>
      <c r="K54" s="42">
        <f t="shared" si="16"/>
        <v>100</v>
      </c>
      <c r="L54" s="25"/>
      <c r="M54" s="25"/>
    </row>
    <row r="55" spans="2:13">
      <c r="B55">
        <v>7.0000000000000007E-2</v>
      </c>
      <c r="C55" s="42">
        <f t="shared" si="17"/>
        <v>99.050152862377189</v>
      </c>
      <c r="D55" s="42">
        <f t="shared" si="16"/>
        <v>97.335723490110752</v>
      </c>
      <c r="E55" s="42">
        <f t="shared" si="16"/>
        <v>95.841697338711015</v>
      </c>
      <c r="F55" s="42">
        <f t="shared" si="16"/>
        <v>94.539739861095327</v>
      </c>
      <c r="G55" s="42">
        <f t="shared" si="16"/>
        <v>92.893798349023854</v>
      </c>
      <c r="H55" s="42">
        <f t="shared" si="16"/>
        <v>90.803977294318599</v>
      </c>
      <c r="I55" s="42">
        <f t="shared" si="16"/>
        <v>89.322463831351243</v>
      </c>
      <c r="J55" s="42">
        <f t="shared" si="16"/>
        <v>88.272191064689366</v>
      </c>
      <c r="K55" s="42">
        <f t="shared" si="16"/>
        <v>87.527632940875748</v>
      </c>
      <c r="L55" s="25"/>
      <c r="M55" s="25"/>
    </row>
    <row r="56" spans="2:13">
      <c r="B56">
        <v>0.08</v>
      </c>
      <c r="C56" s="42">
        <f t="shared" si="17"/>
        <v>98.113905325443781</v>
      </c>
      <c r="D56" s="42">
        <f t="shared" si="16"/>
        <v>94.757863143253644</v>
      </c>
      <c r="E56" s="42">
        <f t="shared" si="16"/>
        <v>91.889104220644953</v>
      </c>
      <c r="F56" s="42">
        <f t="shared" si="16"/>
        <v>89.436877070545137</v>
      </c>
      <c r="G56" s="42">
        <f t="shared" si="16"/>
        <v>86.409673655032293</v>
      </c>
      <c r="H56" s="42">
        <f t="shared" si="16"/>
        <v>82.707966699335515</v>
      </c>
      <c r="I56" s="42">
        <f t="shared" si="16"/>
        <v>80.207226116573523</v>
      </c>
      <c r="J56" s="42">
        <f t="shared" si="16"/>
        <v>78.517815383330984</v>
      </c>
      <c r="K56" s="42">
        <f t="shared" si="16"/>
        <v>77.376510025522606</v>
      </c>
      <c r="L56" s="25"/>
      <c r="M56" s="25"/>
    </row>
    <row r="57" spans="2:13">
      <c r="B57">
        <v>0.09</v>
      </c>
      <c r="C57" s="42">
        <f t="shared" si="17"/>
        <v>97.190998374579351</v>
      </c>
      <c r="D57" s="42">
        <f t="shared" si="16"/>
        <v>92.263191275938894</v>
      </c>
      <c r="E57" s="42">
        <f t="shared" si="16"/>
        <v>88.130922734334774</v>
      </c>
      <c r="F57" s="42">
        <f t="shared" si="16"/>
        <v>84.665762073999261</v>
      </c>
      <c r="G57" s="42">
        <f t="shared" si="16"/>
        <v>80.48809532281949</v>
      </c>
      <c r="H57" s="42">
        <f t="shared" si="16"/>
        <v>75.566667183566764</v>
      </c>
      <c r="I57" s="42">
        <f t="shared" si="16"/>
        <v>72.397623369580344</v>
      </c>
      <c r="J57" s="42">
        <f t="shared" si="16"/>
        <v>70.356988332188408</v>
      </c>
      <c r="K57" s="42">
        <f t="shared" si="16"/>
        <v>69.042966942691322</v>
      </c>
      <c r="L57" s="25"/>
      <c r="M57" s="25"/>
    </row>
    <row r="58" spans="2:13">
      <c r="B58">
        <v>0.1</v>
      </c>
      <c r="C58" s="42">
        <f t="shared" si="17"/>
        <v>96.281179138322003</v>
      </c>
      <c r="D58" s="42">
        <f t="shared" si="16"/>
        <v>89.848615865465106</v>
      </c>
      <c r="E58" s="42">
        <f t="shared" si="16"/>
        <v>84.556530141630375</v>
      </c>
      <c r="F58" s="42">
        <f t="shared" si="16"/>
        <v>80.202718119820759</v>
      </c>
      <c r="G58" s="42">
        <f t="shared" si="16"/>
        <v>75.07557931492002</v>
      </c>
      <c r="H58" s="42">
        <f t="shared" si="16"/>
        <v>69.255097946234329</v>
      </c>
      <c r="I58" s="42">
        <f t="shared" si="16"/>
        <v>65.681827292011107</v>
      </c>
      <c r="J58" s="42">
        <f t="shared" si="16"/>
        <v>63.488149078895226</v>
      </c>
      <c r="K58" s="42">
        <f t="shared" si="16"/>
        <v>62.141420949859771</v>
      </c>
      <c r="L58" s="25"/>
      <c r="M58" s="25"/>
    </row>
    <row r="59" spans="2:13">
      <c r="B59">
        <v>0.11</v>
      </c>
      <c r="C59" s="42">
        <f t="shared" si="17"/>
        <v>95.384200714269667</v>
      </c>
      <c r="D59" s="42">
        <f t="shared" si="16"/>
        <v>87.511174228390757</v>
      </c>
      <c r="E59" s="42">
        <f t="shared" si="16"/>
        <v>81.155935428527584</v>
      </c>
      <c r="F59" s="42">
        <f t="shared" si="16"/>
        <v>76.025880261594253</v>
      </c>
      <c r="G59" s="42">
        <f t="shared" si="16"/>
        <v>70.12404378767927</v>
      </c>
      <c r="H59" s="42">
        <f t="shared" si="16"/>
        <v>63.665637072194848</v>
      </c>
      <c r="I59" s="42">
        <f t="shared" si="16"/>
        <v>59.884688286569656</v>
      </c>
      <c r="J59" s="42">
        <f t="shared" si="16"/>
        <v>57.671205248215003</v>
      </c>
      <c r="K59" s="42">
        <f t="shared" si="16"/>
        <v>56.375364590517847</v>
      </c>
      <c r="L59" s="25"/>
      <c r="M59" s="25"/>
    </row>
    <row r="60" spans="2:13">
      <c r="B60">
        <v>0.12</v>
      </c>
      <c r="C60" s="42">
        <f t="shared" si="17"/>
        <v>94.499822000711987</v>
      </c>
      <c r="D60" s="42">
        <f t="shared" si="16"/>
        <v>85.248027021983816</v>
      </c>
      <c r="E60" s="42">
        <f t="shared" si="16"/>
        <v>77.919738845755887</v>
      </c>
      <c r="F60" s="42">
        <f t="shared" si="16"/>
        <v>72.115048218983645</v>
      </c>
      <c r="G60" s="42">
        <f t="shared" si="16"/>
        <v>65.590236344304216</v>
      </c>
      <c r="H60" s="42">
        <f t="shared" si="16"/>
        <v>58.705506545531719</v>
      </c>
      <c r="I60" s="42">
        <f t="shared" si="16"/>
        <v>54.861109385425273</v>
      </c>
      <c r="J60" s="42">
        <f t="shared" si="16"/>
        <v>52.714418090834542</v>
      </c>
      <c r="K60" s="42">
        <f t="shared" si="16"/>
        <v>51.515716884285908</v>
      </c>
      <c r="L60" s="25"/>
      <c r="M60" s="25"/>
    </row>
    <row r="61" spans="2:13">
      <c r="B61">
        <v>0.13</v>
      </c>
      <c r="C61" s="42">
        <f t="shared" si="17"/>
        <v>93.627807533778579</v>
      </c>
      <c r="D61" s="42">
        <f t="shared" si="16"/>
        <v>83.056452550716386</v>
      </c>
      <c r="E61" s="42">
        <f t="shared" si="16"/>
        <v>74.839094220336179</v>
      </c>
      <c r="F61" s="42">
        <f t="shared" si="16"/>
        <v>68.451551843974755</v>
      </c>
      <c r="G61" s="42">
        <f t="shared" si="16"/>
        <v>61.435224634230309</v>
      </c>
      <c r="H61" s="42">
        <f t="shared" si="16"/>
        <v>54.294634328989922</v>
      </c>
      <c r="I61" s="42">
        <f t="shared" si="16"/>
        <v>50.490655964402897</v>
      </c>
      <c r="J61" s="42">
        <f t="shared" si="16"/>
        <v>48.464177651030582</v>
      </c>
      <c r="K61" s="42">
        <f t="shared" si="16"/>
        <v>47.384619893079424</v>
      </c>
      <c r="L61" s="25"/>
      <c r="M61" s="25"/>
    </row>
    <row r="62" spans="2:13">
      <c r="B62">
        <v>0.14000000000000001</v>
      </c>
      <c r="C62" s="42">
        <f t="shared" si="17"/>
        <v>92.767927329897816</v>
      </c>
      <c r="D62" s="42">
        <f t="shared" si="16"/>
        <v>80.933841360943575</v>
      </c>
      <c r="E62" s="42">
        <f t="shared" si="16"/>
        <v>71.9056738362696</v>
      </c>
      <c r="F62" s="42">
        <f t="shared" si="16"/>
        <v>65.018128058132845</v>
      </c>
      <c r="G62" s="42">
        <f t="shared" si="16"/>
        <v>57.623943017935353</v>
      </c>
      <c r="H62" s="42">
        <f t="shared" si="16"/>
        <v>50.363835265976554</v>
      </c>
      <c r="I62" s="42">
        <f t="shared" si="16"/>
        <v>46.673164629446525</v>
      </c>
      <c r="J62" s="42">
        <f t="shared" si="16"/>
        <v>44.797014823864096</v>
      </c>
      <c r="K62" s="42">
        <f t="shared" si="16"/>
        <v>43.843275398257575</v>
      </c>
      <c r="L62" s="25"/>
      <c r="M62" s="25"/>
    </row>
    <row r="63" spans="2:13">
      <c r="B63">
        <v>0.15</v>
      </c>
      <c r="C63" s="42">
        <f t="shared" si="17"/>
        <v>91.919956733369389</v>
      </c>
      <c r="D63" s="42">
        <f t="shared" si="16"/>
        <v>78.877691107913463</v>
      </c>
      <c r="E63" s="42">
        <f t="shared" si="16"/>
        <v>69.111635698087866</v>
      </c>
      <c r="F63" s="42">
        <f t="shared" si="16"/>
        <v>61.798808233385024</v>
      </c>
      <c r="G63" s="42">
        <f t="shared" si="16"/>
        <v>54.124788883636391</v>
      </c>
      <c r="H63" s="42">
        <f t="shared" si="16"/>
        <v>46.853261804880404</v>
      </c>
      <c r="I63" s="42">
        <f t="shared" si="16"/>
        <v>43.3251610167883</v>
      </c>
      <c r="J63" s="42">
        <f t="shared" si="16"/>
        <v>41.61334793597041</v>
      </c>
      <c r="K63" s="42">
        <f t="shared" si="16"/>
        <v>40.782786622770544</v>
      </c>
      <c r="L63" s="25"/>
      <c r="M63" s="25"/>
    </row>
    <row r="66" spans="2:13">
      <c r="B66" t="s">
        <v>147</v>
      </c>
    </row>
    <row r="68" spans="2:13">
      <c r="B68" t="s">
        <v>148</v>
      </c>
      <c r="C68">
        <v>1</v>
      </c>
      <c r="D68">
        <v>3</v>
      </c>
      <c r="E68">
        <v>5</v>
      </c>
      <c r="F68">
        <v>7</v>
      </c>
      <c r="G68">
        <v>10</v>
      </c>
      <c r="H68">
        <v>15</v>
      </c>
      <c r="I68">
        <v>20</v>
      </c>
      <c r="J68">
        <v>25</v>
      </c>
      <c r="K68">
        <v>30</v>
      </c>
    </row>
    <row r="69" spans="2:13">
      <c r="B69" s="39">
        <f>B51-B$16</f>
        <v>-0.06</v>
      </c>
      <c r="C69" s="42">
        <f>(C51-C$57)/C$57</f>
        <v>5.9088051946677635E-2</v>
      </c>
      <c r="D69" s="42">
        <f t="shared" ref="D69:K69" si="18">(D51-D$57)/D$57</f>
        <v>0.17647979922541668</v>
      </c>
      <c r="E69" s="42">
        <f t="shared" si="18"/>
        <v>0.29163831826571168</v>
      </c>
      <c r="F69" s="42">
        <f t="shared" si="18"/>
        <v>0.40334261856413406</v>
      </c>
      <c r="G69" s="42">
        <f t="shared" si="18"/>
        <v>0.56237960002974496</v>
      </c>
      <c r="H69" s="42">
        <f t="shared" si="18"/>
        <v>0.80004970549940457</v>
      </c>
      <c r="I69" s="42">
        <f t="shared" si="18"/>
        <v>1.0010845807285689</v>
      </c>
      <c r="J69" s="42">
        <f t="shared" si="18"/>
        <v>1.1675108006375294</v>
      </c>
      <c r="K69" s="42">
        <f t="shared" si="18"/>
        <v>1.3039334833343643</v>
      </c>
      <c r="L69" s="25"/>
      <c r="M69" s="25"/>
    </row>
    <row r="70" spans="2:13">
      <c r="B70" s="39">
        <f t="shared" ref="B70:B81" si="19">B52-B$16</f>
        <v>-4.9999999999999996E-2</v>
      </c>
      <c r="C70" s="42">
        <f t="shared" ref="C70:K70" si="20">(C52-C$57)/C$57</f>
        <v>4.8878627063922736E-2</v>
      </c>
      <c r="D70" s="42">
        <f t="shared" si="20"/>
        <v>0.14456729092385026</v>
      </c>
      <c r="E70" s="42">
        <f t="shared" si="20"/>
        <v>0.23659870593620688</v>
      </c>
      <c r="F70" s="42">
        <f t="shared" si="20"/>
        <v>0.32410369935137229</v>
      </c>
      <c r="G70" s="42">
        <f t="shared" si="20"/>
        <v>0.44557319784917149</v>
      </c>
      <c r="H70" s="42">
        <f t="shared" si="20"/>
        <v>0.61971488372880823</v>
      </c>
      <c r="I70" s="42">
        <f t="shared" si="20"/>
        <v>0.75911132594236153</v>
      </c>
      <c r="J70" s="42">
        <f t="shared" si="20"/>
        <v>0.86795383101305124</v>
      </c>
      <c r="K70" s="42">
        <f t="shared" si="20"/>
        <v>0.95184089914478753</v>
      </c>
      <c r="L70" s="25"/>
      <c r="M70" s="25"/>
    </row>
    <row r="71" spans="2:13">
      <c r="B71" s="39">
        <f t="shared" si="19"/>
        <v>-3.9999999999999994E-2</v>
      </c>
      <c r="C71" s="42">
        <f t="shared" ref="C71:K71" si="21">(C53-C$57)/C$57</f>
        <v>3.8817521834949666E-2</v>
      </c>
      <c r="D71" s="42">
        <f t="shared" si="21"/>
        <v>0.11370592388762203</v>
      </c>
      <c r="E71" s="42">
        <f t="shared" si="21"/>
        <v>0.18432927657095538</v>
      </c>
      <c r="F71" s="42">
        <f t="shared" si="21"/>
        <v>0.25015653898313867</v>
      </c>
      <c r="G71" s="42">
        <f t="shared" si="21"/>
        <v>0.33926117533883465</v>
      </c>
      <c r="H71" s="42">
        <f t="shared" si="21"/>
        <v>0.46182371690468144</v>
      </c>
      <c r="I71" s="42">
        <f t="shared" si="21"/>
        <v>0.55462820860132156</v>
      </c>
      <c r="J71" s="42">
        <f t="shared" si="21"/>
        <v>0.62288293667671302</v>
      </c>
      <c r="K71" s="42">
        <f t="shared" si="21"/>
        <v>0.67220983331091322</v>
      </c>
      <c r="L71" s="25"/>
      <c r="M71" s="25"/>
    </row>
    <row r="72" spans="2:13">
      <c r="B72" s="39">
        <f t="shared" si="19"/>
        <v>-0.03</v>
      </c>
      <c r="C72" s="42">
        <f t="shared" ref="C72:K72" si="22">(C54-C$57)/C$57</f>
        <v>2.8901870259574917E-2</v>
      </c>
      <c r="D72" s="42">
        <f t="shared" si="22"/>
        <v>8.3855854291035897E-2</v>
      </c>
      <c r="E72" s="42">
        <f t="shared" si="22"/>
        <v>0.13467551340003373</v>
      </c>
      <c r="F72" s="42">
        <f t="shared" si="22"/>
        <v>0.18111498143249882</v>
      </c>
      <c r="G72" s="42">
        <f t="shared" si="22"/>
        <v>0.24241975908266525</v>
      </c>
      <c r="H72" s="42">
        <f t="shared" si="22"/>
        <v>0.32333479465330545</v>
      </c>
      <c r="I72" s="42">
        <f t="shared" si="22"/>
        <v>0.38126081141521945</v>
      </c>
      <c r="J72" s="42">
        <f t="shared" si="22"/>
        <v>0.42132291859698434</v>
      </c>
      <c r="K72" s="42">
        <f t="shared" si="22"/>
        <v>0.44837344668290929</v>
      </c>
      <c r="L72" s="25"/>
      <c r="M72" s="25"/>
    </row>
    <row r="73" spans="2:13">
      <c r="B73" s="39">
        <f t="shared" si="19"/>
        <v>-1.999999999999999E-2</v>
      </c>
      <c r="C73" s="42">
        <f t="shared" ref="C73:K73" si="23">(C55-C$57)/C$57</f>
        <v>1.9128875295966775E-2</v>
      </c>
      <c r="D73" s="42">
        <f t="shared" si="23"/>
        <v>5.4978937364100387E-2</v>
      </c>
      <c r="E73" s="42">
        <f t="shared" si="23"/>
        <v>8.7492271329325508E-2</v>
      </c>
      <c r="F73" s="42">
        <f t="shared" si="23"/>
        <v>0.11662303090670877</v>
      </c>
      <c r="G73" s="42">
        <f t="shared" si="23"/>
        <v>0.15413090565067919</v>
      </c>
      <c r="H73" s="42">
        <f t="shared" si="23"/>
        <v>0.20164062646480516</v>
      </c>
      <c r="I73" s="42">
        <f t="shared" si="23"/>
        <v>0.23377618869298808</v>
      </c>
      <c r="J73" s="42">
        <f t="shared" si="23"/>
        <v>0.2546328823501493</v>
      </c>
      <c r="K73" s="42">
        <f t="shared" si="23"/>
        <v>0.26772699402572758</v>
      </c>
      <c r="L73" s="25"/>
      <c r="M73" s="25"/>
    </row>
    <row r="74" spans="2:13">
      <c r="B74" s="39">
        <f t="shared" si="19"/>
        <v>-9.999999999999995E-3</v>
      </c>
      <c r="C74" s="42">
        <f t="shared" ref="C74:K74" si="24">(C56-C$57)/C$57</f>
        <v>9.4958068781997376E-3</v>
      </c>
      <c r="D74" s="42">
        <f t="shared" si="24"/>
        <v>2.7038647079242421E-2</v>
      </c>
      <c r="E74" s="42">
        <f t="shared" si="24"/>
        <v>4.2643165074295025E-2</v>
      </c>
      <c r="F74" s="42">
        <f t="shared" si="24"/>
        <v>5.6352354005575991E-2</v>
      </c>
      <c r="G74" s="42">
        <f t="shared" si="24"/>
        <v>7.3570859248969625E-2</v>
      </c>
      <c r="H74" s="42">
        <f t="shared" si="24"/>
        <v>9.4503301282575891E-2</v>
      </c>
      <c r="I74" s="42">
        <f t="shared" si="24"/>
        <v>0.10787098227142325</v>
      </c>
      <c r="J74" s="42">
        <f t="shared" si="24"/>
        <v>0.11599170522495186</v>
      </c>
      <c r="K74" s="42">
        <f t="shared" si="24"/>
        <v>0.12070082517960865</v>
      </c>
      <c r="L74" s="25"/>
      <c r="M74" s="25"/>
    </row>
    <row r="75" spans="2:13">
      <c r="B75" s="39">
        <f t="shared" si="19"/>
        <v>0</v>
      </c>
      <c r="C75" s="42">
        <f t="shared" ref="C75:K75" si="25">(C57-C$57)/C$57</f>
        <v>0</v>
      </c>
      <c r="D75" s="42">
        <f t="shared" si="25"/>
        <v>0</v>
      </c>
      <c r="E75" s="42">
        <f t="shared" si="25"/>
        <v>0</v>
      </c>
      <c r="F75" s="42">
        <f t="shared" si="25"/>
        <v>0</v>
      </c>
      <c r="G75" s="42">
        <f t="shared" si="25"/>
        <v>0</v>
      </c>
      <c r="H75" s="42">
        <f t="shared" si="25"/>
        <v>0</v>
      </c>
      <c r="I75" s="42">
        <f t="shared" si="25"/>
        <v>0</v>
      </c>
      <c r="J75" s="42">
        <f t="shared" si="25"/>
        <v>0</v>
      </c>
      <c r="K75" s="42">
        <f t="shared" si="25"/>
        <v>0</v>
      </c>
      <c r="L75" s="25"/>
      <c r="M75" s="25"/>
    </row>
    <row r="76" spans="2:13">
      <c r="B76" s="39">
        <f t="shared" si="19"/>
        <v>1.0000000000000009E-2</v>
      </c>
      <c r="C76" s="42">
        <f t="shared" ref="C76:K76" si="26">(C58-C$57)/C$57</f>
        <v>-9.3611471378332398E-3</v>
      </c>
      <c r="D76" s="42">
        <f t="shared" si="26"/>
        <v>-2.6170516942691957E-2</v>
      </c>
      <c r="E76" s="42">
        <f t="shared" si="26"/>
        <v>-4.0557757502201412E-2</v>
      </c>
      <c r="F76" s="42">
        <f t="shared" si="26"/>
        <v>-5.2713680770719681E-2</v>
      </c>
      <c r="G76" s="42">
        <f t="shared" si="26"/>
        <v>-6.7246168345655291E-2</v>
      </c>
      <c r="H76" s="42">
        <f t="shared" si="26"/>
        <v>-8.3523191806254379E-2</v>
      </c>
      <c r="I76" s="42">
        <f t="shared" si="26"/>
        <v>-9.2762659394024324E-2</v>
      </c>
      <c r="J76" s="42">
        <f t="shared" si="26"/>
        <v>-9.7628386548641949E-2</v>
      </c>
      <c r="K76" s="42">
        <f t="shared" si="26"/>
        <v>-9.9960159570780541E-2</v>
      </c>
      <c r="L76" s="25"/>
      <c r="M76" s="25"/>
    </row>
    <row r="77" spans="2:13">
      <c r="B77" s="39">
        <f t="shared" si="19"/>
        <v>2.0000000000000004E-2</v>
      </c>
      <c r="C77" s="42">
        <f t="shared" ref="C77:K77" si="27">(C59-C$57)/C$57</f>
        <v>-1.8590174918732577E-2</v>
      </c>
      <c r="D77" s="42">
        <f t="shared" si="27"/>
        <v>-5.1505014966758515E-2</v>
      </c>
      <c r="E77" s="42">
        <f t="shared" si="27"/>
        <v>-7.9143473021754895E-2</v>
      </c>
      <c r="F77" s="42">
        <f t="shared" si="27"/>
        <v>-0.10204693846437725</v>
      </c>
      <c r="G77" s="42">
        <f t="shared" si="27"/>
        <v>-0.12876502411409241</v>
      </c>
      <c r="H77" s="42">
        <f t="shared" si="27"/>
        <v>-0.1574904723859516</v>
      </c>
      <c r="I77" s="42">
        <f t="shared" si="27"/>
        <v>-0.17283626865945309</v>
      </c>
      <c r="J77" s="42">
        <f t="shared" si="27"/>
        <v>-0.18030594237601333</v>
      </c>
      <c r="K77" s="42">
        <f t="shared" si="27"/>
        <v>-0.18347418880026026</v>
      </c>
      <c r="L77" s="25"/>
      <c r="M77" s="25"/>
    </row>
    <row r="78" spans="2:13">
      <c r="B78" s="39">
        <f t="shared" si="19"/>
        <v>0.03</v>
      </c>
      <c r="C78" s="42">
        <f t="shared" ref="C78:K78" si="28">(C60-C$57)/C$57</f>
        <v>-2.7689564042705121E-2</v>
      </c>
      <c r="D78" s="42">
        <f t="shared" si="28"/>
        <v>-7.6034268454624188E-2</v>
      </c>
      <c r="E78" s="42">
        <f t="shared" si="28"/>
        <v>-0.115863803211954</v>
      </c>
      <c r="F78" s="42">
        <f t="shared" si="28"/>
        <v>-0.14823836161831375</v>
      </c>
      <c r="G78" s="42">
        <f t="shared" si="28"/>
        <v>-0.1850939436293447</v>
      </c>
      <c r="H78" s="42">
        <f t="shared" si="28"/>
        <v>-0.22312960550550504</v>
      </c>
      <c r="I78" s="42">
        <f t="shared" si="28"/>
        <v>-0.24222499535148376</v>
      </c>
      <c r="J78" s="42">
        <f t="shared" si="28"/>
        <v>-0.25075789426993378</v>
      </c>
      <c r="K78" s="42">
        <f t="shared" si="28"/>
        <v>-0.25386003577965871</v>
      </c>
      <c r="L78" s="25"/>
      <c r="M78" s="25"/>
    </row>
    <row r="79" spans="2:13">
      <c r="B79" s="39">
        <f t="shared" si="19"/>
        <v>4.0000000000000008E-2</v>
      </c>
      <c r="C79" s="42">
        <f t="shared" ref="C79:K79" si="29">(C61-C$57)/C$57</f>
        <v>-3.6661737201917011E-2</v>
      </c>
      <c r="D79" s="42">
        <f t="shared" si="29"/>
        <v>-9.9787776662604036E-2</v>
      </c>
      <c r="E79" s="42">
        <f t="shared" si="29"/>
        <v>-0.15081912343146561</v>
      </c>
      <c r="F79" s="42">
        <f t="shared" si="29"/>
        <v>-0.19150846614778028</v>
      </c>
      <c r="G79" s="42">
        <f t="shared" si="29"/>
        <v>-0.23671663010750146</v>
      </c>
      <c r="H79" s="42">
        <f t="shared" si="29"/>
        <v>-0.28150021229469813</v>
      </c>
      <c r="I79" s="42">
        <f t="shared" si="29"/>
        <v>-0.30259235573722165</v>
      </c>
      <c r="J79" s="42">
        <f t="shared" si="29"/>
        <v>-0.31116753573634476</v>
      </c>
      <c r="K79" s="42">
        <f t="shared" si="29"/>
        <v>-0.31369374765701002</v>
      </c>
      <c r="L79" s="25"/>
      <c r="M79" s="25"/>
    </row>
    <row r="80" spans="2:13">
      <c r="B80" s="39">
        <f t="shared" si="19"/>
        <v>5.0000000000000017E-2</v>
      </c>
      <c r="C80" s="42">
        <f t="shared" ref="C80:K80" si="30">(C62-C$57)/C$57</f>
        <v>-4.5509060701638036E-2</v>
      </c>
      <c r="D80" s="42">
        <f t="shared" si="30"/>
        <v>-0.12279382230679327</v>
      </c>
      <c r="E80" s="42">
        <f t="shared" si="30"/>
        <v>-0.18410392623455432</v>
      </c>
      <c r="F80" s="42">
        <f t="shared" si="30"/>
        <v>-0.23206114885842594</v>
      </c>
      <c r="G80" s="42">
        <f t="shared" si="30"/>
        <v>-0.28406874598263521</v>
      </c>
      <c r="H80" s="42">
        <f t="shared" si="30"/>
        <v>-0.33351784400346013</v>
      </c>
      <c r="I80" s="42">
        <f t="shared" si="30"/>
        <v>-0.35532186752614575</v>
      </c>
      <c r="J80" s="42">
        <f t="shared" si="30"/>
        <v>-0.36328976146113112</v>
      </c>
      <c r="K80" s="42">
        <f t="shared" si="30"/>
        <v>-0.36498564097557673</v>
      </c>
      <c r="L80" s="25"/>
      <c r="M80" s="25"/>
    </row>
    <row r="81" spans="2:13">
      <c r="B81" s="39">
        <f t="shared" si="19"/>
        <v>0.06</v>
      </c>
      <c r="C81" s="42">
        <f t="shared" ref="C81:K81" si="31">(C63-C$57)/C$57</f>
        <v>-5.4233846028570287E-2</v>
      </c>
      <c r="D81" s="42">
        <f t="shared" si="31"/>
        <v>-0.14507952719728007</v>
      </c>
      <c r="E81" s="42">
        <f t="shared" si="31"/>
        <v>-0.21580719282356062</v>
      </c>
      <c r="F81" s="42">
        <f t="shared" si="31"/>
        <v>-0.27008501760874892</v>
      </c>
      <c r="G81" s="42">
        <f t="shared" si="31"/>
        <v>-0.32754292834792348</v>
      </c>
      <c r="H81" s="42">
        <f t="shared" si="31"/>
        <v>-0.37997448410601031</v>
      </c>
      <c r="I81" s="42">
        <f t="shared" si="31"/>
        <v>-0.4015665293925596</v>
      </c>
      <c r="J81" s="42">
        <f t="shared" si="31"/>
        <v>-0.40853994859054743</v>
      </c>
      <c r="K81" s="42">
        <f t="shared" si="31"/>
        <v>-0.40931294773844179</v>
      </c>
      <c r="L81" s="25"/>
      <c r="M81" s="25"/>
    </row>
    <row r="85" spans="2:13">
      <c r="B85" t="s">
        <v>145</v>
      </c>
    </row>
    <row r="86" spans="2:13">
      <c r="B86" t="s">
        <v>146</v>
      </c>
    </row>
    <row r="87" spans="2:13">
      <c r="B87" t="s">
        <v>149</v>
      </c>
    </row>
    <row r="88" spans="2:13">
      <c r="B88" t="s">
        <v>151</v>
      </c>
    </row>
    <row r="91" spans="2:13">
      <c r="B91" t="s">
        <v>152</v>
      </c>
      <c r="C91">
        <v>1</v>
      </c>
      <c r="D91">
        <v>3</v>
      </c>
      <c r="E91">
        <v>5</v>
      </c>
      <c r="F91">
        <v>7</v>
      </c>
      <c r="G91">
        <v>10</v>
      </c>
      <c r="H91">
        <v>15</v>
      </c>
      <c r="I91">
        <v>20</v>
      </c>
      <c r="J91">
        <v>25</v>
      </c>
      <c r="K91">
        <v>30</v>
      </c>
    </row>
    <row r="92" spans="2:13">
      <c r="B92">
        <v>0.03</v>
      </c>
      <c r="C92" s="43">
        <f>(C52-C51)/C51</f>
        <v>-9.6398263241562077E-3</v>
      </c>
      <c r="D92" s="43">
        <f t="shared" ref="D92:K92" si="32">(D52-D51)/D51</f>
        <v>-2.7125419682154615E-2</v>
      </c>
      <c r="E92" s="43">
        <f t="shared" si="32"/>
        <v>-4.261224798859075E-2</v>
      </c>
      <c r="F92" s="43">
        <f t="shared" si="32"/>
        <v>-5.6464414437749404E-2</v>
      </c>
      <c r="G92" s="43">
        <f t="shared" si="32"/>
        <v>-7.4761858243892657E-2</v>
      </c>
      <c r="H92" s="43">
        <f t="shared" si="32"/>
        <v>-0.10018324561796715</v>
      </c>
      <c r="I92" s="43">
        <f t="shared" si="32"/>
        <v>-0.12092105307118407</v>
      </c>
      <c r="J92" s="43">
        <f t="shared" si="32"/>
        <v>-0.13820321888886075</v>
      </c>
      <c r="K92" s="43">
        <f t="shared" si="32"/>
        <v>-0.15282237388208417</v>
      </c>
    </row>
    <row r="93" spans="2:13">
      <c r="B93">
        <v>0.04</v>
      </c>
      <c r="C93" s="43">
        <f t="shared" ref="C93:K93" si="33">(C53-C52)/C52</f>
        <v>-9.5922492549368171E-3</v>
      </c>
      <c r="D93" s="43">
        <f t="shared" si="33"/>
        <v>-2.6963348752800834E-2</v>
      </c>
      <c r="E93" s="43">
        <f t="shared" si="33"/>
        <v>-4.2268707798524874E-2</v>
      </c>
      <c r="F93" s="43">
        <f t="shared" si="33"/>
        <v>-5.5846955494843427E-2</v>
      </c>
      <c r="G93" s="43">
        <f t="shared" si="33"/>
        <v>-7.3543161057852732E-2</v>
      </c>
      <c r="H93" s="43">
        <f t="shared" si="33"/>
        <v>-9.7480839628169308E-2</v>
      </c>
      <c r="I93" s="43">
        <f t="shared" si="33"/>
        <v>-0.11624228343336805</v>
      </c>
      <c r="J93" s="43">
        <f t="shared" si="33"/>
        <v>-0.131197511559174</v>
      </c>
      <c r="K93" s="43">
        <f t="shared" si="33"/>
        <v>-0.14326529685713452</v>
      </c>
    </row>
    <row r="94" spans="2:13">
      <c r="B94">
        <v>0.05</v>
      </c>
      <c r="C94" s="43">
        <f t="shared" ref="C94:K94" si="34">(C54-C53)/C53</f>
        <v>-9.5451331604995589E-3</v>
      </c>
      <c r="D94" s="43">
        <f t="shared" si="34"/>
        <v>-2.6802469984525411E-2</v>
      </c>
      <c r="E94" s="43">
        <f t="shared" si="34"/>
        <v>-4.1925640236376266E-2</v>
      </c>
      <c r="F94" s="43">
        <f t="shared" si="34"/>
        <v>-5.5226329981681636E-2</v>
      </c>
      <c r="G94" s="43">
        <f t="shared" si="34"/>
        <v>-7.2309582357353422E-2</v>
      </c>
      <c r="H94" s="43">
        <f t="shared" si="34"/>
        <v>-9.4737088097474179E-2</v>
      </c>
      <c r="I94" s="43">
        <f t="shared" si="34"/>
        <v>-0.11151695062968046</v>
      </c>
      <c r="J94" s="43">
        <f t="shared" si="34"/>
        <v>-0.12419874134142836</v>
      </c>
      <c r="K94" s="43">
        <f t="shared" si="34"/>
        <v>-0.13385663818566129</v>
      </c>
    </row>
    <row r="95" spans="2:13">
      <c r="B95">
        <v>0.06</v>
      </c>
      <c r="C95" s="43">
        <f t="shared" ref="C95:K95" si="35">(C55-C54)/C54</f>
        <v>-9.4984713762281108E-3</v>
      </c>
      <c r="D95" s="43">
        <f t="shared" si="35"/>
        <v>-2.6642765098892483E-2</v>
      </c>
      <c r="E95" s="43">
        <f t="shared" si="35"/>
        <v>-4.1583026612889991E-2</v>
      </c>
      <c r="F95" s="43">
        <f t="shared" si="35"/>
        <v>-5.4602601389046726E-2</v>
      </c>
      <c r="G95" s="43">
        <f t="shared" si="35"/>
        <v>-7.1062016509761336E-2</v>
      </c>
      <c r="H95" s="43">
        <f t="shared" si="35"/>
        <v>-9.1960227056814003E-2</v>
      </c>
      <c r="I95" s="43">
        <f t="shared" si="35"/>
        <v>-0.10677536168648757</v>
      </c>
      <c r="J95" s="43">
        <f t="shared" si="35"/>
        <v>-0.11727808935310634</v>
      </c>
      <c r="K95" s="43">
        <f t="shared" si="35"/>
        <v>-0.12472367059124252</v>
      </c>
    </row>
    <row r="96" spans="2:13">
      <c r="B96">
        <v>7.0000000000000007E-2</v>
      </c>
      <c r="C96" s="43">
        <f t="shared" ref="C96:K96" si="36">(C56-C55)/C55</f>
        <v>-9.4522573653596891E-3</v>
      </c>
      <c r="D96" s="43">
        <f t="shared" si="36"/>
        <v>-2.648421622015289E-2</v>
      </c>
      <c r="E96" s="43">
        <f t="shared" si="36"/>
        <v>-4.1240850567340559E-2</v>
      </c>
      <c r="F96" s="43">
        <f t="shared" si="36"/>
        <v>-5.3975849711959102E-2</v>
      </c>
      <c r="G96" s="43">
        <f t="shared" si="36"/>
        <v>-6.9801480930182E-2</v>
      </c>
      <c r="H96" s="43">
        <f t="shared" si="36"/>
        <v>-8.9159206856566114E-2</v>
      </c>
      <c r="I96" s="43">
        <f t="shared" si="36"/>
        <v>-0.10204865969649135</v>
      </c>
      <c r="J96" s="43">
        <f t="shared" si="36"/>
        <v>-0.11050338236432795</v>
      </c>
      <c r="K96" s="43">
        <f t="shared" si="36"/>
        <v>-0.11597620744765426</v>
      </c>
    </row>
    <row r="97" spans="2:11">
      <c r="B97">
        <v>0.08</v>
      </c>
      <c r="C97" s="43">
        <f t="shared" ref="C97:K97" si="37">(C57-C56)/C56</f>
        <v>-9.4064847159344867E-3</v>
      </c>
      <c r="D97" s="43">
        <f t="shared" si="37"/>
        <v>-2.6326805866689281E-2</v>
      </c>
      <c r="E97" s="43">
        <f t="shared" si="37"/>
        <v>-4.0899098083337485E-2</v>
      </c>
      <c r="F97" s="43">
        <f t="shared" si="37"/>
        <v>-5.3346171655597532E-2</v>
      </c>
      <c r="G97" s="43">
        <f t="shared" si="37"/>
        <v>-6.8529113486218388E-2</v>
      </c>
      <c r="H97" s="43">
        <f t="shared" si="37"/>
        <v>-8.634355069722835E-2</v>
      </c>
      <c r="I97" s="43">
        <f t="shared" si="37"/>
        <v>-9.7367819897457478E-2</v>
      </c>
      <c r="J97" s="43">
        <f t="shared" si="37"/>
        <v>-0.10393599224966575</v>
      </c>
      <c r="K97" s="43">
        <f t="shared" si="37"/>
        <v>-0.10770120130880119</v>
      </c>
    </row>
    <row r="98" spans="2:11">
      <c r="B98">
        <v>0.09</v>
      </c>
      <c r="C98" s="43">
        <f t="shared" ref="C98:K98" si="38">(C58-C57)/C57</f>
        <v>-9.3611471378332398E-3</v>
      </c>
      <c r="D98" s="43">
        <f t="shared" si="38"/>
        <v>-2.6170516942691957E-2</v>
      </c>
      <c r="E98" s="43">
        <f t="shared" si="38"/>
        <v>-4.0557757502201412E-2</v>
      </c>
      <c r="F98" s="43">
        <f t="shared" si="38"/>
        <v>-5.2713680770719681E-2</v>
      </c>
      <c r="G98" s="43">
        <f t="shared" si="38"/>
        <v>-6.7246168345655291E-2</v>
      </c>
      <c r="H98" s="43">
        <f t="shared" si="38"/>
        <v>-8.3523191806254379E-2</v>
      </c>
      <c r="I98" s="43">
        <f t="shared" si="38"/>
        <v>-9.2762659394024324E-2</v>
      </c>
      <c r="J98" s="43">
        <f t="shared" si="38"/>
        <v>-9.7628386548641949E-2</v>
      </c>
      <c r="K98" s="43">
        <f t="shared" si="38"/>
        <v>-9.9960159570780541E-2</v>
      </c>
    </row>
    <row r="99" spans="2:11">
      <c r="B99">
        <v>0.1</v>
      </c>
      <c r="C99" s="43">
        <f t="shared" ref="C99:K99" si="39">(C59-C58)/C58</f>
        <v>-9.3162384598935426E-3</v>
      </c>
      <c r="D99" s="43">
        <f t="shared" si="39"/>
        <v>-2.6015332730048052E-2</v>
      </c>
      <c r="E99" s="43">
        <f t="shared" si="39"/>
        <v>-4.0216819533711562E-2</v>
      </c>
      <c r="F99" s="43">
        <f t="shared" si="39"/>
        <v>-5.2078507513753078E-2</v>
      </c>
      <c r="G99" s="43">
        <f t="shared" si="39"/>
        <v>-6.5954010244403338E-2</v>
      </c>
      <c r="H99" s="43">
        <f t="shared" si="39"/>
        <v>-8.0708294981819487E-2</v>
      </c>
      <c r="I99" s="43">
        <f t="shared" si="39"/>
        <v>-8.826092763327488E-2</v>
      </c>
      <c r="J99" s="43">
        <f t="shared" si="39"/>
        <v>-9.1622514045127459E-2</v>
      </c>
      <c r="K99" s="43">
        <f t="shared" si="39"/>
        <v>-9.2789258295113641E-2</v>
      </c>
    </row>
    <row r="100" spans="2:11">
      <c r="B100">
        <v>0.11</v>
      </c>
      <c r="C100" s="43">
        <f t="shared" ref="C100:K100" si="40">(C60-C59)/C59</f>
        <v>-9.2717526271138065E-3</v>
      </c>
      <c r="D100" s="43">
        <f t="shared" si="40"/>
        <v>-2.5861236880452249E-2</v>
      </c>
      <c r="E100" s="43">
        <f t="shared" si="40"/>
        <v>-3.9876277264054842E-2</v>
      </c>
      <c r="F100" s="43">
        <f t="shared" si="40"/>
        <v>-5.1440799227236704E-2</v>
      </c>
      <c r="G100" s="43">
        <f t="shared" si="40"/>
        <v>-6.4654107186152304E-2</v>
      </c>
      <c r="H100" s="43">
        <f t="shared" si="40"/>
        <v>-7.7909069236808154E-2</v>
      </c>
      <c r="I100" s="43">
        <f t="shared" si="40"/>
        <v>-8.3887535276208847E-2</v>
      </c>
      <c r="J100" s="43">
        <f t="shared" si="40"/>
        <v>-8.5949082146742198E-2</v>
      </c>
      <c r="K100" s="43">
        <f t="shared" si="40"/>
        <v>-8.6201619120868905E-2</v>
      </c>
    </row>
    <row r="101" spans="2:11">
      <c r="B101">
        <v>0.12</v>
      </c>
      <c r="C101" s="43">
        <f t="shared" ref="C101:K101" si="41">(C61-C60)/C60</f>
        <v>-9.2276836979315966E-3</v>
      </c>
      <c r="D101" s="43">
        <f t="shared" si="41"/>
        <v>-2.5708213407710481E-2</v>
      </c>
      <c r="E101" s="43">
        <f t="shared" si="41"/>
        <v>-3.9536126160765545E-2</v>
      </c>
      <c r="F101" s="43">
        <f t="shared" si="41"/>
        <v>-5.0800720036744108E-2</v>
      </c>
      <c r="G101" s="43">
        <f t="shared" si="41"/>
        <v>-6.3348021621128431E-2</v>
      </c>
      <c r="H101" s="43">
        <f t="shared" si="41"/>
        <v>-7.5135578859552896E-2</v>
      </c>
      <c r="I101" s="43">
        <f t="shared" si="41"/>
        <v>-7.9663963597926366E-2</v>
      </c>
      <c r="J101" s="43">
        <f t="shared" si="41"/>
        <v>-8.0627664948898475E-2</v>
      </c>
      <c r="K101" s="43">
        <f t="shared" si="41"/>
        <v>-8.0191002689251376E-2</v>
      </c>
    </row>
    <row r="102" spans="2:11">
      <c r="B102">
        <v>0.13</v>
      </c>
      <c r="C102" s="43">
        <f t="shared" ref="C102:K102" si="42">(C62-C61)/C61</f>
        <v>-9.1840258415806647E-3</v>
      </c>
      <c r="D102" s="43">
        <f t="shared" si="42"/>
        <v>-2.5556246680252703E-2</v>
      </c>
      <c r="E102" s="43">
        <f t="shared" si="42"/>
        <v>-3.9196364074506329E-2</v>
      </c>
      <c r="F102" s="43">
        <f t="shared" si="42"/>
        <v>-5.0158450661102534E-2</v>
      </c>
      <c r="G102" s="43">
        <f t="shared" si="42"/>
        <v>-6.2037400188350515E-2</v>
      </c>
      <c r="H102" s="43">
        <f t="shared" si="42"/>
        <v>-7.2397560303939054E-2</v>
      </c>
      <c r="I102" s="43">
        <f t="shared" si="42"/>
        <v>-7.5607877577344093E-2</v>
      </c>
      <c r="J102" s="43">
        <f t="shared" si="42"/>
        <v>-7.5667493082666681E-2</v>
      </c>
      <c r="K102" s="43">
        <f t="shared" si="42"/>
        <v>-7.4736159175966446E-2</v>
      </c>
    </row>
    <row r="103" spans="2:11">
      <c r="B103">
        <v>0.14000000000000001</v>
      </c>
      <c r="C103" s="43">
        <f t="shared" ref="C103:K103" si="43">(C63-C62)/C62</f>
        <v>-9.1407733355182725E-3</v>
      </c>
      <c r="D103" s="43">
        <f t="shared" si="43"/>
        <v>-2.5405321413822728E-2</v>
      </c>
      <c r="E103" s="43">
        <f t="shared" si="43"/>
        <v>-3.8856991237489882E-2</v>
      </c>
      <c r="F103" s="43">
        <f t="shared" si="43"/>
        <v>-4.9514188133337522E-2</v>
      </c>
      <c r="G103" s="43">
        <f t="shared" si="43"/>
        <v>-6.072396214208834E-2</v>
      </c>
      <c r="H103" s="43">
        <f t="shared" si="43"/>
        <v>-6.9704251921174271E-2</v>
      </c>
      <c r="I103" s="43">
        <f t="shared" si="43"/>
        <v>-7.1732946313778329E-2</v>
      </c>
      <c r="J103" s="43">
        <f t="shared" si="43"/>
        <v>-7.1068728584068402E-2</v>
      </c>
      <c r="K103" s="43">
        <f t="shared" si="43"/>
        <v>-6.9805203823997616E-2</v>
      </c>
    </row>
    <row r="110" spans="2:11" ht="33.6">
      <c r="B110" s="13" t="s">
        <v>153</v>
      </c>
    </row>
    <row r="113" spans="2:10">
      <c r="B113" t="s">
        <v>154</v>
      </c>
      <c r="C113">
        <v>100</v>
      </c>
    </row>
    <row r="114" spans="2:10">
      <c r="B114" t="s">
        <v>155</v>
      </c>
      <c r="C114">
        <v>2</v>
      </c>
    </row>
    <row r="117" spans="2:10" ht="28.8">
      <c r="B117" t="s">
        <v>156</v>
      </c>
      <c r="C117" t="s">
        <v>157</v>
      </c>
      <c r="D117" t="s">
        <v>158</v>
      </c>
      <c r="E117" s="9" t="s">
        <v>159</v>
      </c>
      <c r="F117" s="9" t="s">
        <v>160</v>
      </c>
      <c r="G117" t="s">
        <v>161</v>
      </c>
    </row>
    <row r="118" spans="2:10">
      <c r="B118">
        <v>1</v>
      </c>
      <c r="C118">
        <v>5</v>
      </c>
      <c r="D118">
        <v>0.09</v>
      </c>
      <c r="E118" s="40">
        <f>-PV(0.09/2,$C118*2,$C$113*$D118/2,$C$113)</f>
        <v>100</v>
      </c>
      <c r="F118" s="40">
        <f>-PV(0.0901/2,$C118*2,$C$113*$D118/2,$C$113)</f>
        <v>99.960446133598666</v>
      </c>
      <c r="G118" s="40">
        <f>ABS(F118-E118)</f>
        <v>3.9553866401334403E-2</v>
      </c>
    </row>
    <row r="119" spans="2:10">
      <c r="B119">
        <v>2</v>
      </c>
      <c r="C119">
        <v>25</v>
      </c>
      <c r="D119">
        <v>0.09</v>
      </c>
      <c r="E119" s="40">
        <f t="shared" ref="E119:E123" si="44">-PV(0.09/2,$C119*2,$C$113*$D119/2,$C$113)</f>
        <v>100</v>
      </c>
      <c r="F119" s="40">
        <f t="shared" ref="F119:F123" si="45">-PV(0.0901/2,$C119*2,$C$113*$D119/2,$C$113)</f>
        <v>99.901270268282488</v>
      </c>
      <c r="G119" s="40">
        <f t="shared" ref="G119:G123" si="46">ABS(F119-E119)</f>
        <v>9.8729731717511982E-2</v>
      </c>
    </row>
    <row r="120" spans="2:10">
      <c r="B120">
        <v>3</v>
      </c>
      <c r="C120">
        <v>5</v>
      </c>
      <c r="D120">
        <v>0.06</v>
      </c>
      <c r="E120" s="40">
        <f t="shared" si="44"/>
        <v>88.130922734334774</v>
      </c>
      <c r="F120" s="40">
        <f t="shared" si="45"/>
        <v>88.094286213196298</v>
      </c>
      <c r="G120" s="40">
        <f t="shared" si="46"/>
        <v>3.6636521138476041E-2</v>
      </c>
    </row>
    <row r="121" spans="2:10">
      <c r="B121">
        <v>4</v>
      </c>
      <c r="C121">
        <v>25</v>
      </c>
      <c r="D121">
        <v>0.06</v>
      </c>
      <c r="E121" s="40">
        <f t="shared" si="44"/>
        <v>70.356988332188408</v>
      </c>
      <c r="F121" s="40">
        <f t="shared" si="45"/>
        <v>70.282350753024801</v>
      </c>
      <c r="G121" s="40">
        <f t="shared" si="46"/>
        <v>7.4637579163606915E-2</v>
      </c>
    </row>
    <row r="122" spans="2:10">
      <c r="B122">
        <v>5</v>
      </c>
      <c r="C122">
        <v>5</v>
      </c>
      <c r="D122">
        <v>0</v>
      </c>
      <c r="E122" s="40">
        <f t="shared" si="44"/>
        <v>64.392768203004323</v>
      </c>
      <c r="F122" s="40">
        <f t="shared" si="45"/>
        <v>64.361966372391592</v>
      </c>
      <c r="G122" s="40">
        <f t="shared" si="46"/>
        <v>3.0801830612730896E-2</v>
      </c>
    </row>
    <row r="123" spans="2:10">
      <c r="B123">
        <v>6</v>
      </c>
      <c r="C123">
        <v>25</v>
      </c>
      <c r="D123">
        <v>0</v>
      </c>
      <c r="E123" s="40">
        <f t="shared" si="44"/>
        <v>11.070964996565214</v>
      </c>
      <c r="F123" s="40">
        <f t="shared" si="45"/>
        <v>11.044511722509455</v>
      </c>
      <c r="G123" s="40">
        <f t="shared" si="46"/>
        <v>2.6453274055759479E-2</v>
      </c>
    </row>
    <row r="125" spans="2:10" ht="15" thickBot="1"/>
    <row r="126" spans="2:10" ht="28.8">
      <c r="B126" t="s">
        <v>156</v>
      </c>
      <c r="C126" t="s">
        <v>157</v>
      </c>
      <c r="D126" t="s">
        <v>158</v>
      </c>
      <c r="E126" s="9" t="s">
        <v>159</v>
      </c>
      <c r="F126" s="9" t="s">
        <v>165</v>
      </c>
      <c r="G126" t="s">
        <v>164</v>
      </c>
      <c r="I126" s="2" t="s">
        <v>162</v>
      </c>
      <c r="J126" s="32">
        <v>43831</v>
      </c>
    </row>
    <row r="127" spans="2:10">
      <c r="B127">
        <v>1</v>
      </c>
      <c r="C127">
        <v>5</v>
      </c>
      <c r="D127">
        <v>0.09</v>
      </c>
      <c r="E127" s="40">
        <f>-PV(0.09/2,$C127*2,$C$113*$D127/2,$C$113)</f>
        <v>100</v>
      </c>
      <c r="F127" s="40">
        <f>YIELD($J$126,J127,D127,E127-1,$C$113,2)</f>
        <v>9.2543405057713496E-2</v>
      </c>
      <c r="G127" s="40">
        <f>F127-0.09</f>
        <v>2.5434050577134992E-3</v>
      </c>
      <c r="I127" s="53" t="s">
        <v>163</v>
      </c>
      <c r="J127" s="44">
        <f>DATE(YEAR($J$126)+C127,MONTH($J$126), DAY($J$126))</f>
        <v>45658</v>
      </c>
    </row>
    <row r="128" spans="2:10">
      <c r="B128">
        <v>2</v>
      </c>
      <c r="C128">
        <v>25</v>
      </c>
      <c r="D128">
        <v>0.09</v>
      </c>
      <c r="E128" s="40">
        <f t="shared" ref="E128:E132" si="47">-PV(0.09/2,$C128*2,$C$113*$D128/2,$C$113)</f>
        <v>100</v>
      </c>
      <c r="F128" s="40">
        <f t="shared" ref="F128:F132" si="48">YIELD($J$126,J128,D128,E128-1,$C$113,2)</f>
        <v>9.1020454772509835E-2</v>
      </c>
      <c r="G128" s="40">
        <f t="shared" ref="G128:G132" si="49">F128-0.09</f>
        <v>1.0204547725098378E-3</v>
      </c>
      <c r="I128" s="53"/>
      <c r="J128" s="44">
        <f t="shared" ref="J128:J132" si="50">DATE(YEAR($J$126)+C128,MONTH($J$126), DAY($J$126))</f>
        <v>52963</v>
      </c>
    </row>
    <row r="129" spans="2:10">
      <c r="B129">
        <v>3</v>
      </c>
      <c r="C129">
        <v>5</v>
      </c>
      <c r="D129">
        <v>0.06</v>
      </c>
      <c r="E129" s="40">
        <f t="shared" si="47"/>
        <v>88.130922734334774</v>
      </c>
      <c r="F129" s="40">
        <f t="shared" si="48"/>
        <v>9.274766234912897E-2</v>
      </c>
      <c r="G129" s="40">
        <f t="shared" si="49"/>
        <v>2.7476623491289737E-3</v>
      </c>
      <c r="I129" s="53"/>
      <c r="J129" s="44">
        <f t="shared" si="50"/>
        <v>45658</v>
      </c>
    </row>
    <row r="130" spans="2:10">
      <c r="B130">
        <v>4</v>
      </c>
      <c r="C130">
        <v>25</v>
      </c>
      <c r="D130">
        <v>0.06</v>
      </c>
      <c r="E130" s="40">
        <f t="shared" si="47"/>
        <v>70.356988332188408</v>
      </c>
      <c r="F130" s="40">
        <f t="shared" si="48"/>
        <v>9.1354306098633709E-2</v>
      </c>
      <c r="G130" s="40">
        <f t="shared" si="49"/>
        <v>1.3543060986337119E-3</v>
      </c>
      <c r="I130" s="53"/>
      <c r="J130" s="44">
        <f t="shared" si="50"/>
        <v>52963</v>
      </c>
    </row>
    <row r="131" spans="2:10">
      <c r="B131">
        <v>5</v>
      </c>
      <c r="C131">
        <v>5</v>
      </c>
      <c r="D131">
        <v>0</v>
      </c>
      <c r="E131" s="40">
        <f t="shared" si="47"/>
        <v>64.392768203004323</v>
      </c>
      <c r="F131" s="40">
        <f t="shared" si="48"/>
        <v>9.3273733785074309E-2</v>
      </c>
      <c r="G131" s="40">
        <f t="shared" si="49"/>
        <v>3.273733785074312E-3</v>
      </c>
      <c r="I131" s="53"/>
      <c r="J131" s="44">
        <f t="shared" si="50"/>
        <v>45658</v>
      </c>
    </row>
    <row r="132" spans="2:10" ht="15" thickBot="1">
      <c r="B132">
        <v>6</v>
      </c>
      <c r="C132">
        <v>25</v>
      </c>
      <c r="D132">
        <v>0</v>
      </c>
      <c r="E132" s="40">
        <f t="shared" si="47"/>
        <v>11.070964996565214</v>
      </c>
      <c r="F132" s="40">
        <f t="shared" si="48"/>
        <v>9.3960928861366533E-2</v>
      </c>
      <c r="G132" s="40">
        <f t="shared" si="49"/>
        <v>3.9609288613665361E-3</v>
      </c>
      <c r="I132" s="54"/>
      <c r="J132" s="45">
        <f t="shared" si="50"/>
        <v>52963</v>
      </c>
    </row>
    <row r="137" spans="2:10" ht="33.6">
      <c r="B137" s="13" t="s">
        <v>177</v>
      </c>
    </row>
    <row r="140" spans="2:10">
      <c r="B140" s="18" t="s">
        <v>166</v>
      </c>
      <c r="C140">
        <v>100</v>
      </c>
    </row>
    <row r="141" spans="2:10">
      <c r="B141" s="18" t="s">
        <v>167</v>
      </c>
      <c r="C141">
        <v>2</v>
      </c>
    </row>
    <row r="142" spans="2:10">
      <c r="B142" s="18" t="s">
        <v>168</v>
      </c>
      <c r="C142">
        <v>0.04</v>
      </c>
      <c r="D142" t="s">
        <v>170</v>
      </c>
    </row>
    <row r="143" spans="2:10">
      <c r="B143" s="18" t="s">
        <v>171</v>
      </c>
      <c r="C143">
        <v>20</v>
      </c>
      <c r="D143" t="s">
        <v>172</v>
      </c>
      <c r="I143" t="s">
        <v>179</v>
      </c>
    </row>
    <row r="146" spans="2:10" ht="28.8">
      <c r="B146" s="9" t="s">
        <v>174</v>
      </c>
      <c r="C146" s="9" t="s">
        <v>176</v>
      </c>
      <c r="D146" t="s">
        <v>173</v>
      </c>
      <c r="E146" s="9" t="s">
        <v>175</v>
      </c>
      <c r="I146" s="9" t="s">
        <v>178</v>
      </c>
      <c r="J146" s="40">
        <f>E153</f>
        <v>14.335099584752941</v>
      </c>
    </row>
    <row r="147" spans="2:10">
      <c r="B147">
        <v>0</v>
      </c>
      <c r="C147" s="39">
        <f>$C$140*B147</f>
        <v>0</v>
      </c>
      <c r="D147" s="40">
        <f>C147*(1 - 1/(1+$C$142)^$C$143) / $C$142 + $C$140/(1+$C$142)^$C$143</f>
        <v>45.638694620129208</v>
      </c>
      <c r="E147" s="40">
        <f>(  C147/$C$142^2 * (1 - 1/(1+$C$142)^$C$143) + $C$143*($C$140 - C147/$C$142) / (1+$C$142)^($C$143+1)  ) / D147</f>
        <v>19.230769230769226</v>
      </c>
      <c r="I147">
        <v>10</v>
      </c>
      <c r="J147" s="40">
        <f t="dataTable" ref="J147:J162" dt2D="0" dtr="0" r1="C143"/>
        <v>8.3874189750702435</v>
      </c>
    </row>
    <row r="148" spans="2:10">
      <c r="B148">
        <v>5.0000000000000001E-3</v>
      </c>
      <c r="C148" s="39">
        <f t="shared" ref="C148:C157" si="51">$C$140*B148</f>
        <v>0.5</v>
      </c>
      <c r="D148" s="40">
        <f t="shared" ref="D148:D157" si="52">C148*(1 - 1/(1+$C$142)^$C$143) / $C$142 + $C$140/(1+$C$142)^$C$143</f>
        <v>52.433857792613054</v>
      </c>
      <c r="E148" s="40">
        <f t="shared" ref="E148:E157" si="53">(  C148/$C$142^2 * (1 - 1/(1+$C$142)^$C$143) + $C$143*($C$140 - C148/$C$142) / (1+$C$142)^($C$143+1)  ) / D148</f>
        <v>17.88611257110891</v>
      </c>
      <c r="I148">
        <v>12</v>
      </c>
      <c r="J148" s="40">
        <v>9.7561493957537149</v>
      </c>
    </row>
    <row r="149" spans="2:10">
      <c r="B149">
        <v>0.01</v>
      </c>
      <c r="C149" s="39">
        <f t="shared" si="51"/>
        <v>1</v>
      </c>
      <c r="D149" s="40">
        <f t="shared" si="52"/>
        <v>59.229020965096908</v>
      </c>
      <c r="E149" s="40">
        <f t="shared" si="53"/>
        <v>16.849992546512791</v>
      </c>
      <c r="I149">
        <v>14</v>
      </c>
      <c r="J149" s="40">
        <v>11.030984398980948</v>
      </c>
    </row>
    <row r="150" spans="2:10">
      <c r="B150">
        <v>1.4999999999999999E-2</v>
      </c>
      <c r="C150" s="39">
        <f t="shared" si="51"/>
        <v>1.5</v>
      </c>
      <c r="D150" s="40">
        <f t="shared" si="52"/>
        <v>66.024184137580761</v>
      </c>
      <c r="E150" s="40">
        <f t="shared" si="53"/>
        <v>16.027146028446868</v>
      </c>
      <c r="I150">
        <v>16</v>
      </c>
      <c r="J150" s="40">
        <v>12.216180107399618</v>
      </c>
    </row>
    <row r="151" spans="2:10">
      <c r="B151">
        <v>0.02</v>
      </c>
      <c r="C151" s="39">
        <f t="shared" si="51"/>
        <v>2</v>
      </c>
      <c r="D151" s="40">
        <f t="shared" si="52"/>
        <v>72.8193473100646</v>
      </c>
      <c r="E151" s="40">
        <f t="shared" si="53"/>
        <v>15.357867938627363</v>
      </c>
      <c r="I151">
        <v>18</v>
      </c>
      <c r="J151" s="40">
        <v>13.316086585532918</v>
      </c>
    </row>
    <row r="152" spans="2:10">
      <c r="B152">
        <v>2.5000000000000001E-2</v>
      </c>
      <c r="C152" s="39">
        <f t="shared" si="51"/>
        <v>2.5</v>
      </c>
      <c r="D152" s="40">
        <f t="shared" si="52"/>
        <v>79.614510482548454</v>
      </c>
      <c r="E152" s="40">
        <f>(  C152/$C$142^2 * (1 - 1/(1+$C$142)^$C$143) + $C$143*($C$140 - C152/$C$142) / (1+$C$142)^($C$143+1)  ) / D152</f>
        <v>14.802836706586088</v>
      </c>
      <c r="I152">
        <v>20</v>
      </c>
      <c r="J152" s="40">
        <v>14.335099584752941</v>
      </c>
    </row>
    <row r="153" spans="2:10">
      <c r="B153">
        <v>0.03</v>
      </c>
      <c r="C153" s="39">
        <f t="shared" si="51"/>
        <v>3</v>
      </c>
      <c r="D153" s="40">
        <f t="shared" si="52"/>
        <v>86.409673655032307</v>
      </c>
      <c r="E153" s="40">
        <f t="shared" si="53"/>
        <v>14.335099584752941</v>
      </c>
      <c r="I153">
        <v>22</v>
      </c>
      <c r="J153" s="40">
        <v>15.277617451748585</v>
      </c>
    </row>
    <row r="154" spans="2:10">
      <c r="B154">
        <v>3.5000000000000003E-2</v>
      </c>
      <c r="C154" s="39">
        <f t="shared" si="51"/>
        <v>3.5000000000000004</v>
      </c>
      <c r="D154" s="40">
        <f t="shared" si="52"/>
        <v>93.204836827516161</v>
      </c>
      <c r="E154" s="40">
        <f t="shared" si="53"/>
        <v>13.935563860462411</v>
      </c>
      <c r="I154">
        <v>24</v>
      </c>
      <c r="J154" s="40">
        <v>16.148003277338926</v>
      </c>
    </row>
    <row r="155" spans="2:10">
      <c r="B155">
        <v>0.04</v>
      </c>
      <c r="C155" s="39">
        <f t="shared" si="51"/>
        <v>4</v>
      </c>
      <c r="D155" s="40">
        <f t="shared" si="52"/>
        <v>100</v>
      </c>
      <c r="E155" s="40">
        <f t="shared" si="53"/>
        <v>13.590326344967698</v>
      </c>
      <c r="I155">
        <v>26</v>
      </c>
      <c r="J155" s="40">
        <v>16.950552224491005</v>
      </c>
    </row>
    <row r="156" spans="2:10">
      <c r="B156">
        <v>4.4999999999999998E-2</v>
      </c>
      <c r="C156" s="39">
        <f t="shared" si="51"/>
        <v>4.5</v>
      </c>
      <c r="D156" s="40">
        <f t="shared" si="52"/>
        <v>106.79516317248385</v>
      </c>
      <c r="E156" s="40">
        <f t="shared" si="53"/>
        <v>13.289022378172387</v>
      </c>
      <c r="I156">
        <v>28</v>
      </c>
      <c r="J156" s="40">
        <v>17.689463862714728</v>
      </c>
    </row>
    <row r="157" spans="2:10">
      <c r="B157">
        <v>0.05</v>
      </c>
      <c r="C157" s="39">
        <f t="shared" si="51"/>
        <v>5</v>
      </c>
      <c r="D157" s="40">
        <f t="shared" si="52"/>
        <v>113.59032634496771</v>
      </c>
      <c r="E157" s="40">
        <f t="shared" si="53"/>
        <v>13.023767425140321</v>
      </c>
      <c r="I157">
        <v>30</v>
      </c>
      <c r="J157" s="40">
        <v>18.368819249574241</v>
      </c>
    </row>
    <row r="158" spans="2:10">
      <c r="I158">
        <v>32</v>
      </c>
      <c r="J158" s="40">
        <v>18.992562436936403</v>
      </c>
    </row>
    <row r="159" spans="2:10">
      <c r="I159">
        <v>34</v>
      </c>
      <c r="J159" s="40">
        <v>19.564486037260821</v>
      </c>
    </row>
    <row r="160" spans="2:10">
      <c r="I160">
        <v>36</v>
      </c>
      <c r="J160" s="40">
        <v>20.088220460896014</v>
      </c>
    </row>
    <row r="161" spans="2:10">
      <c r="I161">
        <v>38</v>
      </c>
      <c r="J161" s="40">
        <v>20.567226426056695</v>
      </c>
    </row>
    <row r="162" spans="2:10">
      <c r="I162">
        <v>40</v>
      </c>
      <c r="J162" s="40">
        <v>21.00479034605814</v>
      </c>
    </row>
    <row r="168" spans="2:10" ht="33.6">
      <c r="B168" s="13" t="s">
        <v>180</v>
      </c>
    </row>
    <row r="170" spans="2:10">
      <c r="D170" t="s">
        <v>299</v>
      </c>
    </row>
    <row r="171" spans="2:10">
      <c r="B171" s="18" t="s">
        <v>3</v>
      </c>
      <c r="C171">
        <v>100</v>
      </c>
      <c r="D171">
        <v>0.08</v>
      </c>
    </row>
    <row r="172" spans="2:10">
      <c r="B172" s="18" t="s">
        <v>0</v>
      </c>
      <c r="C172">
        <v>2</v>
      </c>
      <c r="D172" t="s">
        <v>300</v>
      </c>
    </row>
    <row r="173" spans="2:10">
      <c r="B173" s="18" t="s">
        <v>181</v>
      </c>
      <c r="C173">
        <f>D173*C172</f>
        <v>20</v>
      </c>
      <c r="D173">
        <v>10</v>
      </c>
    </row>
    <row r="174" spans="2:10">
      <c r="B174" s="18" t="s">
        <v>182</v>
      </c>
      <c r="C174">
        <f>D171/C172</f>
        <v>0.04</v>
      </c>
      <c r="D174" t="s">
        <v>183</v>
      </c>
    </row>
    <row r="175" spans="2:10">
      <c r="B175" s="18" t="s">
        <v>169</v>
      </c>
      <c r="C175" s="39">
        <f>C171*C174</f>
        <v>4</v>
      </c>
      <c r="D175" t="s">
        <v>183</v>
      </c>
    </row>
    <row r="176" spans="2:10">
      <c r="B176" s="18" t="s">
        <v>168</v>
      </c>
      <c r="C176">
        <f>0.038907</f>
        <v>3.8906999999999997E-2</v>
      </c>
      <c r="D176" t="s">
        <v>183</v>
      </c>
    </row>
    <row r="177" spans="2:4">
      <c r="B177" s="18" t="s">
        <v>185</v>
      </c>
      <c r="C177" s="39">
        <f>( C175 / C176^2 * (1 - 1/(1+C176)^C173) + C173*(C171-C175/C176)/(1+C176)^(C173+1) ) / C187</f>
        <v>14.820155948570054</v>
      </c>
    </row>
    <row r="180" spans="2:4" ht="28.8">
      <c r="B180" s="9" t="s">
        <v>184</v>
      </c>
      <c r="C180" t="s">
        <v>173</v>
      </c>
      <c r="D180" s="9" t="s">
        <v>186</v>
      </c>
    </row>
    <row r="181" spans="2:4">
      <c r="B181">
        <v>1.4999999999999999E-2</v>
      </c>
      <c r="C181" s="40">
        <f>$C$175*(1 - 1/(1+$B181)^$C$173) / $B181 + $C$171/(1+$B181)^$C$173</f>
        <v>142.92159696270448</v>
      </c>
      <c r="D181" s="40">
        <f>$C$187 * (1 - $C$177*(B181-B$187))</f>
        <v>135.06480491828884</v>
      </c>
    </row>
    <row r="182" spans="2:4">
      <c r="B182">
        <v>0.02</v>
      </c>
      <c r="C182" s="40">
        <f t="shared" ref="C182:C193" si="54">$C$175*(1 - 1/(1+$B182)^$C$173) / $B182 + $C$171/(1+$B182)^$C$173</f>
        <v>132.70286668919422</v>
      </c>
      <c r="D182" s="40">
        <f t="shared" ref="D182:D193" si="55">$C$187 * (1 - $C$177*(B182-B$187))</f>
        <v>128.13667606095288</v>
      </c>
    </row>
    <row r="183" spans="2:4">
      <c r="B183">
        <v>2.5000000000000001E-2</v>
      </c>
      <c r="C183" s="40">
        <f t="shared" si="54"/>
        <v>123.38374342847018</v>
      </c>
      <c r="D183" s="40">
        <f t="shared" si="55"/>
        <v>121.20854720361693</v>
      </c>
    </row>
    <row r="184" spans="2:4">
      <c r="B184">
        <v>0.03</v>
      </c>
      <c r="C184" s="40">
        <f t="shared" si="54"/>
        <v>114.87747486045551</v>
      </c>
      <c r="D184" s="40">
        <f t="shared" si="55"/>
        <v>114.280418346281</v>
      </c>
    </row>
    <row r="185" spans="2:4">
      <c r="B185">
        <v>3.5000000000000003E-2</v>
      </c>
      <c r="C185" s="40">
        <f t="shared" si="54"/>
        <v>107.10620165097615</v>
      </c>
      <c r="D185" s="40">
        <f t="shared" si="55"/>
        <v>107.35228948894505</v>
      </c>
    </row>
    <row r="186" spans="2:4">
      <c r="B186">
        <v>0.04</v>
      </c>
      <c r="C186" s="40">
        <f t="shared" si="54"/>
        <v>100</v>
      </c>
      <c r="D186" s="40">
        <f t="shared" si="55"/>
        <v>100.42416063160911</v>
      </c>
    </row>
    <row r="187" spans="2:4">
      <c r="B187">
        <v>4.4999999999999998E-2</v>
      </c>
      <c r="C187" s="40">
        <f t="shared" si="54"/>
        <v>93.496031774273163</v>
      </c>
      <c r="D187" s="40">
        <f t="shared" si="55"/>
        <v>93.496031774273163</v>
      </c>
    </row>
    <row r="188" spans="2:4">
      <c r="B188">
        <v>0.05</v>
      </c>
      <c r="C188" s="40">
        <f t="shared" si="54"/>
        <v>87.537789657459996</v>
      </c>
      <c r="D188" s="40">
        <f t="shared" si="55"/>
        <v>86.567902916937214</v>
      </c>
    </row>
    <row r="189" spans="2:4">
      <c r="B189">
        <v>5.5E-2</v>
      </c>
      <c r="C189" s="40">
        <f t="shared" si="54"/>
        <v>82.074426272607553</v>
      </c>
      <c r="D189" s="40">
        <f t="shared" si="55"/>
        <v>79.639774059601265</v>
      </c>
    </row>
    <row r="190" spans="2:4">
      <c r="B190">
        <v>0.06</v>
      </c>
      <c r="C190" s="40">
        <f t="shared" si="54"/>
        <v>77.060157562869477</v>
      </c>
      <c r="D190" s="40">
        <f t="shared" si="55"/>
        <v>72.711645202265331</v>
      </c>
    </row>
    <row r="191" spans="2:4">
      <c r="B191">
        <v>6.5000000000000002E-2</v>
      </c>
      <c r="C191" s="40">
        <f t="shared" si="54"/>
        <v>72.453731881593072</v>
      </c>
      <c r="D191" s="40">
        <f t="shared" si="55"/>
        <v>65.783516344929367</v>
      </c>
    </row>
    <row r="192" spans="2:4">
      <c r="B192">
        <v>7.0000000000000007E-2</v>
      </c>
      <c r="C192" s="40">
        <f t="shared" si="54"/>
        <v>68.217957263451524</v>
      </c>
      <c r="D192" s="40">
        <f t="shared" si="55"/>
        <v>58.855387487593418</v>
      </c>
    </row>
    <row r="193" spans="2:5">
      <c r="B193">
        <v>7.4999999999999997E-2</v>
      </c>
      <c r="C193" s="40">
        <f t="shared" si="54"/>
        <v>64.319280242828313</v>
      </c>
      <c r="D193" s="40">
        <f t="shared" si="55"/>
        <v>51.927258630257491</v>
      </c>
    </row>
    <row r="198" spans="2:5" ht="33.6">
      <c r="B198" s="13" t="s">
        <v>187</v>
      </c>
    </row>
    <row r="200" spans="2:5">
      <c r="E200" t="s">
        <v>299</v>
      </c>
    </row>
    <row r="201" spans="2:5">
      <c r="B201" s="18" t="s">
        <v>3</v>
      </c>
      <c r="C201">
        <v>100</v>
      </c>
      <c r="E201">
        <f>D171</f>
        <v>0.08</v>
      </c>
    </row>
    <row r="202" spans="2:5">
      <c r="B202" s="18" t="s">
        <v>0</v>
      </c>
      <c r="C202">
        <f>C172</f>
        <v>2</v>
      </c>
      <c r="E202" t="s">
        <v>300</v>
      </c>
    </row>
    <row r="203" spans="2:5">
      <c r="B203" s="18" t="s">
        <v>181</v>
      </c>
      <c r="C203">
        <f>C173</f>
        <v>20</v>
      </c>
      <c r="E203">
        <f>D173</f>
        <v>10</v>
      </c>
    </row>
    <row r="204" spans="2:5">
      <c r="B204" s="18" t="s">
        <v>182</v>
      </c>
      <c r="C204">
        <f>E201/C202</f>
        <v>0.04</v>
      </c>
      <c r="D204" t="s">
        <v>183</v>
      </c>
    </row>
    <row r="205" spans="2:5">
      <c r="B205" s="18" t="s">
        <v>169</v>
      </c>
      <c r="C205" s="39">
        <f>C201*C204</f>
        <v>4</v>
      </c>
      <c r="D205" t="s">
        <v>183</v>
      </c>
    </row>
    <row r="206" spans="2:5">
      <c r="B206" s="18" t="s">
        <v>168</v>
      </c>
      <c r="C206">
        <f>C176</f>
        <v>3.8906999999999997E-2</v>
      </c>
      <c r="D206" t="s">
        <v>183</v>
      </c>
    </row>
    <row r="207" spans="2:5">
      <c r="B207" s="18" t="s">
        <v>185</v>
      </c>
      <c r="C207" s="39">
        <f>( C205 / C206^2 * (1 - 1/(1+C206)^C203) + C203*(C201-C205/C206)/(1+C206)^(C203+1) ) / C218</f>
        <v>14.820155948570054</v>
      </c>
    </row>
    <row r="208" spans="2:5">
      <c r="B208" s="18" t="s">
        <v>190</v>
      </c>
      <c r="C208">
        <v>3000</v>
      </c>
    </row>
    <row r="209" spans="2:6">
      <c r="B209" s="18" t="s">
        <v>191</v>
      </c>
      <c r="C209" s="39">
        <f>( 2*C205 / C206^3 *(1 - 1/(1+C206)^C203) - 2*C205*C203/C206^2/(1+C206)^(C203+1) + C203*(C203+1)*(100-C205/C206) /(1+C206)^(C203+2) ) / C218</f>
        <v>263.05483959009922</v>
      </c>
    </row>
    <row r="211" spans="2:6" ht="28.8">
      <c r="B211" s="9" t="s">
        <v>184</v>
      </c>
      <c r="C211" t="s">
        <v>173</v>
      </c>
      <c r="D211" s="9" t="s">
        <v>188</v>
      </c>
      <c r="E211" t="s">
        <v>189</v>
      </c>
      <c r="F211" s="9" t="s">
        <v>192</v>
      </c>
    </row>
    <row r="212" spans="2:6">
      <c r="B212">
        <v>1.4999999999999999E-2</v>
      </c>
      <c r="C212" s="40">
        <f>$C$175*(1 - 1/(1+$B212)^$C$173) / $B212 + $C$171/(1+$B212)^$C$173</f>
        <v>142.92159696270448</v>
      </c>
      <c r="D212" s="40">
        <f>$C$218 * (1 - $C$207*($B212-$B$218))</f>
        <v>135.06480491828884</v>
      </c>
      <c r="E212" s="40">
        <f>$C$218 * (1 - $C$207*($B212-$B$218) + $C$208*($B212-$B$218)^2)</f>
        <v>387.50409070882637</v>
      </c>
      <c r="F212" s="40">
        <f>$C$218 * (1 - $C$207*($B212-$B$218) + 0.5*$C$209*($B212-$B$218)^2)</f>
        <v>146.13236755660034</v>
      </c>
    </row>
    <row r="213" spans="2:6">
      <c r="B213">
        <v>0.02</v>
      </c>
      <c r="C213" s="40">
        <f t="shared" ref="C213:C224" si="56">$C$175*(1 - 1/(1+$B213)^$C$173) / $B213 + $C$171/(1+$B213)^$C$173</f>
        <v>132.70286668919422</v>
      </c>
      <c r="D213" s="40">
        <f t="shared" ref="D213:D224" si="57">$C$218 * (1 - $C$207*($B213-$B$218))</f>
        <v>128.13667606095288</v>
      </c>
      <c r="E213" s="40">
        <f t="shared" ref="E213:E224" si="58">$C$218 * (1 - $C$207*($B213-$B$218) + $C$208*($B213-$B$218)^2)</f>
        <v>303.441735637715</v>
      </c>
      <c r="F213" s="40">
        <f t="shared" ref="F213:F224" si="59">$C$218 * (1 - $C$207*($B213-$B$218) + 0.5*$C$209*($B213-$B$218)^2)</f>
        <v>135.82248344866923</v>
      </c>
    </row>
    <row r="214" spans="2:6">
      <c r="B214" s="11">
        <f>B215-0.001</f>
        <v>3.7906999999999996E-2</v>
      </c>
      <c r="C214" s="55">
        <f t="shared" si="56"/>
        <v>102.8979081104354</v>
      </c>
      <c r="D214" s="55">
        <f t="shared" si="57"/>
        <v>103.32427537128994</v>
      </c>
      <c r="E214" s="55">
        <f t="shared" si="58"/>
        <v>117.43581348375487</v>
      </c>
      <c r="F214" s="55">
        <f t="shared" si="59"/>
        <v>103.94296010371396</v>
      </c>
    </row>
    <row r="215" spans="2:6">
      <c r="B215" s="11">
        <f>C206</f>
        <v>3.8906999999999997E-2</v>
      </c>
      <c r="C215" s="55">
        <f t="shared" si="56"/>
        <v>101.49990342283613</v>
      </c>
      <c r="D215" s="55">
        <f t="shared" si="57"/>
        <v>101.93864959982275</v>
      </c>
      <c r="E215" s="55">
        <f t="shared" si="58"/>
        <v>112.35167168736098</v>
      </c>
      <c r="F215" s="55">
        <f t="shared" si="59"/>
        <v>102.39518224230366</v>
      </c>
    </row>
    <row r="216" spans="2:6">
      <c r="B216">
        <v>3.5000000000000003E-2</v>
      </c>
      <c r="C216" s="40">
        <f t="shared" si="56"/>
        <v>107.10620165097615</v>
      </c>
      <c r="D216" s="40">
        <f t="shared" si="57"/>
        <v>107.35228948894505</v>
      </c>
      <c r="E216" s="40">
        <f t="shared" si="58"/>
        <v>135.40109902122697</v>
      </c>
      <c r="F216" s="40">
        <f t="shared" si="59"/>
        <v>108.58201867097966</v>
      </c>
    </row>
    <row r="217" spans="2:6">
      <c r="B217">
        <v>0.04</v>
      </c>
      <c r="C217" s="40">
        <f t="shared" si="56"/>
        <v>100</v>
      </c>
      <c r="D217" s="40">
        <f t="shared" si="57"/>
        <v>100.42416063160911</v>
      </c>
      <c r="E217" s="40">
        <f t="shared" si="58"/>
        <v>107.4363630146796</v>
      </c>
      <c r="F217" s="40">
        <f t="shared" si="59"/>
        <v>100.73159292711777</v>
      </c>
    </row>
    <row r="218" spans="2:6">
      <c r="B218">
        <v>4.4999999999999998E-2</v>
      </c>
      <c r="C218" s="40">
        <f t="shared" si="56"/>
        <v>93.496031774273163</v>
      </c>
      <c r="D218" s="40">
        <f t="shared" si="57"/>
        <v>93.496031774273163</v>
      </c>
      <c r="E218" s="40">
        <f t="shared" si="58"/>
        <v>93.496031774273163</v>
      </c>
      <c r="F218" s="40">
        <f t="shared" si="59"/>
        <v>93.496031774273163</v>
      </c>
    </row>
    <row r="219" spans="2:6">
      <c r="B219">
        <v>0.05</v>
      </c>
      <c r="C219" s="40">
        <f t="shared" si="56"/>
        <v>87.537789657459996</v>
      </c>
      <c r="D219" s="40">
        <f t="shared" si="57"/>
        <v>86.567902916937214</v>
      </c>
      <c r="E219" s="40">
        <f t="shared" si="58"/>
        <v>93.580105300007716</v>
      </c>
      <c r="F219" s="40">
        <f t="shared" si="59"/>
        <v>86.875335212445862</v>
      </c>
    </row>
    <row r="220" spans="2:6">
      <c r="B220">
        <v>5.5E-2</v>
      </c>
      <c r="C220" s="40">
        <f t="shared" si="56"/>
        <v>82.074426272607553</v>
      </c>
      <c r="D220" s="40">
        <f t="shared" si="57"/>
        <v>79.639774059601265</v>
      </c>
      <c r="E220" s="40">
        <f t="shared" si="58"/>
        <v>107.68858359188323</v>
      </c>
      <c r="F220" s="40">
        <f t="shared" si="59"/>
        <v>80.869503241635883</v>
      </c>
    </row>
    <row r="221" spans="2:6">
      <c r="B221">
        <v>0.06</v>
      </c>
      <c r="C221" s="40">
        <f t="shared" si="56"/>
        <v>77.060157562869477</v>
      </c>
      <c r="D221" s="40">
        <f t="shared" si="57"/>
        <v>72.711645202265331</v>
      </c>
      <c r="E221" s="40">
        <f t="shared" si="58"/>
        <v>135.82146664989972</v>
      </c>
      <c r="F221" s="40">
        <f t="shared" si="59"/>
        <v>75.478535861843213</v>
      </c>
    </row>
    <row r="222" spans="2:6">
      <c r="B222">
        <v>6.5000000000000002E-2</v>
      </c>
      <c r="C222" s="40">
        <f t="shared" si="56"/>
        <v>72.453731881593072</v>
      </c>
      <c r="D222" s="40">
        <f t="shared" si="57"/>
        <v>65.783516344929367</v>
      </c>
      <c r="E222" s="40">
        <f t="shared" si="58"/>
        <v>177.97875447405724</v>
      </c>
      <c r="F222" s="40">
        <f t="shared" si="59"/>
        <v>70.702433073067823</v>
      </c>
    </row>
    <row r="223" spans="2:6">
      <c r="B223">
        <v>7.0000000000000007E-2</v>
      </c>
      <c r="C223" s="40">
        <f t="shared" si="56"/>
        <v>68.217957263451524</v>
      </c>
      <c r="D223" s="40">
        <f t="shared" si="57"/>
        <v>58.855387487593418</v>
      </c>
      <c r="E223" s="40">
        <f t="shared" si="58"/>
        <v>234.16044706435574</v>
      </c>
      <c r="F223" s="40">
        <f t="shared" si="59"/>
        <v>66.541194875309756</v>
      </c>
    </row>
    <row r="224" spans="2:6">
      <c r="B224">
        <v>7.4999999999999997E-2</v>
      </c>
      <c r="C224" s="40">
        <f t="shared" si="56"/>
        <v>64.319280242828313</v>
      </c>
      <c r="D224" s="40">
        <f t="shared" si="57"/>
        <v>51.927258630257491</v>
      </c>
      <c r="E224" s="40">
        <f t="shared" si="58"/>
        <v>304.36654442079498</v>
      </c>
      <c r="F224" s="40">
        <f t="shared" si="59"/>
        <v>62.994821268568998</v>
      </c>
    </row>
    <row r="229" spans="2:4" ht="33.6">
      <c r="B229" s="13" t="s">
        <v>193</v>
      </c>
    </row>
    <row r="232" spans="2:4">
      <c r="B232" s="18" t="s">
        <v>3</v>
      </c>
      <c r="C232">
        <v>100</v>
      </c>
    </row>
    <row r="233" spans="2:4">
      <c r="B233" s="18" t="s">
        <v>0</v>
      </c>
      <c r="C233">
        <v>2</v>
      </c>
    </row>
    <row r="234" spans="2:4">
      <c r="B234" s="18" t="s">
        <v>181</v>
      </c>
      <c r="C234">
        <v>60</v>
      </c>
    </row>
    <row r="235" spans="2:4">
      <c r="B235" s="18" t="s">
        <v>2</v>
      </c>
      <c r="C235">
        <v>0.03</v>
      </c>
      <c r="D235" t="s">
        <v>183</v>
      </c>
    </row>
    <row r="236" spans="2:4">
      <c r="B236" s="18" t="s">
        <v>169</v>
      </c>
      <c r="C236" s="39">
        <f>C232*C235</f>
        <v>3</v>
      </c>
      <c r="D236" t="s">
        <v>183</v>
      </c>
    </row>
    <row r="237" spans="2:4">
      <c r="B237" s="18" t="s">
        <v>46</v>
      </c>
      <c r="C237">
        <v>4.4999999999999998E-2</v>
      </c>
      <c r="D237" t="s">
        <v>183</v>
      </c>
    </row>
    <row r="238" spans="2:4">
      <c r="B238" s="18" t="s">
        <v>194</v>
      </c>
      <c r="C238" s="39">
        <f>C236*(1 - 1/(1+C237)^C234)/C237 + 100/(1+C237)^C234</f>
        <v>69.042966942691336</v>
      </c>
    </row>
    <row r="239" spans="2:4">
      <c r="B239" s="18" t="s">
        <v>185</v>
      </c>
      <c r="C239" s="39">
        <f>( C236 / C237^2 * (1 - 1/(1+C237)^C234) + C234*(C232-C236/C237)/(1+C237)^(C234+1) ) / C238</f>
        <v>21.903844753600076</v>
      </c>
    </row>
    <row r="240" spans="2:4">
      <c r="B240" s="18" t="s">
        <v>191</v>
      </c>
      <c r="C240" s="39">
        <f>( 2*C236 / C237^3 *(1 - 1/(1+C237)^C234) - 2*C236*C234/C237^2/(1+C237)^(C234+1) + C234*(C234+1)*(100-C236/C237) /(1+C237)^(C234+2) ) / C238</f>
        <v>825.37280366272546</v>
      </c>
    </row>
    <row r="244" spans="2:6">
      <c r="C244" t="s">
        <v>191</v>
      </c>
    </row>
    <row r="245" spans="2:6" ht="28.8">
      <c r="B245" s="33" t="s">
        <v>195</v>
      </c>
      <c r="C245" s="39">
        <f>C240</f>
        <v>825.37280366272546</v>
      </c>
      <c r="E245" s="9" t="s">
        <v>196</v>
      </c>
      <c r="F245" s="39">
        <f>C240</f>
        <v>825.37280366272546</v>
      </c>
    </row>
    <row r="246" spans="2:6">
      <c r="B246">
        <v>1.4999999999999999E-2</v>
      </c>
      <c r="C246" s="39">
        <f t="dataTable" ref="C246:C258" dt2D="0" dtr="0" r1="C237" ca="1"/>
        <v>1631.5889067095873</v>
      </c>
      <c r="E246">
        <v>0</v>
      </c>
      <c r="F246" s="39">
        <f t="dataTable" ref="F246:F258" dt2D="0" dtr="0" r1="C235"/>
        <v>3351.5716215288121</v>
      </c>
    </row>
    <row r="247" spans="2:6">
      <c r="B247">
        <v>0.02</v>
      </c>
      <c r="C247" s="39">
        <v>1475.7875100492283</v>
      </c>
      <c r="E247">
        <v>5.0000000000000001E-3</v>
      </c>
      <c r="F247" s="39">
        <v>1685.5053800947383</v>
      </c>
    </row>
    <row r="248" spans="2:6">
      <c r="B248">
        <v>2.5000000000000001E-2</v>
      </c>
      <c r="C248" s="39">
        <v>1326.6313018264875</v>
      </c>
      <c r="E248">
        <v>0.01</v>
      </c>
      <c r="F248" s="39">
        <v>1257.7582701472691</v>
      </c>
    </row>
    <row r="249" spans="2:6">
      <c r="B249">
        <v>0.03</v>
      </c>
      <c r="C249" s="39">
        <v>1185.8799466095745</v>
      </c>
      <c r="E249">
        <v>1.4999999999999999E-2</v>
      </c>
      <c r="F249" s="39">
        <v>1061.7989459067642</v>
      </c>
    </row>
    <row r="250" spans="2:6">
      <c r="B250">
        <v>3.5000000000000003E-2</v>
      </c>
      <c r="C250" s="39">
        <v>1054.8917380063833</v>
      </c>
      <c r="E250">
        <v>0.02</v>
      </c>
      <c r="F250" s="39">
        <v>949.38920240119558</v>
      </c>
    </row>
    <row r="251" spans="2:6">
      <c r="B251">
        <v>0.04</v>
      </c>
      <c r="C251" s="39">
        <v>934.57238969398941</v>
      </c>
      <c r="E251">
        <v>2.5000000000000001E-2</v>
      </c>
      <c r="F251" s="39">
        <v>876.48488265821641</v>
      </c>
    </row>
    <row r="252" spans="2:6">
      <c r="B252">
        <v>4.4999999999999998E-2</v>
      </c>
      <c r="C252" s="39">
        <v>825.37280366272546</v>
      </c>
      <c r="E252">
        <v>0.03</v>
      </c>
      <c r="F252" s="39">
        <v>825.37280366272546</v>
      </c>
    </row>
    <row r="253" spans="2:6">
      <c r="B253">
        <v>0.05</v>
      </c>
      <c r="C253" s="39">
        <v>727.3283156070637</v>
      </c>
      <c r="E253">
        <v>3.5000000000000003E-2</v>
      </c>
      <c r="F253" s="39">
        <v>787.55238195474931</v>
      </c>
    </row>
    <row r="254" spans="2:6">
      <c r="B254">
        <v>5.5E-2</v>
      </c>
      <c r="C254" s="39">
        <v>640.12663225331005</v>
      </c>
      <c r="E254">
        <v>0.04</v>
      </c>
      <c r="F254" s="39">
        <v>758.43546257846253</v>
      </c>
    </row>
    <row r="255" spans="2:6">
      <c r="B255">
        <v>0.06</v>
      </c>
      <c r="C255" s="39">
        <v>563.19018444607264</v>
      </c>
      <c r="E255">
        <v>4.4999999999999998E-2</v>
      </c>
      <c r="F255" s="39">
        <v>735.32769943990013</v>
      </c>
    </row>
    <row r="256" spans="2:6">
      <c r="B256">
        <v>6.5000000000000002E-2</v>
      </c>
      <c r="C256" s="39">
        <v>495.76023731324159</v>
      </c>
      <c r="E256">
        <v>0.05</v>
      </c>
      <c r="F256" s="39">
        <v>716.54284058140547</v>
      </c>
    </row>
    <row r="257" spans="2:6">
      <c r="B257">
        <v>7.0000000000000007E-2</v>
      </c>
      <c r="C257" s="39">
        <v>436.97350096127019</v>
      </c>
      <c r="E257">
        <v>5.5E-2</v>
      </c>
      <c r="F257" s="39">
        <v>700.97158158600701</v>
      </c>
    </row>
    <row r="258" spans="2:6">
      <c r="B258">
        <v>7.4999999999999997E-2</v>
      </c>
      <c r="C258" s="39">
        <v>385.92584512243974</v>
      </c>
      <c r="E258">
        <v>0.06</v>
      </c>
      <c r="F258" s="39">
        <v>687.85425712781694</v>
      </c>
    </row>
    <row r="263" spans="2:6">
      <c r="B263" s="18" t="s">
        <v>3</v>
      </c>
      <c r="C263">
        <v>100</v>
      </c>
    </row>
    <row r="264" spans="2:6">
      <c r="B264" s="18" t="s">
        <v>0</v>
      </c>
      <c r="C264">
        <v>2</v>
      </c>
    </row>
    <row r="265" spans="2:6">
      <c r="B265" s="18" t="s">
        <v>181</v>
      </c>
      <c r="C265">
        <v>111.69672213023868</v>
      </c>
    </row>
    <row r="266" spans="2:6">
      <c r="B266" s="18" t="s">
        <v>2</v>
      </c>
      <c r="C266">
        <v>0.06</v>
      </c>
      <c r="D266" t="s">
        <v>183</v>
      </c>
    </row>
    <row r="267" spans="2:6">
      <c r="B267" s="18" t="s">
        <v>169</v>
      </c>
      <c r="C267" s="39">
        <f>C263*C266</f>
        <v>6</v>
      </c>
      <c r="D267" t="s">
        <v>183</v>
      </c>
    </row>
    <row r="268" spans="2:6">
      <c r="B268" s="18" t="s">
        <v>46</v>
      </c>
      <c r="C268">
        <v>4.4999999999999998E-2</v>
      </c>
      <c r="D268" t="s">
        <v>183</v>
      </c>
    </row>
    <row r="269" spans="2:6">
      <c r="B269" s="18" t="s">
        <v>194</v>
      </c>
      <c r="C269" s="39">
        <f>C267*(1 - 1/(1+C268)^C265)/C268 + 100/(1+C268)^C265</f>
        <v>133.08918612484095</v>
      </c>
    </row>
    <row r="270" spans="2:6">
      <c r="B270" s="18" t="s">
        <v>185</v>
      </c>
      <c r="C270" s="39">
        <f>( C267 / C268^2 * (1 - 1/(1+C268)^C265) + C265*(C263-C267/C268)/(1+C268)^(C265+1) ) / C269</f>
        <v>21.903844753600076</v>
      </c>
    </row>
    <row r="271" spans="2:6">
      <c r="B271" s="18" t="s">
        <v>191</v>
      </c>
      <c r="C271" s="39">
        <f>( 2*C267 / C268^3 *(1 - 1/(1+C268)^C265) - 2*C267*C265/C268^2/(1+C268)^(C265+1) + C265*(C265+1)*(100-C267/C268) /(1+C268)^(C265+2) ) / C269</f>
        <v>926.21422626214394</v>
      </c>
    </row>
    <row r="274" spans="2:4">
      <c r="B274" s="31" t="s">
        <v>197</v>
      </c>
      <c r="C274" s="11" t="s">
        <v>200</v>
      </c>
    </row>
    <row r="275" spans="2:4">
      <c r="B275" s="11">
        <v>21.903844753600076</v>
      </c>
      <c r="C275" s="39">
        <f>(C270-B275)^2</f>
        <v>0</v>
      </c>
    </row>
    <row r="278" spans="2:4" ht="28.8">
      <c r="B278" s="9" t="s">
        <v>199</v>
      </c>
      <c r="C278" t="s">
        <v>198</v>
      </c>
      <c r="D278" s="39">
        <f>C271</f>
        <v>926.21422626214394</v>
      </c>
    </row>
    <row r="279" spans="2:4">
      <c r="B279">
        <v>0</v>
      </c>
      <c r="C279">
        <v>22.889517767512075</v>
      </c>
      <c r="D279" s="39">
        <f t="dataTable" ref="D279:D291" dt2D="0" dtr="0" r1="C265"/>
        <v>248.57574739801498</v>
      </c>
    </row>
    <row r="280" spans="2:4">
      <c r="B280">
        <v>5.0000000000000001E-3</v>
      </c>
      <c r="C280">
        <v>25.663600605230908</v>
      </c>
      <c r="D280" s="39">
        <v>288.45538520215734</v>
      </c>
    </row>
    <row r="281" spans="2:4">
      <c r="B281">
        <v>0.01</v>
      </c>
      <c r="C281">
        <v>29.181020107663993</v>
      </c>
      <c r="D281" s="39">
        <v>338.34133886508783</v>
      </c>
    </row>
    <row r="282" spans="2:4">
      <c r="B282">
        <v>1.4999999999999999E-2</v>
      </c>
      <c r="C282">
        <v>33.765276579998869</v>
      </c>
      <c r="D282" s="39">
        <v>401.25967172499833</v>
      </c>
    </row>
    <row r="283" spans="2:4">
      <c r="B283">
        <v>0.02</v>
      </c>
      <c r="C283">
        <v>39.924338441125023</v>
      </c>
      <c r="D283" s="39">
        <v>480.57302833116262</v>
      </c>
    </row>
    <row r="284" spans="2:4">
      <c r="B284">
        <v>2.5000000000000001E-2</v>
      </c>
      <c r="C284">
        <v>48.414084301445897</v>
      </c>
      <c r="D284" s="39">
        <v>578.10364541786907</v>
      </c>
    </row>
    <row r="285" spans="2:4">
      <c r="B285">
        <v>0.03</v>
      </c>
      <c r="C285">
        <v>59.999999999999886</v>
      </c>
      <c r="D285" s="39">
        <v>687.85425712781694</v>
      </c>
    </row>
    <row r="286" spans="2:4">
      <c r="B286">
        <v>3.5000000000000003E-2</v>
      </c>
      <c r="C286">
        <v>73.964309460504083</v>
      </c>
      <c r="D286" s="39">
        <v>786.93795325776637</v>
      </c>
    </row>
    <row r="287" spans="2:4">
      <c r="B287">
        <v>0.04</v>
      </c>
      <c r="C287">
        <v>86.863690616626371</v>
      </c>
      <c r="D287" s="39">
        <v>851.81630765022896</v>
      </c>
    </row>
    <row r="288" spans="2:4">
      <c r="B288">
        <v>4.4999999999999998E-2</v>
      </c>
      <c r="C288">
        <v>96.454129839167592</v>
      </c>
      <c r="D288" s="39">
        <v>887.07793814817342</v>
      </c>
    </row>
    <row r="289" spans="2:12">
      <c r="B289">
        <v>0.05</v>
      </c>
      <c r="C289">
        <v>103.20201278788551</v>
      </c>
      <c r="D289" s="39">
        <v>906.62027757852866</v>
      </c>
    </row>
    <row r="290" spans="2:12">
      <c r="B290">
        <v>5.5E-2</v>
      </c>
      <c r="C290">
        <v>108.06193999267354</v>
      </c>
      <c r="D290" s="39">
        <v>918.44524814801537</v>
      </c>
    </row>
    <row r="291" spans="2:12">
      <c r="B291">
        <v>0.06</v>
      </c>
      <c r="C291">
        <v>111.69672213023868</v>
      </c>
      <c r="D291" s="39">
        <v>926.21422626214394</v>
      </c>
    </row>
    <row r="296" spans="2:12" ht="33.6">
      <c r="B296" s="13" t="s">
        <v>201</v>
      </c>
    </row>
    <row r="299" spans="2:12">
      <c r="B299" t="s">
        <v>202</v>
      </c>
      <c r="F299" t="s">
        <v>207</v>
      </c>
      <c r="J299" t="s">
        <v>208</v>
      </c>
    </row>
    <row r="301" spans="2:12">
      <c r="B301" t="s">
        <v>203</v>
      </c>
      <c r="C301" t="s">
        <v>204</v>
      </c>
      <c r="D301" t="s">
        <v>205</v>
      </c>
      <c r="F301" t="s">
        <v>203</v>
      </c>
      <c r="G301" t="s">
        <v>204</v>
      </c>
      <c r="H301" t="s">
        <v>205</v>
      </c>
      <c r="J301" t="s">
        <v>203</v>
      </c>
      <c r="K301" t="s">
        <v>204</v>
      </c>
      <c r="L301" t="s">
        <v>205</v>
      </c>
    </row>
    <row r="302" spans="2:12">
      <c r="B302">
        <v>2.6499999999999999E-2</v>
      </c>
      <c r="C302" s="20">
        <v>39583</v>
      </c>
      <c r="D302">
        <v>3.7100000000000001E-2</v>
      </c>
      <c r="F302">
        <v>3.875E-2</v>
      </c>
      <c r="G302" s="20">
        <v>40436</v>
      </c>
      <c r="H302">
        <v>0.69730000000000003</v>
      </c>
      <c r="J302">
        <v>0.14000000000000001</v>
      </c>
      <c r="K302" s="20">
        <v>40862</v>
      </c>
      <c r="L302">
        <v>0.36470000000000002</v>
      </c>
    </row>
    <row r="303" spans="2:12">
      <c r="B303">
        <v>0.04</v>
      </c>
      <c r="C303" s="20">
        <v>42050</v>
      </c>
      <c r="D303">
        <v>0.14949999999999999</v>
      </c>
      <c r="F303">
        <v>4.2500000000000003E-2</v>
      </c>
      <c r="G303" s="20">
        <v>40558</v>
      </c>
      <c r="H303">
        <v>0.29409999999999997</v>
      </c>
      <c r="J303">
        <v>0.10375</v>
      </c>
      <c r="K303" s="20">
        <v>41228</v>
      </c>
      <c r="L303">
        <v>0.13919999999999999</v>
      </c>
    </row>
    <row r="304" spans="2:12">
      <c r="B304">
        <v>4.2500000000000003E-2</v>
      </c>
      <c r="C304" s="20">
        <v>42231</v>
      </c>
      <c r="D304">
        <v>9.1200000000000003E-2</v>
      </c>
      <c r="F304">
        <v>3.875E-2</v>
      </c>
      <c r="G304" s="20">
        <v>41320</v>
      </c>
      <c r="H304">
        <v>5.0000000000000001E-3</v>
      </c>
      <c r="J304">
        <v>0.12</v>
      </c>
      <c r="K304" s="20">
        <v>41501</v>
      </c>
      <c r="L304">
        <v>7.8100000000000003E-2</v>
      </c>
    </row>
    <row r="305" spans="2:12">
      <c r="B305">
        <v>4.4999999999999998E-2</v>
      </c>
      <c r="C305" s="20">
        <v>49720</v>
      </c>
      <c r="D305">
        <v>6.9000000000000006E-2</v>
      </c>
      <c r="F305">
        <v>4.4999999999999998E-2</v>
      </c>
      <c r="G305" s="20">
        <v>49720</v>
      </c>
      <c r="H305">
        <v>3.5000000000000001E-3</v>
      </c>
      <c r="J305">
        <v>0.125</v>
      </c>
      <c r="K305" s="20">
        <v>41866</v>
      </c>
      <c r="L305">
        <v>8.5699999999999998E-2</v>
      </c>
    </row>
    <row r="306" spans="2:12">
      <c r="B306">
        <v>4.6249999999999999E-2</v>
      </c>
      <c r="C306" s="20">
        <v>49734</v>
      </c>
      <c r="D306">
        <v>0.65310000000000001</v>
      </c>
      <c r="G306" s="11" t="s">
        <v>206</v>
      </c>
      <c r="H306" s="40">
        <f>SUM(H302:H305)</f>
        <v>0.99990000000000001</v>
      </c>
      <c r="J306">
        <v>0.06</v>
      </c>
      <c r="K306" s="20">
        <v>46068</v>
      </c>
      <c r="L306">
        <v>6.0600000000000001E-2</v>
      </c>
    </row>
    <row r="307" spans="2:12">
      <c r="C307" s="11" t="s">
        <v>206</v>
      </c>
      <c r="D307" s="39">
        <f>SUM(D302:D306)</f>
        <v>0.99990000000000001</v>
      </c>
      <c r="J307">
        <v>6.7500000000000004E-2</v>
      </c>
      <c r="K307" s="20">
        <v>46249</v>
      </c>
      <c r="L307">
        <v>2.58E-2</v>
      </c>
    </row>
    <row r="308" spans="2:12">
      <c r="J308">
        <v>5.3749999999999999E-2</v>
      </c>
      <c r="K308" s="20">
        <v>47894</v>
      </c>
      <c r="L308">
        <v>2.8899999999999999E-2</v>
      </c>
    </row>
    <row r="309" spans="2:12">
      <c r="J309">
        <v>0.05</v>
      </c>
      <c r="K309" s="20">
        <v>40770</v>
      </c>
      <c r="L309">
        <v>4.5499999999999999E-2</v>
      </c>
    </row>
    <row r="310" spans="2:12">
      <c r="J310">
        <v>0.04</v>
      </c>
      <c r="K310" s="20">
        <v>42050</v>
      </c>
      <c r="L310">
        <v>7.7399999999999997E-2</v>
      </c>
    </row>
    <row r="311" spans="2:12">
      <c r="J311">
        <v>4.4999999999999998E-2</v>
      </c>
      <c r="K311" s="20">
        <v>49720</v>
      </c>
      <c r="L311">
        <v>4.5699999999999998E-2</v>
      </c>
    </row>
    <row r="312" spans="2:12">
      <c r="J312">
        <v>4.4999999999999998E-2</v>
      </c>
      <c r="K312" s="20">
        <v>42415</v>
      </c>
      <c r="L312">
        <v>4.8500000000000001E-2</v>
      </c>
    </row>
    <row r="313" spans="2:12">
      <c r="K313" s="11" t="s">
        <v>206</v>
      </c>
      <c r="L313" s="39">
        <f>SUM(L302:L312)</f>
        <v>1.0001000000000002</v>
      </c>
    </row>
    <row r="316" spans="2:12">
      <c r="B316" t="s">
        <v>209</v>
      </c>
      <c r="C316" t="s">
        <v>202</v>
      </c>
      <c r="D316" t="s">
        <v>207</v>
      </c>
      <c r="E316" t="s">
        <v>208</v>
      </c>
    </row>
    <row r="317" spans="2:12">
      <c r="B317">
        <v>8.3299999999999999E-2</v>
      </c>
      <c r="C317">
        <v>0</v>
      </c>
      <c r="D317">
        <v>0</v>
      </c>
      <c r="E317">
        <v>1.5E-3</v>
      </c>
    </row>
    <row r="318" spans="2:12">
      <c r="B318">
        <v>0.25</v>
      </c>
      <c r="C318">
        <v>1.6999999999999999E-3</v>
      </c>
      <c r="D318">
        <v>1.4E-3</v>
      </c>
      <c r="E318">
        <v>4.4999999999999997E-3</v>
      </c>
    </row>
    <row r="319" spans="2:12">
      <c r="B319">
        <v>0.5</v>
      </c>
      <c r="C319">
        <v>9.1999999999999998E-3</v>
      </c>
      <c r="D319">
        <v>8.6999999999999994E-3</v>
      </c>
      <c r="E319">
        <v>0.1273</v>
      </c>
    </row>
    <row r="320" spans="2:12">
      <c r="B320">
        <v>1</v>
      </c>
      <c r="C320">
        <v>6.6199999999999995E-2</v>
      </c>
      <c r="D320">
        <v>2.9000000000000001E-2</v>
      </c>
      <c r="E320">
        <v>0.17680000000000001</v>
      </c>
    </row>
    <row r="321" spans="2:10">
      <c r="B321">
        <v>2</v>
      </c>
      <c r="C321">
        <v>1.248</v>
      </c>
      <c r="D321">
        <v>7.4399999999999994E-2</v>
      </c>
      <c r="E321">
        <v>0.28799999999999998</v>
      </c>
    </row>
    <row r="322" spans="2:10">
      <c r="B322">
        <v>3</v>
      </c>
      <c r="C322">
        <v>5.1299999999999998E-2</v>
      </c>
      <c r="D322">
        <v>0.1071</v>
      </c>
      <c r="E322">
        <v>0.24299999999999999</v>
      </c>
    </row>
    <row r="323" spans="2:10">
      <c r="B323">
        <v>4</v>
      </c>
      <c r="C323">
        <v>4.48E-2</v>
      </c>
      <c r="D323">
        <v>1.5132000000000001</v>
      </c>
      <c r="E323">
        <v>0.152</v>
      </c>
    </row>
    <row r="324" spans="2:10">
      <c r="B324">
        <v>5</v>
      </c>
      <c r="C324">
        <v>7.9000000000000001E-2</v>
      </c>
      <c r="D324">
        <v>2.4525000000000001</v>
      </c>
      <c r="E324">
        <v>0.22800000000000001</v>
      </c>
    </row>
    <row r="325" spans="2:10">
      <c r="B325">
        <v>7</v>
      </c>
      <c r="C325">
        <v>0.5131</v>
      </c>
      <c r="D325">
        <v>2.87E-2</v>
      </c>
      <c r="E325">
        <v>0.36259999999999998</v>
      </c>
    </row>
    <row r="326" spans="2:10">
      <c r="B326">
        <v>10</v>
      </c>
      <c r="C326">
        <v>1.321</v>
      </c>
      <c r="D326">
        <v>6.0000000000000001E-3</v>
      </c>
      <c r="E326">
        <v>0.97699999999999998</v>
      </c>
    </row>
    <row r="327" spans="2:10">
      <c r="B327">
        <v>20</v>
      </c>
      <c r="C327">
        <v>0.252</v>
      </c>
      <c r="D327">
        <v>1.2E-2</v>
      </c>
      <c r="E327">
        <v>1.1040000000000001</v>
      </c>
    </row>
    <row r="328" spans="2:10">
      <c r="B328">
        <v>30</v>
      </c>
      <c r="C328">
        <v>0.67500000000000004</v>
      </c>
      <c r="D328">
        <v>3.3000000000000002E-2</v>
      </c>
      <c r="E328">
        <v>0.59399999999999997</v>
      </c>
    </row>
    <row r="329" spans="2:10">
      <c r="B329" s="11" t="s">
        <v>210</v>
      </c>
      <c r="C329" s="39">
        <f>SUM(C317:C328)</f>
        <v>4.2612999999999994</v>
      </c>
      <c r="D329" s="39">
        <f>SUM(D317:D328)</f>
        <v>4.266</v>
      </c>
      <c r="E329" s="39">
        <f>SUM(E317:E328)</f>
        <v>4.2587000000000002</v>
      </c>
    </row>
    <row r="333" spans="2:10">
      <c r="D333" t="s">
        <v>213</v>
      </c>
    </row>
    <row r="334" spans="2:10">
      <c r="B334" t="s">
        <v>211</v>
      </c>
      <c r="C334" t="s">
        <v>216</v>
      </c>
      <c r="D334" t="s">
        <v>212</v>
      </c>
      <c r="E334" t="s">
        <v>214</v>
      </c>
      <c r="F334" t="s">
        <v>215</v>
      </c>
    </row>
    <row r="335" spans="2:10">
      <c r="B335" s="20">
        <v>39583</v>
      </c>
      <c r="C335">
        <v>0</v>
      </c>
      <c r="D335">
        <v>3.7100000000000001E-2</v>
      </c>
      <c r="J335" s="1"/>
    </row>
    <row r="336" spans="2:10">
      <c r="B336" s="20">
        <v>40436</v>
      </c>
      <c r="C336">
        <v>2.3333333333333335</v>
      </c>
      <c r="E336">
        <v>0.69730000000000003</v>
      </c>
      <c r="J336" s="1"/>
    </row>
    <row r="337" spans="2:10">
      <c r="B337" s="20">
        <v>40558</v>
      </c>
      <c r="C337">
        <v>2.6666666666666665</v>
      </c>
      <c r="E337">
        <v>0.29409999999999997</v>
      </c>
      <c r="J337" s="1"/>
    </row>
    <row r="338" spans="2:10">
      <c r="B338" s="20">
        <v>40770</v>
      </c>
      <c r="C338">
        <v>3.25</v>
      </c>
      <c r="F338">
        <v>4.5499999999999999E-2</v>
      </c>
      <c r="J338" s="1"/>
    </row>
    <row r="339" spans="2:10">
      <c r="B339" s="20">
        <v>40862</v>
      </c>
      <c r="C339">
        <v>3.5</v>
      </c>
      <c r="F339">
        <v>0.36470000000000002</v>
      </c>
      <c r="J339" s="1"/>
    </row>
    <row r="340" spans="2:10">
      <c r="B340" s="20">
        <v>41228</v>
      </c>
      <c r="C340">
        <v>4.5</v>
      </c>
      <c r="F340">
        <v>0.13919999999999999</v>
      </c>
      <c r="J340" s="1"/>
    </row>
    <row r="341" spans="2:10">
      <c r="B341" s="20">
        <v>41320</v>
      </c>
      <c r="C341">
        <v>4.75</v>
      </c>
      <c r="E341">
        <v>5.0000000000000001E-3</v>
      </c>
      <c r="J341" s="1"/>
    </row>
    <row r="342" spans="2:10">
      <c r="B342" s="20">
        <v>41501</v>
      </c>
      <c r="C342">
        <v>5.25</v>
      </c>
      <c r="F342">
        <v>7.8100000000000003E-2</v>
      </c>
      <c r="J342" s="1"/>
    </row>
    <row r="343" spans="2:10">
      <c r="B343" s="20">
        <v>41866</v>
      </c>
      <c r="C343">
        <v>6.25</v>
      </c>
      <c r="F343">
        <v>8.5699999999999998E-2</v>
      </c>
      <c r="J343" s="1"/>
    </row>
    <row r="344" spans="2:10">
      <c r="B344" s="20">
        <v>42050</v>
      </c>
      <c r="C344">
        <v>6.75</v>
      </c>
      <c r="D344">
        <v>0.14949999999999999</v>
      </c>
      <c r="J344" s="1"/>
    </row>
    <row r="345" spans="2:10">
      <c r="B345" s="20">
        <v>42050</v>
      </c>
      <c r="C345">
        <v>6.75</v>
      </c>
      <c r="F345">
        <v>7.7399999999999997E-2</v>
      </c>
      <c r="J345" s="1"/>
    </row>
    <row r="346" spans="2:10">
      <c r="B346" s="20">
        <v>42231</v>
      </c>
      <c r="C346">
        <v>7.25</v>
      </c>
      <c r="D346">
        <v>9.1200000000000003E-2</v>
      </c>
      <c r="J346" s="1"/>
    </row>
    <row r="347" spans="2:10">
      <c r="B347" s="20">
        <v>42415</v>
      </c>
      <c r="C347">
        <v>7.75</v>
      </c>
      <c r="F347">
        <v>4.8500000000000001E-2</v>
      </c>
      <c r="J347" s="1"/>
    </row>
    <row r="348" spans="2:10">
      <c r="B348" s="20">
        <v>46068</v>
      </c>
      <c r="C348">
        <v>17.75</v>
      </c>
      <c r="F348">
        <v>6.0600000000000001E-2</v>
      </c>
      <c r="J348" s="1"/>
    </row>
    <row r="349" spans="2:10">
      <c r="B349" s="20">
        <v>46249</v>
      </c>
      <c r="C349">
        <v>18.25</v>
      </c>
      <c r="F349">
        <v>2.58E-2</v>
      </c>
      <c r="J349" s="1"/>
    </row>
    <row r="350" spans="2:10">
      <c r="B350" s="20">
        <v>47894</v>
      </c>
      <c r="C350">
        <v>22.75</v>
      </c>
      <c r="F350">
        <v>2.8899999999999999E-2</v>
      </c>
      <c r="J350" s="1"/>
    </row>
    <row r="351" spans="2:10">
      <c r="B351" s="20">
        <v>49720</v>
      </c>
      <c r="C351">
        <v>27.75</v>
      </c>
      <c r="D351">
        <v>6.9000000000000006E-2</v>
      </c>
      <c r="J351" s="1"/>
    </row>
    <row r="352" spans="2:10">
      <c r="B352" s="20">
        <v>49720</v>
      </c>
      <c r="C352">
        <v>27.75</v>
      </c>
      <c r="E352">
        <v>3.5000000000000001E-3</v>
      </c>
      <c r="J352" s="1"/>
    </row>
    <row r="353" spans="2:10">
      <c r="B353" s="20">
        <v>49720</v>
      </c>
      <c r="C353">
        <v>27.75</v>
      </c>
      <c r="F353">
        <v>4.5699999999999998E-2</v>
      </c>
      <c r="J353" s="1"/>
    </row>
    <row r="354" spans="2:10">
      <c r="B354" s="20">
        <v>49734</v>
      </c>
      <c r="C354">
        <v>27.791666666666668</v>
      </c>
      <c r="D354">
        <v>0.65310000000000001</v>
      </c>
      <c r="J354" s="1"/>
    </row>
  </sheetData>
  <mergeCells count="1">
    <mergeCell ref="I127:I132"/>
  </mergeCells>
  <phoneticPr fontId="1" type="noConversion"/>
  <conditionalFormatting sqref="C51:K63">
    <cfRule type="colorScale" priority="3">
      <colorScale>
        <cfvo type="min"/>
        <cfvo type="num" val="100"/>
        <cfvo type="max"/>
        <color rgb="FFF8696B"/>
        <color theme="0"/>
        <color rgb="FF63BE7B"/>
      </colorScale>
    </cfRule>
  </conditionalFormatting>
  <conditionalFormatting sqref="C69:K81">
    <cfRule type="colorScale" priority="2">
      <colorScale>
        <cfvo type="min"/>
        <cfvo type="num" val="0"/>
        <cfvo type="max"/>
        <color rgb="FFF8696B"/>
        <color theme="0"/>
        <color rgb="FF63BE7B"/>
      </colorScale>
    </cfRule>
  </conditionalFormatting>
  <conditionalFormatting sqref="C92:K103">
    <cfRule type="colorScale" priority="1">
      <colorScale>
        <cfvo type="min"/>
        <cfvo type="max"/>
        <color rgb="FFF8696B"/>
        <color rgb="FFFCFCFF"/>
      </colorScale>
    </cfRule>
  </conditionalFormatting>
  <conditionalFormatting sqref="C10:M22">
    <cfRule type="colorScale" priority="5">
      <colorScale>
        <cfvo type="min"/>
        <cfvo type="num" val="100"/>
        <cfvo type="max"/>
        <color rgb="FFF8696B"/>
        <color theme="0"/>
        <color rgb="FF63BE7B"/>
      </colorScale>
    </cfRule>
  </conditionalFormatting>
  <conditionalFormatting sqref="C28:M40">
    <cfRule type="colorScale" priority="4">
      <colorScale>
        <cfvo type="min"/>
        <cfvo type="num" val="0"/>
        <cfvo type="max"/>
        <color rgb="FFF8696B"/>
        <color theme="0"/>
        <color rgb="FF63BE7B"/>
      </colorScale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Q139"/>
  <sheetViews>
    <sheetView topLeftCell="A76" zoomScale="90" zoomScaleNormal="90" workbookViewId="0">
      <selection activeCell="K130" sqref="K130"/>
    </sheetView>
  </sheetViews>
  <sheetFormatPr defaultRowHeight="14.4"/>
  <cols>
    <col min="1" max="1" width="2.33203125" bestFit="1" customWidth="1"/>
    <col min="2" max="2" width="21.33203125" customWidth="1"/>
    <col min="3" max="3" width="13.33203125" bestFit="1" customWidth="1"/>
    <col min="4" max="5" width="13.6640625" bestFit="1" customWidth="1"/>
    <col min="6" max="6" width="11.6640625" bestFit="1" customWidth="1"/>
    <col min="7" max="7" width="14.33203125" bestFit="1" customWidth="1"/>
    <col min="8" max="8" width="13.33203125" bestFit="1" customWidth="1"/>
    <col min="9" max="9" width="12.6640625" customWidth="1"/>
    <col min="10" max="10" width="6.44140625" bestFit="1" customWidth="1"/>
    <col min="11" max="12" width="6.6640625" bestFit="1" customWidth="1"/>
    <col min="13" max="13" width="8.5546875" bestFit="1" customWidth="1"/>
    <col min="14" max="14" width="11.33203125" bestFit="1" customWidth="1"/>
    <col min="15" max="15" width="11.88671875" bestFit="1" customWidth="1"/>
    <col min="16" max="16" width="13.44140625" bestFit="1" customWidth="1"/>
    <col min="17" max="17" width="4.6640625" bestFit="1" customWidth="1"/>
  </cols>
  <sheetData>
    <row r="2" spans="2:15" ht="33.6">
      <c r="B2" s="13" t="s">
        <v>227</v>
      </c>
    </row>
    <row r="4" spans="2:15">
      <c r="C4" t="s">
        <v>217</v>
      </c>
      <c r="D4" t="s">
        <v>223</v>
      </c>
      <c r="E4" t="s">
        <v>224</v>
      </c>
    </row>
    <row r="5" spans="2:15">
      <c r="B5" s="18" t="s">
        <v>218</v>
      </c>
      <c r="C5">
        <v>98.039215999999996</v>
      </c>
      <c r="D5">
        <v>98.086529999999996</v>
      </c>
      <c r="E5">
        <v>97.129795000000001</v>
      </c>
    </row>
    <row r="6" spans="2:15">
      <c r="B6" s="18" t="s">
        <v>219</v>
      </c>
      <c r="C6">
        <v>0</v>
      </c>
      <c r="D6">
        <v>0.04</v>
      </c>
      <c r="E6">
        <v>0.03</v>
      </c>
      <c r="L6" s="35"/>
      <c r="N6" s="14"/>
      <c r="O6" s="14"/>
    </row>
    <row r="7" spans="2:15">
      <c r="B7" s="18" t="s">
        <v>225</v>
      </c>
      <c r="C7">
        <v>0.5</v>
      </c>
      <c r="D7">
        <v>1</v>
      </c>
      <c r="E7">
        <v>1</v>
      </c>
      <c r="N7" s="14"/>
      <c r="O7" s="14"/>
    </row>
    <row r="8" spans="2:15">
      <c r="B8" s="18"/>
      <c r="N8" s="17"/>
      <c r="O8" s="17"/>
    </row>
    <row r="9" spans="2:15">
      <c r="B9" s="18" t="s">
        <v>226</v>
      </c>
      <c r="C9" s="14">
        <v>-50000</v>
      </c>
      <c r="D9" s="14">
        <v>10000000</v>
      </c>
      <c r="E9" s="14">
        <v>-10049000</v>
      </c>
    </row>
    <row r="10" spans="2:15">
      <c r="B10" s="18" t="s">
        <v>220</v>
      </c>
      <c r="C10" s="36">
        <f>C9*C5/100</f>
        <v>-49019.608</v>
      </c>
      <c r="D10" s="36">
        <f t="shared" ref="D10:E10" si="0">D9*D5/100</f>
        <v>9808653</v>
      </c>
      <c r="E10" s="36">
        <f t="shared" si="0"/>
        <v>-9760573.0995500013</v>
      </c>
      <c r="F10" s="36">
        <f>SUM(C10:E10)</f>
        <v>-939.70755000039935</v>
      </c>
    </row>
    <row r="11" spans="2:15">
      <c r="B11" s="18" t="s">
        <v>221</v>
      </c>
      <c r="C11" s="37">
        <f>C9</f>
        <v>-50000</v>
      </c>
      <c r="D11" s="37">
        <f>D9*D6/2</f>
        <v>200000</v>
      </c>
      <c r="E11" s="37">
        <f>E9*E6/2</f>
        <v>-150735</v>
      </c>
      <c r="F11" s="36">
        <f>SUM(C11:E11)</f>
        <v>-735</v>
      </c>
    </row>
    <row r="12" spans="2:15">
      <c r="B12" s="18" t="s">
        <v>222</v>
      </c>
      <c r="C12" s="14">
        <v>0</v>
      </c>
      <c r="D12" s="38">
        <f>D9*(1+D6/2)</f>
        <v>10200000</v>
      </c>
      <c r="E12" s="38">
        <f>E9*(1+E6/2)</f>
        <v>-10199734.999999998</v>
      </c>
      <c r="F12" s="36">
        <f>SUM(C12:E12)</f>
        <v>265.00000000186265</v>
      </c>
    </row>
    <row r="14" spans="2:15">
      <c r="F14" s="15"/>
    </row>
    <row r="17" spans="2:7" ht="33.6">
      <c r="B17" s="13" t="s">
        <v>249</v>
      </c>
    </row>
    <row r="24" spans="2:7">
      <c r="B24" t="s">
        <v>231</v>
      </c>
      <c r="C24" t="s">
        <v>248</v>
      </c>
      <c r="D24" t="s">
        <v>230</v>
      </c>
      <c r="E24" t="s">
        <v>245</v>
      </c>
      <c r="F24" t="s">
        <v>246</v>
      </c>
      <c r="G24" t="s">
        <v>247</v>
      </c>
    </row>
    <row r="25" spans="2:7">
      <c r="B25" t="s">
        <v>232</v>
      </c>
      <c r="C25" s="39">
        <f>1/12</f>
        <v>8.3333333333333329E-2</v>
      </c>
      <c r="D25">
        <v>4.59</v>
      </c>
      <c r="E25">
        <v>0.05</v>
      </c>
      <c r="F25">
        <v>1.29</v>
      </c>
      <c r="G25">
        <v>5.07</v>
      </c>
    </row>
    <row r="26" spans="2:7">
      <c r="B26" t="s">
        <v>233</v>
      </c>
      <c r="C26" s="39">
        <f>2/12</f>
        <v>0.16666666666666666</v>
      </c>
      <c r="D26">
        <v>4.63</v>
      </c>
      <c r="E26">
        <v>0.06</v>
      </c>
    </row>
    <row r="27" spans="2:7">
      <c r="B27" t="s">
        <v>234</v>
      </c>
      <c r="C27" s="39">
        <f>3/12</f>
        <v>0.25</v>
      </c>
      <c r="D27">
        <v>4.66</v>
      </c>
      <c r="E27">
        <v>0.09</v>
      </c>
      <c r="F27">
        <v>1.41</v>
      </c>
      <c r="G27">
        <v>5.0199999999999996</v>
      </c>
    </row>
    <row r="28" spans="2:7">
      <c r="B28" t="s">
        <v>235</v>
      </c>
      <c r="C28" s="39">
        <f>4/12</f>
        <v>0.33333333333333331</v>
      </c>
      <c r="D28">
        <v>4.7699999999999996</v>
      </c>
    </row>
    <row r="29" spans="2:7">
      <c r="B29" t="s">
        <v>236</v>
      </c>
      <c r="C29" s="39">
        <f>6/12</f>
        <v>0.5</v>
      </c>
      <c r="D29">
        <v>4.79</v>
      </c>
      <c r="E29">
        <v>0.22</v>
      </c>
      <c r="F29">
        <v>1.59</v>
      </c>
      <c r="G29">
        <v>5.0999999999999996</v>
      </c>
    </row>
    <row r="30" spans="2:7">
      <c r="B30" t="s">
        <v>237</v>
      </c>
      <c r="C30">
        <v>1</v>
      </c>
      <c r="D30">
        <v>4.66</v>
      </c>
      <c r="E30">
        <v>0.41</v>
      </c>
      <c r="F30">
        <v>1.81</v>
      </c>
      <c r="G30">
        <v>4.99</v>
      </c>
    </row>
    <row r="31" spans="2:7">
      <c r="B31" t="s">
        <v>238</v>
      </c>
      <c r="C31">
        <v>2</v>
      </c>
      <c r="D31">
        <v>4.09</v>
      </c>
      <c r="E31">
        <v>0.83</v>
      </c>
      <c r="F31">
        <v>1.94</v>
      </c>
      <c r="G31">
        <v>4.7699999999999996</v>
      </c>
    </row>
    <row r="32" spans="2:7">
      <c r="B32" t="s">
        <v>239</v>
      </c>
      <c r="C32">
        <v>3</v>
      </c>
      <c r="D32">
        <v>3.75</v>
      </c>
      <c r="E32">
        <v>1.1000000000000001</v>
      </c>
      <c r="F32">
        <v>2.02</v>
      </c>
      <c r="G32">
        <v>4.7</v>
      </c>
    </row>
    <row r="33" spans="2:7">
      <c r="B33" t="s">
        <v>240</v>
      </c>
      <c r="C33">
        <v>5</v>
      </c>
      <c r="D33">
        <v>3.48</v>
      </c>
      <c r="E33">
        <v>1.43</v>
      </c>
      <c r="F33">
        <v>2.25</v>
      </c>
      <c r="G33">
        <v>4.68</v>
      </c>
    </row>
    <row r="34" spans="2:7">
      <c r="B34" t="s">
        <v>241</v>
      </c>
      <c r="C34">
        <v>7</v>
      </c>
      <c r="D34">
        <v>3.43</v>
      </c>
      <c r="E34">
        <v>1.62</v>
      </c>
      <c r="F34">
        <v>2.37</v>
      </c>
      <c r="G34">
        <v>4.6900000000000004</v>
      </c>
    </row>
    <row r="35" spans="2:7">
      <c r="B35" t="s">
        <v>242</v>
      </c>
      <c r="C35">
        <v>10</v>
      </c>
      <c r="D35">
        <v>3.39</v>
      </c>
      <c r="E35">
        <v>1.71</v>
      </c>
      <c r="F35">
        <v>2.44</v>
      </c>
      <c r="G35">
        <v>4.7300000000000004</v>
      </c>
    </row>
    <row r="36" spans="2:7">
      <c r="B36" t="s">
        <v>243</v>
      </c>
      <c r="C36">
        <v>20</v>
      </c>
      <c r="D36">
        <v>3.67</v>
      </c>
      <c r="E36">
        <v>2.12</v>
      </c>
      <c r="F36">
        <v>2.62</v>
      </c>
      <c r="G36">
        <v>4.95</v>
      </c>
    </row>
    <row r="37" spans="2:7">
      <c r="B37" t="s">
        <v>244</v>
      </c>
      <c r="C37">
        <v>30</v>
      </c>
      <c r="D37">
        <v>3.55</v>
      </c>
      <c r="E37">
        <v>2.09</v>
      </c>
      <c r="F37">
        <v>2.78</v>
      </c>
      <c r="G37">
        <v>4.87</v>
      </c>
    </row>
    <row r="43" spans="2:7" ht="33.6">
      <c r="B43" s="13" t="s">
        <v>250</v>
      </c>
    </row>
    <row r="46" spans="2:7">
      <c r="B46" t="s">
        <v>228</v>
      </c>
      <c r="C46" t="s">
        <v>229</v>
      </c>
      <c r="D46" t="s">
        <v>251</v>
      </c>
      <c r="F46" t="s">
        <v>253</v>
      </c>
      <c r="G46" t="s">
        <v>254</v>
      </c>
    </row>
    <row r="47" spans="2:7">
      <c r="B47">
        <v>1</v>
      </c>
      <c r="C47">
        <v>0.5</v>
      </c>
      <c r="D47">
        <v>5.2499999999999998E-2</v>
      </c>
      <c r="E47" t="s">
        <v>252</v>
      </c>
      <c r="F47" s="40">
        <f>D47</f>
        <v>5.2499999999999998E-2</v>
      </c>
      <c r="G47" s="39">
        <f>1/(1+F47/2)^B47</f>
        <v>0.97442143727161989</v>
      </c>
    </row>
    <row r="48" spans="2:7">
      <c r="B48">
        <v>2</v>
      </c>
      <c r="C48">
        <v>1</v>
      </c>
      <c r="D48">
        <v>5.5E-2</v>
      </c>
      <c r="E48" t="s">
        <v>252</v>
      </c>
      <c r="F48" s="40">
        <f>D48</f>
        <v>5.5E-2</v>
      </c>
      <c r="G48" s="39">
        <f>1/(1+F48/2)^B48</f>
        <v>0.94718833063976637</v>
      </c>
    </row>
    <row r="49" spans="2:7">
      <c r="B49">
        <v>3</v>
      </c>
      <c r="C49">
        <v>1.5</v>
      </c>
      <c r="D49">
        <v>5.7500000000000002E-2</v>
      </c>
      <c r="F49" s="40">
        <f>2*(   (   (1+D49/2) / (1 - D49/2 * SUM(G$47:G48))   )^(1/B49) - 1   )</f>
        <v>5.7597427721776118E-2</v>
      </c>
      <c r="G49" s="39">
        <f>1/(1+F49/2)^B49</f>
        <v>0.91835112434755517</v>
      </c>
    </row>
    <row r="50" spans="2:7">
      <c r="B50">
        <v>4</v>
      </c>
      <c r="C50">
        <v>2</v>
      </c>
      <c r="D50">
        <v>0.06</v>
      </c>
      <c r="F50" s="40">
        <f>2*(   (   (1+D50/2) / (1 - D50/2 * SUM(G$47:G49))   )^(1/B50) - 1   )</f>
        <v>6.0191654633161562E-2</v>
      </c>
      <c r="G50" s="39">
        <f t="shared" ref="G50:G66" si="1">1/(1+F50/2)^B50</f>
        <v>0.88815647886624427</v>
      </c>
    </row>
    <row r="51" spans="2:7">
      <c r="B51">
        <v>5</v>
      </c>
      <c r="C51">
        <v>2.5</v>
      </c>
      <c r="D51">
        <v>6.25E-2</v>
      </c>
      <c r="F51" s="40">
        <f>2*(   (   (1+D51/2) / (1 - D51/2 * SUM(G$47:G50))   )^(1/B51) - 1   )</f>
        <v>6.2822395619879234E-2</v>
      </c>
      <c r="G51" s="39">
        <f t="shared" si="1"/>
        <v>0.85672371602650954</v>
      </c>
    </row>
    <row r="52" spans="2:7">
      <c r="B52">
        <v>6</v>
      </c>
      <c r="C52">
        <v>3</v>
      </c>
      <c r="D52">
        <v>6.5000000000000002E-2</v>
      </c>
      <c r="F52" s="40">
        <f>2*(   (   (1+D52/2) / (1 - D52/2 * SUM(G$47:G51))   )^(1/B52) - 1   )</f>
        <v>6.5494468664716532E-2</v>
      </c>
      <c r="G52" s="39">
        <f t="shared" si="1"/>
        <v>0.82420597062234358</v>
      </c>
    </row>
    <row r="53" spans="2:7">
      <c r="B53">
        <v>7</v>
      </c>
      <c r="C53">
        <v>3.5</v>
      </c>
      <c r="D53">
        <v>6.7500000000000004E-2</v>
      </c>
      <c r="F53" s="40">
        <f>2*(   (   (1+D53/2) / (1 - D53/2 * SUM(G$47:G52))   )^(1/B53) - 1   )</f>
        <v>6.8213193794184335E-2</v>
      </c>
      <c r="G53" s="39">
        <f t="shared" si="1"/>
        <v>0.7907566256833144</v>
      </c>
    </row>
    <row r="54" spans="2:7">
      <c r="B54">
        <v>8</v>
      </c>
      <c r="C54">
        <v>4</v>
      </c>
      <c r="D54">
        <v>6.8000000000000005E-2</v>
      </c>
      <c r="F54" s="40">
        <f>2*(   (   (1+D54/2) / (1 - D54/2 * SUM(G$47:G53))   )^(1/B54) - 1   )</f>
        <v>6.8693830749960494E-2</v>
      </c>
      <c r="G54" s="39">
        <f t="shared" si="1"/>
        <v>0.76325597172383941</v>
      </c>
    </row>
    <row r="55" spans="2:7">
      <c r="B55">
        <v>9</v>
      </c>
      <c r="C55">
        <v>4.5</v>
      </c>
      <c r="D55">
        <v>7.0000000000000007E-2</v>
      </c>
      <c r="F55" s="40">
        <f>2*(   (   (1+D55/2) / (1 - D55/2 * SUM(G$47:G54))   )^(1/B55) - 1   )</f>
        <v>7.0946692697691827E-2</v>
      </c>
      <c r="G55" s="39">
        <f t="shared" si="1"/>
        <v>0.73071778943831722</v>
      </c>
    </row>
    <row r="56" spans="2:7">
      <c r="B56">
        <v>10</v>
      </c>
      <c r="C56">
        <v>5</v>
      </c>
      <c r="D56">
        <v>7.0999999999999994E-2</v>
      </c>
      <c r="F56" s="40">
        <f>2*(   (   (1+D56/2) / (1 - D56/2 * SUM(G$47:G55))   )^(1/B56) - 1   )</f>
        <v>7.2045451642976488E-2</v>
      </c>
      <c r="G56" s="39">
        <f t="shared" si="1"/>
        <v>0.70195161826751118</v>
      </c>
    </row>
    <row r="57" spans="2:7">
      <c r="B57">
        <v>11</v>
      </c>
      <c r="C57">
        <v>5.5</v>
      </c>
      <c r="D57">
        <v>7.1500000000000008E-2</v>
      </c>
      <c r="F57" s="40">
        <f>2*(   (   (1+D57/2) / (1 - D57/2 * SUM(G$47:G56))   )^(1/B57) - 1   )</f>
        <v>7.2560011894222232E-2</v>
      </c>
      <c r="G57" s="39">
        <f t="shared" si="1"/>
        <v>0.67569653487983494</v>
      </c>
    </row>
    <row r="58" spans="2:7">
      <c r="B58">
        <v>12</v>
      </c>
      <c r="C58">
        <v>6</v>
      </c>
      <c r="D58">
        <v>7.2000000000000008E-2</v>
      </c>
      <c r="F58" s="40">
        <f>2*(   (   (1+D58/2) / (1 - D58/2 * SUM(G$47:G57))   )^(1/B58) - 1   )</f>
        <v>7.3094063591545577E-2</v>
      </c>
      <c r="G58" s="39">
        <f t="shared" si="1"/>
        <v>0.65002768193088067</v>
      </c>
    </row>
    <row r="59" spans="2:7">
      <c r="B59">
        <v>13</v>
      </c>
      <c r="C59">
        <v>6.5</v>
      </c>
      <c r="D59">
        <v>7.2999999999999995E-2</v>
      </c>
      <c r="F59" s="40">
        <f>2*(   (   (1+D59/2) / (1 - D59/2 * SUM(G$47:G58))   )^(1/B59) - 1   )</f>
        <v>7.4284113257554019E-2</v>
      </c>
      <c r="G59" s="39">
        <f t="shared" si="1"/>
        <v>0.62244761726100528</v>
      </c>
    </row>
    <row r="60" spans="2:7">
      <c r="B60">
        <v>14</v>
      </c>
      <c r="C60">
        <v>7</v>
      </c>
      <c r="D60">
        <v>7.3499999999999996E-2</v>
      </c>
      <c r="F60" s="40">
        <f>2*(   (   (1+D60/2) / (1 - D60/2 * SUM(G$47:G59))   )^(1/B60) - 1   )</f>
        <v>7.4845000366334347E-2</v>
      </c>
      <c r="G60" s="39">
        <f t="shared" si="1"/>
        <v>0.59788921344274615</v>
      </c>
    </row>
    <row r="61" spans="2:7">
      <c r="B61">
        <v>15</v>
      </c>
      <c r="C61">
        <v>7.5</v>
      </c>
      <c r="D61">
        <v>7.400000000000001E-2</v>
      </c>
      <c r="F61" s="40">
        <f>2*(   (   (1+D61/2) / (1 - D61/2 * SUM(G$47:G60))   )^(1/B61) - 1   )</f>
        <v>7.5423040046126655E-2</v>
      </c>
      <c r="G61" s="39">
        <f t="shared" si="1"/>
        <v>0.57391877137429681</v>
      </c>
    </row>
    <row r="62" spans="2:7">
      <c r="B62">
        <v>16</v>
      </c>
      <c r="C62">
        <v>8</v>
      </c>
      <c r="D62">
        <v>7.4999999999999997E-2</v>
      </c>
      <c r="F62" s="40">
        <f>2*(   (   (1+D62/2) / (1 - D62/2 * SUM(G$47:G61))   )^(1/B62) - 1   )</f>
        <v>7.6704923360141564E-2</v>
      </c>
      <c r="G62" s="39">
        <f t="shared" si="1"/>
        <v>0.54762498017677919</v>
      </c>
    </row>
    <row r="63" spans="2:7">
      <c r="B63">
        <v>17</v>
      </c>
      <c r="C63">
        <v>8.5</v>
      </c>
      <c r="D63">
        <v>7.5999999999999998E-2</v>
      </c>
      <c r="F63" s="40">
        <f>2*(   (   (1+D63/2) / (1 - D63/2 * SUM(G$47:G62))   )^(1/B63) - 1   )</f>
        <v>7.8016817506624925E-2</v>
      </c>
      <c r="G63" s="39">
        <f t="shared" si="1"/>
        <v>0.52176619773198663</v>
      </c>
    </row>
    <row r="64" spans="2:7">
      <c r="B64">
        <v>18</v>
      </c>
      <c r="C64">
        <v>9</v>
      </c>
      <c r="D64">
        <v>7.5999999999999998E-2</v>
      </c>
      <c r="F64" s="40">
        <f>2*(   (   (1+D64/2) / (1 - D64/2 * SUM(G$47:G63))   )^(1/B64) - 1   )</f>
        <v>7.7904720705180619E-2</v>
      </c>
      <c r="G64" s="39">
        <f t="shared" si="1"/>
        <v>0.50266493037763693</v>
      </c>
    </row>
    <row r="65" spans="2:7">
      <c r="B65">
        <v>19</v>
      </c>
      <c r="C65">
        <v>9.5</v>
      </c>
      <c r="D65">
        <v>7.6999999999999999E-2</v>
      </c>
      <c r="F65" s="40">
        <f>2*(   (   (1+D65/2) / (1 - D65/2 * SUM(G$47:G64))   )^(1/B65) - 1   )</f>
        <v>7.9290638275567815E-2</v>
      </c>
      <c r="G65" s="39">
        <f t="shared" si="1"/>
        <v>0.47772850060915262</v>
      </c>
    </row>
    <row r="66" spans="2:7">
      <c r="B66">
        <v>20</v>
      </c>
      <c r="C66">
        <v>10</v>
      </c>
      <c r="D66">
        <v>7.8E-2</v>
      </c>
      <c r="F66" s="40">
        <f>2*(   (   (1+D66/2) / (1 - D66/2 * SUM(G$47:G65))   )^(1/B66) - 1   )</f>
        <v>8.0713230798289626E-2</v>
      </c>
      <c r="G66" s="39">
        <f t="shared" si="1"/>
        <v>0.45326829053303058</v>
      </c>
    </row>
    <row r="70" spans="2:7" ht="33.6">
      <c r="B70" s="13" t="s">
        <v>255</v>
      </c>
    </row>
    <row r="73" spans="2:7">
      <c r="B73" t="s">
        <v>256</v>
      </c>
      <c r="C73">
        <v>100</v>
      </c>
    </row>
    <row r="74" spans="2:7">
      <c r="B74" t="s">
        <v>257</v>
      </c>
      <c r="C74">
        <v>0.1</v>
      </c>
    </row>
    <row r="75" spans="2:7">
      <c r="B75" t="s">
        <v>258</v>
      </c>
      <c r="C75">
        <v>10</v>
      </c>
    </row>
    <row r="79" spans="2:7">
      <c r="B79" t="s">
        <v>228</v>
      </c>
      <c r="C79" t="s">
        <v>229</v>
      </c>
      <c r="D79" t="s">
        <v>259</v>
      </c>
      <c r="E79" t="s">
        <v>260</v>
      </c>
    </row>
    <row r="80" spans="2:7">
      <c r="B80">
        <v>1</v>
      </c>
      <c r="C80">
        <v>0.5</v>
      </c>
      <c r="D80" s="39">
        <f>C$73*C$74/2</f>
        <v>5</v>
      </c>
      <c r="E80" s="40">
        <f>D80/(1+F47/2)^B80</f>
        <v>4.8721071863580994</v>
      </c>
    </row>
    <row r="81" spans="2:5">
      <c r="B81">
        <v>2</v>
      </c>
      <c r="C81">
        <v>1</v>
      </c>
      <c r="D81" s="39">
        <f t="shared" ref="D81:D98" si="2">C$73*C$74/2</f>
        <v>5</v>
      </c>
      <c r="E81" s="40">
        <f t="shared" ref="E81:E99" si="3">D81/(1+F48/2)^B81</f>
        <v>4.7359416531988314</v>
      </c>
    </row>
    <row r="82" spans="2:5">
      <c r="B82">
        <v>3</v>
      </c>
      <c r="C82">
        <v>1.5</v>
      </c>
      <c r="D82" s="39">
        <f t="shared" si="2"/>
        <v>5</v>
      </c>
      <c r="E82" s="40">
        <f t="shared" si="3"/>
        <v>4.591755621737776</v>
      </c>
    </row>
    <row r="83" spans="2:5">
      <c r="B83">
        <v>4</v>
      </c>
      <c r="C83">
        <v>2</v>
      </c>
      <c r="D83" s="39">
        <f t="shared" si="2"/>
        <v>5</v>
      </c>
      <c r="E83" s="40">
        <f t="shared" si="3"/>
        <v>4.4407823943312215</v>
      </c>
    </row>
    <row r="84" spans="2:5">
      <c r="B84">
        <v>5</v>
      </c>
      <c r="C84">
        <v>2.5</v>
      </c>
      <c r="D84" s="39">
        <f t="shared" si="2"/>
        <v>5</v>
      </c>
      <c r="E84" s="40">
        <f t="shared" si="3"/>
        <v>4.2836185801325479</v>
      </c>
    </row>
    <row r="85" spans="2:5">
      <c r="B85">
        <v>6</v>
      </c>
      <c r="C85">
        <v>3</v>
      </c>
      <c r="D85" s="39">
        <f t="shared" si="2"/>
        <v>5</v>
      </c>
      <c r="E85" s="40">
        <f t="shared" si="3"/>
        <v>4.1210298531117173</v>
      </c>
    </row>
    <row r="86" spans="2:5">
      <c r="B86">
        <v>7</v>
      </c>
      <c r="C86">
        <v>3.5</v>
      </c>
      <c r="D86" s="39">
        <f t="shared" si="2"/>
        <v>5</v>
      </c>
      <c r="E86" s="40">
        <f t="shared" si="3"/>
        <v>3.9537831284165721</v>
      </c>
    </row>
    <row r="87" spans="2:5">
      <c r="B87">
        <v>8</v>
      </c>
      <c r="C87">
        <v>4</v>
      </c>
      <c r="D87" s="39">
        <f t="shared" si="2"/>
        <v>5</v>
      </c>
      <c r="E87" s="40">
        <f t="shared" si="3"/>
        <v>3.8162798586191968</v>
      </c>
    </row>
    <row r="88" spans="2:5">
      <c r="B88">
        <v>9</v>
      </c>
      <c r="C88">
        <v>4.5</v>
      </c>
      <c r="D88" s="39">
        <f t="shared" si="2"/>
        <v>5</v>
      </c>
      <c r="E88" s="40">
        <f t="shared" si="3"/>
        <v>3.6535889471915857</v>
      </c>
    </row>
    <row r="89" spans="2:5">
      <c r="B89">
        <v>10</v>
      </c>
      <c r="C89">
        <v>5</v>
      </c>
      <c r="D89" s="39">
        <f t="shared" si="2"/>
        <v>5</v>
      </c>
      <c r="E89" s="40">
        <f t="shared" si="3"/>
        <v>3.5097580913375559</v>
      </c>
    </row>
    <row r="90" spans="2:5">
      <c r="B90">
        <v>11</v>
      </c>
      <c r="C90">
        <v>5.5</v>
      </c>
      <c r="D90" s="39">
        <f t="shared" si="2"/>
        <v>5</v>
      </c>
      <c r="E90" s="40">
        <f t="shared" si="3"/>
        <v>3.3784826743991747</v>
      </c>
    </row>
    <row r="91" spans="2:5">
      <c r="B91">
        <v>12</v>
      </c>
      <c r="C91">
        <v>6</v>
      </c>
      <c r="D91" s="39">
        <f t="shared" si="2"/>
        <v>5</v>
      </c>
      <c r="E91" s="40">
        <f t="shared" si="3"/>
        <v>3.2501384096544035</v>
      </c>
    </row>
    <row r="92" spans="2:5">
      <c r="B92">
        <v>13</v>
      </c>
      <c r="C92">
        <v>6.5</v>
      </c>
      <c r="D92" s="39">
        <f t="shared" si="2"/>
        <v>5</v>
      </c>
      <c r="E92" s="40">
        <f t="shared" si="3"/>
        <v>3.1122380863050267</v>
      </c>
    </row>
    <row r="93" spans="2:5">
      <c r="B93">
        <v>14</v>
      </c>
      <c r="C93">
        <v>7</v>
      </c>
      <c r="D93" s="39">
        <f t="shared" si="2"/>
        <v>5</v>
      </c>
      <c r="E93" s="40">
        <f t="shared" si="3"/>
        <v>2.9894460672137306</v>
      </c>
    </row>
    <row r="94" spans="2:5">
      <c r="B94">
        <v>15</v>
      </c>
      <c r="C94">
        <v>7.5</v>
      </c>
      <c r="D94" s="39">
        <f t="shared" si="2"/>
        <v>5</v>
      </c>
      <c r="E94" s="40">
        <f t="shared" si="3"/>
        <v>2.869593856871484</v>
      </c>
    </row>
    <row r="95" spans="2:5">
      <c r="B95">
        <v>16</v>
      </c>
      <c r="C95">
        <v>8</v>
      </c>
      <c r="D95" s="39">
        <f t="shared" si="2"/>
        <v>5</v>
      </c>
      <c r="E95" s="40">
        <f t="shared" si="3"/>
        <v>2.7381249008838959</v>
      </c>
    </row>
    <row r="96" spans="2:5">
      <c r="B96">
        <v>17</v>
      </c>
      <c r="C96">
        <v>8.5</v>
      </c>
      <c r="D96" s="39">
        <f t="shared" si="2"/>
        <v>5</v>
      </c>
      <c r="E96" s="40">
        <f t="shared" si="3"/>
        <v>2.6088309886599332</v>
      </c>
    </row>
    <row r="97" spans="2:10">
      <c r="B97">
        <v>18</v>
      </c>
      <c r="C97">
        <v>9</v>
      </c>
      <c r="D97" s="39">
        <f t="shared" si="2"/>
        <v>5</v>
      </c>
      <c r="E97" s="40">
        <f t="shared" si="3"/>
        <v>2.5133246518881847</v>
      </c>
    </row>
    <row r="98" spans="2:10">
      <c r="B98">
        <v>19</v>
      </c>
      <c r="C98">
        <v>9.5</v>
      </c>
      <c r="D98" s="39">
        <f t="shared" si="2"/>
        <v>5</v>
      </c>
      <c r="E98" s="40">
        <f t="shared" si="3"/>
        <v>2.3886425030457632</v>
      </c>
    </row>
    <row r="99" spans="2:10">
      <c r="B99">
        <v>20</v>
      </c>
      <c r="C99">
        <v>10</v>
      </c>
      <c r="D99" s="39">
        <f>C$73*C$74/2+C73</f>
        <v>105</v>
      </c>
      <c r="E99" s="40">
        <f t="shared" si="3"/>
        <v>47.59317050596821</v>
      </c>
    </row>
    <row r="100" spans="2:10">
      <c r="D100" s="11" t="s">
        <v>261</v>
      </c>
      <c r="E100" s="40">
        <f>SUM(E80:E99)</f>
        <v>115.42063795932489</v>
      </c>
    </row>
    <row r="103" spans="2:10" ht="33.6">
      <c r="B103" s="13" t="s">
        <v>263</v>
      </c>
      <c r="G103" t="s">
        <v>298</v>
      </c>
    </row>
    <row r="106" spans="2:10">
      <c r="B106" t="s">
        <v>228</v>
      </c>
      <c r="C106" t="s">
        <v>229</v>
      </c>
      <c r="D106" t="s">
        <v>262</v>
      </c>
      <c r="E106" t="s">
        <v>264</v>
      </c>
      <c r="G106" t="s">
        <v>265</v>
      </c>
      <c r="H106" t="s">
        <v>266</v>
      </c>
      <c r="I106" t="s">
        <v>297</v>
      </c>
    </row>
    <row r="107" spans="2:10">
      <c r="B107">
        <v>1</v>
      </c>
      <c r="C107">
        <v>0.5</v>
      </c>
      <c r="D107" s="27">
        <v>5.2499999999999998E-2</v>
      </c>
      <c r="E107" s="40">
        <f>2*(   (1+D108/2)^B108 / (1+D$107/2) / H107 - 1   )</f>
        <v>5.7503045066991554E-2</v>
      </c>
      <c r="F107" s="39" t="str">
        <f>CONCATENATE("[",C107,",",C108,"]")</f>
        <v>[0.5,1]</v>
      </c>
      <c r="H107">
        <v>1</v>
      </c>
      <c r="J107" s="19"/>
    </row>
    <row r="108" spans="2:10">
      <c r="B108">
        <v>2</v>
      </c>
      <c r="C108">
        <v>1</v>
      </c>
      <c r="D108" s="27">
        <v>5.5E-2</v>
      </c>
      <c r="E108" s="40">
        <f>2*(   (1+D109/2)^B109 / (1+D$107/2) / H108 - 1   )</f>
        <v>6.2802136410947451E-2</v>
      </c>
      <c r="F108" s="39" t="str">
        <f t="shared" ref="F108:F125" si="4">CONCATENATE("[",C108,",",C109,"]")</f>
        <v>[1,1.5]</v>
      </c>
      <c r="G108" s="39">
        <f>1+E107/2</f>
        <v>1.0287515225334958</v>
      </c>
      <c r="H108" s="39">
        <f>H107*G108</f>
        <v>1.0287515225334958</v>
      </c>
      <c r="I108" s="39">
        <f>PRODUCT(G$108:G108)</f>
        <v>1.0287515225334958</v>
      </c>
      <c r="J108" s="19"/>
    </row>
    <row r="109" spans="2:10">
      <c r="B109">
        <v>3</v>
      </c>
      <c r="C109">
        <v>1.5</v>
      </c>
      <c r="D109" s="27">
        <v>5.7597427721776118E-2</v>
      </c>
      <c r="E109" s="40">
        <f t="shared" ref="E109:E125" si="5">2*(   (1+D110/2)^B110 / (1+D$107/2) / H109 - 1   )</f>
        <v>6.7993976736746564E-2</v>
      </c>
      <c r="F109" s="39" t="str">
        <f t="shared" si="4"/>
        <v>[1.5,2]</v>
      </c>
      <c r="G109" s="39">
        <f t="shared" ref="G109:G125" si="6">1+E108/2</f>
        <v>1.0314010682054737</v>
      </c>
      <c r="H109" s="39">
        <f t="shared" ref="H109:H125" si="7">H108*G109</f>
        <v>1.0610554192590551</v>
      </c>
      <c r="I109" s="39">
        <f>PRODUCT(G$108:G109)</f>
        <v>1.0610554192590551</v>
      </c>
      <c r="J109" s="19"/>
    </row>
    <row r="110" spans="2:10">
      <c r="B110">
        <v>4</v>
      </c>
      <c r="C110">
        <v>2</v>
      </c>
      <c r="D110" s="27">
        <v>6.0191654633161562E-2</v>
      </c>
      <c r="E110" s="40">
        <f t="shared" si="5"/>
        <v>7.3378995472472397E-2</v>
      </c>
      <c r="F110" s="39" t="str">
        <f t="shared" si="4"/>
        <v>[2,2.5]</v>
      </c>
      <c r="G110" s="39">
        <f t="shared" si="6"/>
        <v>1.0339969883683733</v>
      </c>
      <c r="H110" s="39">
        <f t="shared" si="7"/>
        <v>1.0971281080058046</v>
      </c>
      <c r="I110" s="39">
        <f>PRODUCT(G$108:G110)</f>
        <v>1.0971281080058046</v>
      </c>
      <c r="J110" s="19"/>
    </row>
    <row r="111" spans="2:10">
      <c r="B111">
        <v>5</v>
      </c>
      <c r="C111">
        <v>2.5</v>
      </c>
      <c r="D111" s="27">
        <v>6.2822395619879234E-2</v>
      </c>
      <c r="E111" s="40">
        <f t="shared" si="5"/>
        <v>7.8906842617537887E-2</v>
      </c>
      <c r="F111" s="39" t="str">
        <f t="shared" si="4"/>
        <v>[2.5,3]</v>
      </c>
      <c r="G111" s="39">
        <f t="shared" si="6"/>
        <v>1.0366894977362362</v>
      </c>
      <c r="H111" s="39">
        <f t="shared" si="7"/>
        <v>1.1373811872408448</v>
      </c>
      <c r="I111" s="39">
        <f>PRODUCT(G$108:G111)</f>
        <v>1.1373811872408448</v>
      </c>
      <c r="J111" s="19"/>
    </row>
    <row r="112" spans="2:10">
      <c r="B112">
        <v>6</v>
      </c>
      <c r="C112">
        <v>3</v>
      </c>
      <c r="D112" s="27">
        <v>6.5494468664716532E-2</v>
      </c>
      <c r="E112" s="40">
        <f t="shared" si="5"/>
        <v>8.4600859107881732E-2</v>
      </c>
      <c r="F112" s="39" t="str">
        <f t="shared" si="4"/>
        <v>[3,3.5]</v>
      </c>
      <c r="G112" s="39">
        <f t="shared" si="6"/>
        <v>1.0394534213087689</v>
      </c>
      <c r="H112" s="39">
        <f t="shared" si="7"/>
        <v>1.1822547664097256</v>
      </c>
      <c r="I112" s="39">
        <f>PRODUCT(G$108:G112)</f>
        <v>1.1822547664097256</v>
      </c>
      <c r="J112" s="19"/>
    </row>
    <row r="113" spans="2:10">
      <c r="B113">
        <v>7</v>
      </c>
      <c r="C113">
        <v>3.5</v>
      </c>
      <c r="D113" s="27">
        <v>6.8213193794184335E-2</v>
      </c>
      <c r="E113" s="40">
        <f t="shared" si="5"/>
        <v>7.2061418392479926E-2</v>
      </c>
      <c r="F113" s="39" t="str">
        <f t="shared" si="4"/>
        <v>[3.5,4]</v>
      </c>
      <c r="G113" s="39">
        <f t="shared" si="6"/>
        <v>1.0423004295539409</v>
      </c>
      <c r="H113" s="39">
        <f t="shared" si="7"/>
        <v>1.2322646508710511</v>
      </c>
      <c r="I113" s="39">
        <f>PRODUCT(G$108:G113)</f>
        <v>1.2322646508710511</v>
      </c>
      <c r="J113" s="19"/>
    </row>
    <row r="114" spans="2:10">
      <c r="B114">
        <v>8</v>
      </c>
      <c r="C114">
        <v>4</v>
      </c>
      <c r="D114" s="27">
        <v>6.8693830749960494E-2</v>
      </c>
      <c r="E114" s="40">
        <f t="shared" si="5"/>
        <v>8.9058136412781597E-2</v>
      </c>
      <c r="F114" s="39" t="str">
        <f t="shared" si="4"/>
        <v>[4,4.5]</v>
      </c>
      <c r="G114" s="39">
        <f t="shared" si="6"/>
        <v>1.03603070919624</v>
      </c>
      <c r="H114" s="39">
        <f t="shared" si="7"/>
        <v>1.2766640201593922</v>
      </c>
      <c r="I114" s="39">
        <f>PRODUCT(G$108:G114)</f>
        <v>1.2766640201593922</v>
      </c>
      <c r="J114" s="19"/>
    </row>
    <row r="115" spans="2:10">
      <c r="B115">
        <v>9</v>
      </c>
      <c r="C115">
        <v>4.5</v>
      </c>
      <c r="D115" s="27">
        <v>7.0946692697691827E-2</v>
      </c>
      <c r="E115" s="40">
        <f t="shared" si="5"/>
        <v>8.1960552329244596E-2</v>
      </c>
      <c r="F115" s="39" t="str">
        <f t="shared" si="4"/>
        <v>[4.5,5]</v>
      </c>
      <c r="G115" s="39">
        <f t="shared" si="6"/>
        <v>1.0445290682063908</v>
      </c>
      <c r="H115" s="39">
        <f t="shared" si="7"/>
        <v>1.3335126793897147</v>
      </c>
      <c r="I115" s="39">
        <f>PRODUCT(G$108:G115)</f>
        <v>1.3335126793897147</v>
      </c>
      <c r="J115" s="19"/>
    </row>
    <row r="116" spans="2:10">
      <c r="B116">
        <v>10</v>
      </c>
      <c r="C116">
        <v>5</v>
      </c>
      <c r="D116" s="27">
        <v>7.2045451642976488E-2</v>
      </c>
      <c r="E116" s="40">
        <f t="shared" si="5"/>
        <v>7.7712647712024907E-2</v>
      </c>
      <c r="F116" s="39" t="str">
        <f t="shared" si="4"/>
        <v>[5,5.5]</v>
      </c>
      <c r="G116" s="39">
        <f t="shared" si="6"/>
        <v>1.0409802761646223</v>
      </c>
      <c r="H116" s="39">
        <f t="shared" si="7"/>
        <v>1.3881603972601306</v>
      </c>
      <c r="I116" s="39">
        <f>PRODUCT(G$108:G116)</f>
        <v>1.3881603972601306</v>
      </c>
      <c r="J116" s="19"/>
    </row>
    <row r="117" spans="2:10">
      <c r="B117">
        <v>11</v>
      </c>
      <c r="C117">
        <v>5.5</v>
      </c>
      <c r="D117" s="27">
        <v>7.2560011894222232E-2</v>
      </c>
      <c r="E117" s="40">
        <f t="shared" si="5"/>
        <v>7.8977722526234029E-2</v>
      </c>
      <c r="F117" s="39" t="str">
        <f t="shared" si="4"/>
        <v>[5.5,6]</v>
      </c>
      <c r="G117" s="39">
        <f t="shared" si="6"/>
        <v>1.0388563238560125</v>
      </c>
      <c r="H117" s="39">
        <f t="shared" si="7"/>
        <v>1.4420992072201613</v>
      </c>
      <c r="I117" s="39">
        <f>PRODUCT(G$108:G117)</f>
        <v>1.4420992072201613</v>
      </c>
      <c r="J117" s="19"/>
    </row>
    <row r="118" spans="2:10">
      <c r="B118">
        <v>12</v>
      </c>
      <c r="C118">
        <v>6</v>
      </c>
      <c r="D118" s="27">
        <v>7.3094063591545577E-2</v>
      </c>
      <c r="E118" s="40">
        <f t="shared" si="5"/>
        <v>8.861810666490344E-2</v>
      </c>
      <c r="F118" s="39" t="str">
        <f t="shared" si="4"/>
        <v>[6,6.5]</v>
      </c>
      <c r="G118" s="39">
        <f t="shared" si="6"/>
        <v>1.039488861263117</v>
      </c>
      <c r="H118" s="39">
        <f t="shared" si="7"/>
        <v>1.4990460627417292</v>
      </c>
      <c r="I118" s="39">
        <f>PRODUCT(G$108:G118)</f>
        <v>1.4990460627417292</v>
      </c>
      <c r="J118" s="19"/>
    </row>
    <row r="119" spans="2:10">
      <c r="B119">
        <v>13</v>
      </c>
      <c r="C119">
        <v>6.5</v>
      </c>
      <c r="D119" s="27">
        <v>7.4284113257554019E-2</v>
      </c>
      <c r="E119" s="40">
        <f t="shared" si="5"/>
        <v>8.2150349148625068E-2</v>
      </c>
      <c r="F119" s="39" t="str">
        <f t="shared" si="4"/>
        <v>[6.5,7]</v>
      </c>
      <c r="G119" s="39">
        <f t="shared" si="6"/>
        <v>1.0443090533324517</v>
      </c>
      <c r="H119" s="39">
        <f t="shared" si="7"/>
        <v>1.5654673746835543</v>
      </c>
      <c r="I119" s="39">
        <f>PRODUCT(G$108:G119)</f>
        <v>1.5654673746835543</v>
      </c>
      <c r="J119" s="19"/>
    </row>
    <row r="120" spans="2:10">
      <c r="B120">
        <v>14</v>
      </c>
      <c r="C120">
        <v>7</v>
      </c>
      <c r="D120" s="27">
        <v>7.4845000366334347E-2</v>
      </c>
      <c r="E120" s="40">
        <f t="shared" si="5"/>
        <v>8.3532525033290117E-2</v>
      </c>
      <c r="F120" s="39" t="str">
        <f t="shared" si="4"/>
        <v>[7,7.5]</v>
      </c>
      <c r="G120" s="39">
        <f t="shared" si="6"/>
        <v>1.0410751745743125</v>
      </c>
      <c r="H120" s="39">
        <f t="shared" si="7"/>
        <v>1.6297692203890721</v>
      </c>
      <c r="I120" s="39">
        <f>PRODUCT(G$108:G120)</f>
        <v>1.6297692203890721</v>
      </c>
      <c r="J120" s="19"/>
    </row>
    <row r="121" spans="2:10">
      <c r="B121">
        <v>15</v>
      </c>
      <c r="C121">
        <v>7.5</v>
      </c>
      <c r="D121" s="27">
        <v>7.5423040046126655E-2</v>
      </c>
      <c r="E121" s="40">
        <f t="shared" si="5"/>
        <v>9.6028457975126269E-2</v>
      </c>
      <c r="F121" s="39" t="str">
        <f t="shared" si="4"/>
        <v>[7.5,8]</v>
      </c>
      <c r="G121" s="39">
        <f t="shared" si="6"/>
        <v>1.0417662625166451</v>
      </c>
      <c r="H121" s="39">
        <f t="shared" si="7"/>
        <v>1.6978385894893901</v>
      </c>
      <c r="I121" s="39">
        <f>PRODUCT(G$108:G121)</f>
        <v>1.6978385894893901</v>
      </c>
      <c r="J121" s="19"/>
    </row>
    <row r="122" spans="2:10">
      <c r="B122">
        <v>16</v>
      </c>
      <c r="C122">
        <v>8</v>
      </c>
      <c r="D122" s="27">
        <v>7.6704923360141564E-2</v>
      </c>
      <c r="E122" s="40">
        <f t="shared" si="5"/>
        <v>9.9120190450034951E-2</v>
      </c>
      <c r="F122" s="39" t="str">
        <f t="shared" si="4"/>
        <v>[8,8.5]</v>
      </c>
      <c r="G122" s="39">
        <f t="shared" si="6"/>
        <v>1.0480142289875631</v>
      </c>
      <c r="H122" s="39">
        <f t="shared" si="7"/>
        <v>1.7793590003090549</v>
      </c>
      <c r="I122" s="39">
        <f>PRODUCT(G$108:G122)</f>
        <v>1.7793590003090549</v>
      </c>
      <c r="J122" s="19"/>
    </row>
    <row r="123" spans="2:10">
      <c r="B123">
        <v>17</v>
      </c>
      <c r="C123">
        <v>8.5</v>
      </c>
      <c r="D123" s="27">
        <v>7.8016817506624925E-2</v>
      </c>
      <c r="E123" s="40">
        <f t="shared" si="5"/>
        <v>7.5999999999998291E-2</v>
      </c>
      <c r="F123" s="39" t="str">
        <f t="shared" si="4"/>
        <v>[8.5,9]</v>
      </c>
      <c r="G123" s="39">
        <f t="shared" si="6"/>
        <v>1.0495600952250175</v>
      </c>
      <c r="H123" s="39">
        <f t="shared" si="7"/>
        <v>1.8675442018038635</v>
      </c>
      <c r="I123" s="39">
        <f>PRODUCT(G$108:G123)</f>
        <v>1.8675442018038635</v>
      </c>
      <c r="J123" s="19"/>
    </row>
    <row r="124" spans="2:10">
      <c r="B124">
        <v>18</v>
      </c>
      <c r="C124">
        <v>9</v>
      </c>
      <c r="D124" s="27">
        <v>7.7904720705180619E-2</v>
      </c>
      <c r="E124" s="40">
        <f t="shared" si="5"/>
        <v>0.10439582204824616</v>
      </c>
      <c r="F124" s="39" t="str">
        <f t="shared" si="4"/>
        <v>[9,9.5]</v>
      </c>
      <c r="G124" s="39">
        <f t="shared" si="6"/>
        <v>1.0379999999999991</v>
      </c>
      <c r="H124" s="39">
        <f t="shared" si="7"/>
        <v>1.9385108814724088</v>
      </c>
      <c r="I124" s="39">
        <f>PRODUCT(G$108:G124)</f>
        <v>1.9385108814724088</v>
      </c>
      <c r="J124" s="19"/>
    </row>
    <row r="125" spans="2:10">
      <c r="B125">
        <v>19</v>
      </c>
      <c r="C125">
        <v>9.5</v>
      </c>
      <c r="D125" s="27">
        <v>7.9290638275567815E-2</v>
      </c>
      <c r="E125" s="40">
        <f t="shared" si="5"/>
        <v>0.10792817669798849</v>
      </c>
      <c r="F125" s="39" t="str">
        <f t="shared" si="4"/>
        <v>[9.5,10]</v>
      </c>
      <c r="G125" s="39">
        <f t="shared" si="6"/>
        <v>1.0521979110241231</v>
      </c>
      <c r="H125" s="39">
        <f t="shared" si="7"/>
        <v>2.0396970999828001</v>
      </c>
      <c r="I125" s="39">
        <f>PRODUCT(G$108:G125)</f>
        <v>2.0396970999828001</v>
      </c>
      <c r="J125" s="19"/>
    </row>
    <row r="126" spans="2:10">
      <c r="B126">
        <v>20</v>
      </c>
      <c r="C126">
        <v>10</v>
      </c>
      <c r="D126" s="27">
        <v>8.0713230798289626E-2</v>
      </c>
      <c r="E126" s="27"/>
    </row>
    <row r="130" spans="1:17" ht="33.6">
      <c r="B130" s="13" t="s">
        <v>289</v>
      </c>
    </row>
    <row r="133" spans="1:17">
      <c r="B133" t="s">
        <v>267</v>
      </c>
      <c r="C133" t="s">
        <v>268</v>
      </c>
      <c r="D133" t="s">
        <v>269</v>
      </c>
      <c r="E133" t="s">
        <v>270</v>
      </c>
      <c r="F133" t="s">
        <v>271</v>
      </c>
      <c r="G133" t="s">
        <v>272</v>
      </c>
      <c r="H133" t="s">
        <v>283</v>
      </c>
      <c r="I133" t="s">
        <v>284</v>
      </c>
      <c r="J133" t="s">
        <v>285</v>
      </c>
      <c r="K133" t="s">
        <v>286</v>
      </c>
      <c r="L133" t="s">
        <v>287</v>
      </c>
      <c r="M133" t="s">
        <v>288</v>
      </c>
      <c r="P133" s="34"/>
      <c r="Q133" t="s">
        <v>290</v>
      </c>
    </row>
    <row r="134" spans="1:17">
      <c r="B134" t="s">
        <v>291</v>
      </c>
      <c r="C134" s="39">
        <f>3/12</f>
        <v>0.25</v>
      </c>
      <c r="D134" s="39">
        <f>6/12</f>
        <v>0.5</v>
      </c>
      <c r="E134">
        <v>1</v>
      </c>
      <c r="F134">
        <v>2</v>
      </c>
      <c r="G134">
        <v>3</v>
      </c>
      <c r="H134">
        <v>5</v>
      </c>
      <c r="I134">
        <v>7</v>
      </c>
      <c r="J134">
        <v>10</v>
      </c>
      <c r="K134">
        <v>20</v>
      </c>
      <c r="L134">
        <v>30</v>
      </c>
    </row>
    <row r="135" spans="1:17">
      <c r="A135">
        <v>1</v>
      </c>
      <c r="B135" t="s">
        <v>273</v>
      </c>
      <c r="C135">
        <v>3.75</v>
      </c>
      <c r="D135">
        <v>3.78</v>
      </c>
      <c r="E135">
        <v>3.75</v>
      </c>
      <c r="F135">
        <v>3.77</v>
      </c>
      <c r="G135">
        <v>4.1500000000000004</v>
      </c>
      <c r="H135">
        <v>4.38</v>
      </c>
      <c r="I135">
        <v>4.78</v>
      </c>
      <c r="J135">
        <v>5.0599999999999996</v>
      </c>
      <c r="K135">
        <v>5.84</v>
      </c>
      <c r="L135">
        <v>5.73</v>
      </c>
      <c r="M135" t="s">
        <v>278</v>
      </c>
    </row>
    <row r="136" spans="1:17">
      <c r="A136">
        <v>2</v>
      </c>
      <c r="B136" t="s">
        <v>274</v>
      </c>
      <c r="C136">
        <v>3.74</v>
      </c>
      <c r="D136">
        <v>3.88</v>
      </c>
      <c r="E136">
        <v>4.12</v>
      </c>
      <c r="F136">
        <v>5.16</v>
      </c>
      <c r="G136">
        <v>5.72</v>
      </c>
      <c r="H136">
        <v>6.62</v>
      </c>
      <c r="I136">
        <v>7.03</v>
      </c>
      <c r="J136">
        <v>7.37</v>
      </c>
      <c r="K136" s="39">
        <f>J136*(L$134-K$134)/(L$134-J$134) + L136*(K$134-J$134)/(L$134-J$134)</f>
        <v>7.629999999999999</v>
      </c>
      <c r="L136">
        <v>7.89</v>
      </c>
      <c r="M136" t="s">
        <v>279</v>
      </c>
    </row>
    <row r="137" spans="1:17">
      <c r="A137">
        <v>3</v>
      </c>
      <c r="B137" t="s">
        <v>275</v>
      </c>
      <c r="C137" s="34"/>
      <c r="D137" s="34"/>
      <c r="E137">
        <v>16.71</v>
      </c>
      <c r="F137">
        <v>16.91</v>
      </c>
      <c r="G137">
        <v>15.88</v>
      </c>
      <c r="H137">
        <v>15.34</v>
      </c>
      <c r="I137">
        <v>15.04</v>
      </c>
      <c r="J137" s="41">
        <f>I137*(K$134-J$134)/(K$134-I$134) + K137*(J$134-I$134)/(K$134-I$134)</f>
        <v>14.970769230769228</v>
      </c>
      <c r="K137">
        <v>14.74</v>
      </c>
      <c r="L137">
        <v>13.95</v>
      </c>
      <c r="M137" t="s">
        <v>280</v>
      </c>
    </row>
    <row r="138" spans="1:17">
      <c r="A138">
        <v>4</v>
      </c>
      <c r="B138" t="s">
        <v>276</v>
      </c>
      <c r="C138">
        <v>7.89</v>
      </c>
      <c r="D138">
        <v>7.94</v>
      </c>
      <c r="E138">
        <v>7.85</v>
      </c>
      <c r="F138">
        <v>7.94</v>
      </c>
      <c r="G138">
        <v>7.96</v>
      </c>
      <c r="H138">
        <v>7.92</v>
      </c>
      <c r="I138">
        <v>8.0399999999999991</v>
      </c>
      <c r="J138">
        <v>7.99</v>
      </c>
      <c r="K138" s="41">
        <f>J138*(L$134-K$134)/(L$134-J$134) + L138*(K$134-J$134)/(L$134-J$134)</f>
        <v>8.0150000000000006</v>
      </c>
      <c r="L138">
        <v>8.0399999999999991</v>
      </c>
      <c r="M138" t="s">
        <v>281</v>
      </c>
    </row>
    <row r="139" spans="1:17">
      <c r="A139">
        <v>5</v>
      </c>
      <c r="B139" t="s">
        <v>277</v>
      </c>
      <c r="C139">
        <v>5.37</v>
      </c>
      <c r="D139">
        <v>5.2</v>
      </c>
      <c r="E139">
        <v>4.82</v>
      </c>
      <c r="F139">
        <v>4.7699999999999996</v>
      </c>
      <c r="G139">
        <v>4.78</v>
      </c>
      <c r="H139">
        <v>4.82</v>
      </c>
      <c r="I139">
        <v>5.07</v>
      </c>
      <c r="J139">
        <v>5.03</v>
      </c>
      <c r="K139">
        <v>5.56</v>
      </c>
      <c r="L139">
        <v>5.44</v>
      </c>
      <c r="M139" t="s">
        <v>282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price</vt:lpstr>
      <vt:lpstr>accrued interest</vt:lpstr>
      <vt:lpstr>yield</vt:lpstr>
      <vt:lpstr>volatility</vt:lpstr>
      <vt:lpstr>term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K210512</dc:creator>
  <cp:lastModifiedBy>Jaepil Choi</cp:lastModifiedBy>
  <dcterms:created xsi:type="dcterms:W3CDTF">2022-09-29T04:08:41Z</dcterms:created>
  <dcterms:modified xsi:type="dcterms:W3CDTF">2024-04-17T06:57:33Z</dcterms:modified>
</cp:coreProperties>
</file>