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VSCodeProjects\KAIST_MFE\BAF510채권\"/>
    </mc:Choice>
  </mc:AlternateContent>
  <xr:revisionPtr revIDLastSave="0" documentId="13_ncr:1_{528CB4E1-2835-4E72-923D-3D49DF2054F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hibit 22-6" sheetId="2" r:id="rId1"/>
    <sheet name="exhibit 23-1,2" sheetId="3" r:id="rId2"/>
    <sheet name="exhibit 23-3" sheetId="4" r:id="rId3"/>
    <sheet name="single immunization" sheetId="5" r:id="rId4"/>
    <sheet name="cash flow match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4" l="1"/>
  <c r="D5" i="6" l="1"/>
  <c r="D13" i="6" s="1"/>
  <c r="J13" i="6" s="1"/>
  <c r="D9" i="6" l="1"/>
  <c r="D8" i="6"/>
  <c r="D12" i="6"/>
  <c r="D11" i="6"/>
  <c r="D10" i="6"/>
  <c r="C59" i="5"/>
  <c r="D59" i="5"/>
  <c r="C60" i="5"/>
  <c r="D60" i="5"/>
  <c r="C61" i="5"/>
  <c r="D61" i="5"/>
  <c r="C62" i="5"/>
  <c r="I62" i="5" s="1"/>
  <c r="K62" i="5" s="1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D58" i="5"/>
  <c r="C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AC59" i="5"/>
  <c r="F59" i="5" s="1"/>
  <c r="J59" i="5" s="1"/>
  <c r="L59" i="5" s="1"/>
  <c r="AD59" i="5"/>
  <c r="AE59" i="5"/>
  <c r="AF59" i="5"/>
  <c r="AG59" i="5"/>
  <c r="AH59" i="5"/>
  <c r="AI59" i="5"/>
  <c r="AJ59" i="5"/>
  <c r="AK59" i="5"/>
  <c r="AL59" i="5"/>
  <c r="AM59" i="5"/>
  <c r="AC60" i="5"/>
  <c r="F60" i="5" s="1"/>
  <c r="J60" i="5" s="1"/>
  <c r="L60" i="5" s="1"/>
  <c r="AD60" i="5"/>
  <c r="AE60" i="5"/>
  <c r="AF60" i="5"/>
  <c r="AG60" i="5"/>
  <c r="AH60" i="5"/>
  <c r="AI60" i="5"/>
  <c r="AJ60" i="5"/>
  <c r="AK60" i="5"/>
  <c r="AL60" i="5"/>
  <c r="AM60" i="5"/>
  <c r="AC61" i="5"/>
  <c r="F61" i="5" s="1"/>
  <c r="J61" i="5" s="1"/>
  <c r="L61" i="5" s="1"/>
  <c r="AD61" i="5"/>
  <c r="AE61" i="5"/>
  <c r="AF61" i="5"/>
  <c r="AG61" i="5"/>
  <c r="AH61" i="5"/>
  <c r="AI61" i="5"/>
  <c r="AJ61" i="5"/>
  <c r="AK61" i="5"/>
  <c r="AL61" i="5"/>
  <c r="AM61" i="5"/>
  <c r="AC62" i="5"/>
  <c r="F62" i="5" s="1"/>
  <c r="J62" i="5" s="1"/>
  <c r="L62" i="5" s="1"/>
  <c r="AD62" i="5"/>
  <c r="AE62" i="5"/>
  <c r="AF62" i="5"/>
  <c r="AG62" i="5"/>
  <c r="AH62" i="5"/>
  <c r="AI62" i="5"/>
  <c r="AJ62" i="5"/>
  <c r="AK62" i="5"/>
  <c r="AL62" i="5"/>
  <c r="AM62" i="5"/>
  <c r="AC63" i="5"/>
  <c r="F63" i="5" s="1"/>
  <c r="J63" i="5" s="1"/>
  <c r="L63" i="5" s="1"/>
  <c r="AD63" i="5"/>
  <c r="AE63" i="5"/>
  <c r="AF63" i="5"/>
  <c r="AG63" i="5"/>
  <c r="AH63" i="5"/>
  <c r="AI63" i="5"/>
  <c r="AJ63" i="5"/>
  <c r="AK63" i="5"/>
  <c r="AL63" i="5"/>
  <c r="AM63" i="5"/>
  <c r="AC64" i="5"/>
  <c r="F64" i="5" s="1"/>
  <c r="J64" i="5" s="1"/>
  <c r="L64" i="5" s="1"/>
  <c r="AD64" i="5"/>
  <c r="AE64" i="5"/>
  <c r="AF64" i="5"/>
  <c r="AG64" i="5"/>
  <c r="AH64" i="5"/>
  <c r="AI64" i="5"/>
  <c r="AJ64" i="5"/>
  <c r="AK64" i="5"/>
  <c r="AL64" i="5"/>
  <c r="AM64" i="5"/>
  <c r="AC65" i="5"/>
  <c r="F65" i="5" s="1"/>
  <c r="AD65" i="5"/>
  <c r="AE65" i="5"/>
  <c r="AF65" i="5"/>
  <c r="AG65" i="5"/>
  <c r="AH65" i="5"/>
  <c r="AI65" i="5"/>
  <c r="AJ65" i="5"/>
  <c r="AK65" i="5"/>
  <c r="AL65" i="5"/>
  <c r="AM65" i="5"/>
  <c r="AC66" i="5"/>
  <c r="F66" i="5" s="1"/>
  <c r="AD66" i="5"/>
  <c r="AE66" i="5"/>
  <c r="AF66" i="5"/>
  <c r="AG66" i="5"/>
  <c r="AH66" i="5"/>
  <c r="AI66" i="5"/>
  <c r="AJ66" i="5"/>
  <c r="AK66" i="5"/>
  <c r="AL66" i="5"/>
  <c r="AM66" i="5"/>
  <c r="AC67" i="5"/>
  <c r="F67" i="5" s="1"/>
  <c r="J67" i="5" s="1"/>
  <c r="L67" i="5" s="1"/>
  <c r="AD67" i="5"/>
  <c r="AE67" i="5"/>
  <c r="AF67" i="5"/>
  <c r="AG67" i="5"/>
  <c r="AH67" i="5"/>
  <c r="AI67" i="5"/>
  <c r="AJ67" i="5"/>
  <c r="AK67" i="5"/>
  <c r="AL67" i="5"/>
  <c r="AM67" i="5"/>
  <c r="AC68" i="5"/>
  <c r="F68" i="5" s="1"/>
  <c r="AD68" i="5"/>
  <c r="AE68" i="5"/>
  <c r="AF68" i="5"/>
  <c r="AG68" i="5"/>
  <c r="AH68" i="5"/>
  <c r="AI68" i="5"/>
  <c r="AJ68" i="5"/>
  <c r="AK68" i="5"/>
  <c r="AL68" i="5"/>
  <c r="AM68" i="5"/>
  <c r="AC69" i="5"/>
  <c r="F69" i="5" s="1"/>
  <c r="J69" i="5" s="1"/>
  <c r="L69" i="5" s="1"/>
  <c r="AD69" i="5"/>
  <c r="AE69" i="5"/>
  <c r="AF69" i="5"/>
  <c r="AG69" i="5"/>
  <c r="AH69" i="5"/>
  <c r="AI69" i="5"/>
  <c r="AJ69" i="5"/>
  <c r="AK69" i="5"/>
  <c r="AL69" i="5"/>
  <c r="AM69" i="5"/>
  <c r="AC70" i="5"/>
  <c r="F70" i="5" s="1"/>
  <c r="AD70" i="5"/>
  <c r="AE70" i="5"/>
  <c r="AF70" i="5"/>
  <c r="AG70" i="5"/>
  <c r="AH70" i="5"/>
  <c r="AI70" i="5"/>
  <c r="AJ70" i="5"/>
  <c r="AK70" i="5"/>
  <c r="AL70" i="5"/>
  <c r="AM70" i="5"/>
  <c r="AC71" i="5"/>
  <c r="AD71" i="5"/>
  <c r="F71" i="5" s="1"/>
  <c r="J71" i="5" s="1"/>
  <c r="L71" i="5" s="1"/>
  <c r="AE71" i="5"/>
  <c r="AF71" i="5"/>
  <c r="AG71" i="5"/>
  <c r="AH71" i="5"/>
  <c r="AI71" i="5"/>
  <c r="AJ71" i="5"/>
  <c r="AK71" i="5"/>
  <c r="AL71" i="5"/>
  <c r="AM71" i="5"/>
  <c r="AC72" i="5"/>
  <c r="F72" i="5" s="1"/>
  <c r="AD72" i="5"/>
  <c r="AE72" i="5"/>
  <c r="AF72" i="5"/>
  <c r="AG72" i="5"/>
  <c r="AH72" i="5"/>
  <c r="AI72" i="5"/>
  <c r="AJ72" i="5"/>
  <c r="AK72" i="5"/>
  <c r="AL72" i="5"/>
  <c r="AM72" i="5"/>
  <c r="AC73" i="5"/>
  <c r="F73" i="5" s="1"/>
  <c r="J73" i="5" s="1"/>
  <c r="L73" i="5" s="1"/>
  <c r="AD73" i="5"/>
  <c r="AE73" i="5"/>
  <c r="AF73" i="5"/>
  <c r="AG73" i="5"/>
  <c r="AH73" i="5"/>
  <c r="AI73" i="5"/>
  <c r="AJ73" i="5"/>
  <c r="AK73" i="5"/>
  <c r="AL73" i="5"/>
  <c r="AM73" i="5"/>
  <c r="AC74" i="5"/>
  <c r="AD74" i="5"/>
  <c r="AE74" i="5"/>
  <c r="AF74" i="5"/>
  <c r="AG74" i="5"/>
  <c r="F74" i="5" s="1"/>
  <c r="AH74" i="5"/>
  <c r="AI74" i="5"/>
  <c r="AJ74" i="5"/>
  <c r="AK74" i="5"/>
  <c r="AL74" i="5"/>
  <c r="AM74" i="5"/>
  <c r="AC75" i="5"/>
  <c r="F75" i="5" s="1"/>
  <c r="J75" i="5" s="1"/>
  <c r="L75" i="5" s="1"/>
  <c r="AD75" i="5"/>
  <c r="AE75" i="5"/>
  <c r="AF75" i="5"/>
  <c r="AG75" i="5"/>
  <c r="AH75" i="5"/>
  <c r="AI75" i="5"/>
  <c r="AJ75" i="5"/>
  <c r="AK75" i="5"/>
  <c r="AL75" i="5"/>
  <c r="AM75" i="5"/>
  <c r="AC76" i="5"/>
  <c r="F76" i="5" s="1"/>
  <c r="J76" i="5" s="1"/>
  <c r="L76" i="5" s="1"/>
  <c r="AD76" i="5"/>
  <c r="AE76" i="5"/>
  <c r="AF76" i="5"/>
  <c r="AG76" i="5"/>
  <c r="AH76" i="5"/>
  <c r="AI76" i="5"/>
  <c r="AJ76" i="5"/>
  <c r="AK76" i="5"/>
  <c r="AL76" i="5"/>
  <c r="AM76" i="5"/>
  <c r="AC77" i="5"/>
  <c r="F77" i="5" s="1"/>
  <c r="J77" i="5" s="1"/>
  <c r="L77" i="5" s="1"/>
  <c r="AD77" i="5"/>
  <c r="AE77" i="5"/>
  <c r="AF77" i="5"/>
  <c r="AG77" i="5"/>
  <c r="AH77" i="5"/>
  <c r="AI77" i="5"/>
  <c r="AJ77" i="5"/>
  <c r="AK77" i="5"/>
  <c r="AL77" i="5"/>
  <c r="AM77" i="5"/>
  <c r="AC78" i="5"/>
  <c r="F78" i="5" s="1"/>
  <c r="AD78" i="5"/>
  <c r="AE78" i="5"/>
  <c r="AF78" i="5"/>
  <c r="AG78" i="5"/>
  <c r="AH78" i="5"/>
  <c r="AI78" i="5"/>
  <c r="AJ78" i="5"/>
  <c r="AK78" i="5"/>
  <c r="AL78" i="5"/>
  <c r="AM78" i="5"/>
  <c r="AC79" i="5"/>
  <c r="F79" i="5" s="1"/>
  <c r="AD79" i="5"/>
  <c r="AE79" i="5"/>
  <c r="AF79" i="5"/>
  <c r="AG79" i="5"/>
  <c r="AH79" i="5"/>
  <c r="AI79" i="5"/>
  <c r="AJ79" i="5"/>
  <c r="AK79" i="5"/>
  <c r="AL79" i="5"/>
  <c r="AM79" i="5"/>
  <c r="AC80" i="5"/>
  <c r="F80" i="5" s="1"/>
  <c r="AD80" i="5"/>
  <c r="AE80" i="5"/>
  <c r="AF80" i="5"/>
  <c r="AG80" i="5"/>
  <c r="AH80" i="5"/>
  <c r="AI80" i="5"/>
  <c r="AJ80" i="5"/>
  <c r="AK80" i="5"/>
  <c r="AL80" i="5"/>
  <c r="AM80" i="5"/>
  <c r="P59" i="5"/>
  <c r="E59" i="5" s="1"/>
  <c r="Q59" i="5"/>
  <c r="R59" i="5"/>
  <c r="S59" i="5"/>
  <c r="T59" i="5"/>
  <c r="U59" i="5"/>
  <c r="V59" i="5"/>
  <c r="W59" i="5"/>
  <c r="X59" i="5"/>
  <c r="Y59" i="5"/>
  <c r="Z59" i="5"/>
  <c r="P60" i="5"/>
  <c r="E60" i="5" s="1"/>
  <c r="Q60" i="5"/>
  <c r="R60" i="5"/>
  <c r="S60" i="5"/>
  <c r="T60" i="5"/>
  <c r="U60" i="5"/>
  <c r="V60" i="5"/>
  <c r="W60" i="5"/>
  <c r="X60" i="5"/>
  <c r="Y60" i="5"/>
  <c r="Z60" i="5"/>
  <c r="P61" i="5"/>
  <c r="E61" i="5" s="1"/>
  <c r="I61" i="5" s="1"/>
  <c r="K61" i="5" s="1"/>
  <c r="Q61" i="5"/>
  <c r="R61" i="5"/>
  <c r="S61" i="5"/>
  <c r="T61" i="5"/>
  <c r="U61" i="5"/>
  <c r="V61" i="5"/>
  <c r="W61" i="5"/>
  <c r="X61" i="5"/>
  <c r="Y61" i="5"/>
  <c r="Z61" i="5"/>
  <c r="P62" i="5"/>
  <c r="E62" i="5" s="1"/>
  <c r="Q62" i="5"/>
  <c r="R62" i="5"/>
  <c r="S62" i="5"/>
  <c r="T62" i="5"/>
  <c r="U62" i="5"/>
  <c r="V62" i="5"/>
  <c r="W62" i="5"/>
  <c r="X62" i="5"/>
  <c r="Y62" i="5"/>
  <c r="Z62" i="5"/>
  <c r="P63" i="5"/>
  <c r="E63" i="5" s="1"/>
  <c r="I63" i="5" s="1"/>
  <c r="K63" i="5" s="1"/>
  <c r="Q63" i="5"/>
  <c r="R63" i="5"/>
  <c r="S63" i="5"/>
  <c r="T63" i="5"/>
  <c r="U63" i="5"/>
  <c r="V63" i="5"/>
  <c r="W63" i="5"/>
  <c r="X63" i="5"/>
  <c r="Y63" i="5"/>
  <c r="Z63" i="5"/>
  <c r="P64" i="5"/>
  <c r="E64" i="5" s="1"/>
  <c r="I64" i="5" s="1"/>
  <c r="K64" i="5" s="1"/>
  <c r="Q64" i="5"/>
  <c r="R64" i="5"/>
  <c r="S64" i="5"/>
  <c r="T64" i="5"/>
  <c r="U64" i="5"/>
  <c r="V64" i="5"/>
  <c r="W64" i="5"/>
  <c r="X64" i="5"/>
  <c r="Y64" i="5"/>
  <c r="Z64" i="5"/>
  <c r="P65" i="5"/>
  <c r="E65" i="5" s="1"/>
  <c r="I65" i="5" s="1"/>
  <c r="K65" i="5" s="1"/>
  <c r="Q65" i="5"/>
  <c r="R65" i="5"/>
  <c r="S65" i="5"/>
  <c r="T65" i="5"/>
  <c r="U65" i="5"/>
  <c r="V65" i="5"/>
  <c r="W65" i="5"/>
  <c r="X65" i="5"/>
  <c r="Y65" i="5"/>
  <c r="Z65" i="5"/>
  <c r="P66" i="5"/>
  <c r="E66" i="5" s="1"/>
  <c r="I66" i="5" s="1"/>
  <c r="K66" i="5" s="1"/>
  <c r="Q66" i="5"/>
  <c r="R66" i="5"/>
  <c r="S66" i="5"/>
  <c r="T66" i="5"/>
  <c r="U66" i="5"/>
  <c r="V66" i="5"/>
  <c r="W66" i="5"/>
  <c r="X66" i="5"/>
  <c r="Y66" i="5"/>
  <c r="Z66" i="5"/>
  <c r="P67" i="5"/>
  <c r="E67" i="5" s="1"/>
  <c r="Q67" i="5"/>
  <c r="R67" i="5"/>
  <c r="S67" i="5"/>
  <c r="T67" i="5"/>
  <c r="U67" i="5"/>
  <c r="V67" i="5"/>
  <c r="W67" i="5"/>
  <c r="X67" i="5"/>
  <c r="Y67" i="5"/>
  <c r="Z67" i="5"/>
  <c r="P68" i="5"/>
  <c r="E68" i="5" s="1"/>
  <c r="I68" i="5" s="1"/>
  <c r="K68" i="5" s="1"/>
  <c r="Q68" i="5"/>
  <c r="R68" i="5"/>
  <c r="S68" i="5"/>
  <c r="T68" i="5"/>
  <c r="U68" i="5"/>
  <c r="V68" i="5"/>
  <c r="W68" i="5"/>
  <c r="X68" i="5"/>
  <c r="Y68" i="5"/>
  <c r="Z68" i="5"/>
  <c r="P69" i="5"/>
  <c r="E69" i="5" s="1"/>
  <c r="I69" i="5" s="1"/>
  <c r="K69" i="5" s="1"/>
  <c r="Q69" i="5"/>
  <c r="R69" i="5"/>
  <c r="S69" i="5"/>
  <c r="T69" i="5"/>
  <c r="U69" i="5"/>
  <c r="V69" i="5"/>
  <c r="W69" i="5"/>
  <c r="X69" i="5"/>
  <c r="Y69" i="5"/>
  <c r="Z69" i="5"/>
  <c r="P70" i="5"/>
  <c r="E70" i="5" s="1"/>
  <c r="Q70" i="5"/>
  <c r="R70" i="5"/>
  <c r="S70" i="5"/>
  <c r="T70" i="5"/>
  <c r="U70" i="5"/>
  <c r="V70" i="5"/>
  <c r="W70" i="5"/>
  <c r="X70" i="5"/>
  <c r="Y70" i="5"/>
  <c r="Z70" i="5"/>
  <c r="P71" i="5"/>
  <c r="E71" i="5" s="1"/>
  <c r="I71" i="5" s="1"/>
  <c r="K71" i="5" s="1"/>
  <c r="Q71" i="5"/>
  <c r="R71" i="5"/>
  <c r="S71" i="5"/>
  <c r="T71" i="5"/>
  <c r="U71" i="5"/>
  <c r="V71" i="5"/>
  <c r="W71" i="5"/>
  <c r="X71" i="5"/>
  <c r="Y71" i="5"/>
  <c r="Z71" i="5"/>
  <c r="P72" i="5"/>
  <c r="E72" i="5" s="1"/>
  <c r="Q72" i="5"/>
  <c r="R72" i="5"/>
  <c r="S72" i="5"/>
  <c r="T72" i="5"/>
  <c r="U72" i="5"/>
  <c r="V72" i="5"/>
  <c r="W72" i="5"/>
  <c r="X72" i="5"/>
  <c r="Y72" i="5"/>
  <c r="Z72" i="5"/>
  <c r="P73" i="5"/>
  <c r="E73" i="5" s="1"/>
  <c r="I73" i="5" s="1"/>
  <c r="K73" i="5" s="1"/>
  <c r="Q73" i="5"/>
  <c r="R73" i="5"/>
  <c r="S73" i="5"/>
  <c r="T73" i="5"/>
  <c r="U73" i="5"/>
  <c r="V73" i="5"/>
  <c r="W73" i="5"/>
  <c r="X73" i="5"/>
  <c r="Y73" i="5"/>
  <c r="Z73" i="5"/>
  <c r="P74" i="5"/>
  <c r="E74" i="5" s="1"/>
  <c r="Q74" i="5"/>
  <c r="R74" i="5"/>
  <c r="S74" i="5"/>
  <c r="T74" i="5"/>
  <c r="U74" i="5"/>
  <c r="V74" i="5"/>
  <c r="W74" i="5"/>
  <c r="X74" i="5"/>
  <c r="Y74" i="5"/>
  <c r="Z74" i="5"/>
  <c r="P75" i="5"/>
  <c r="E75" i="5" s="1"/>
  <c r="I75" i="5" s="1"/>
  <c r="K75" i="5" s="1"/>
  <c r="Q75" i="5"/>
  <c r="R75" i="5"/>
  <c r="S75" i="5"/>
  <c r="T75" i="5"/>
  <c r="U75" i="5"/>
  <c r="V75" i="5"/>
  <c r="W75" i="5"/>
  <c r="X75" i="5"/>
  <c r="Y75" i="5"/>
  <c r="Z75" i="5"/>
  <c r="P76" i="5"/>
  <c r="Q76" i="5"/>
  <c r="R76" i="5"/>
  <c r="S76" i="5"/>
  <c r="T76" i="5"/>
  <c r="E76" i="5" s="1"/>
  <c r="U76" i="5"/>
  <c r="V76" i="5"/>
  <c r="W76" i="5"/>
  <c r="X76" i="5"/>
  <c r="Y76" i="5"/>
  <c r="Z76" i="5"/>
  <c r="P77" i="5"/>
  <c r="E77" i="5" s="1"/>
  <c r="Q77" i="5"/>
  <c r="R77" i="5"/>
  <c r="S77" i="5"/>
  <c r="T77" i="5"/>
  <c r="U77" i="5"/>
  <c r="V77" i="5"/>
  <c r="W77" i="5"/>
  <c r="X77" i="5"/>
  <c r="Y77" i="5"/>
  <c r="Z77" i="5"/>
  <c r="P78" i="5"/>
  <c r="E78" i="5" s="1"/>
  <c r="I78" i="5" s="1"/>
  <c r="K78" i="5" s="1"/>
  <c r="Q78" i="5"/>
  <c r="R78" i="5"/>
  <c r="S78" i="5"/>
  <c r="T78" i="5"/>
  <c r="U78" i="5"/>
  <c r="V78" i="5"/>
  <c r="W78" i="5"/>
  <c r="X78" i="5"/>
  <c r="Y78" i="5"/>
  <c r="Z78" i="5"/>
  <c r="P79" i="5"/>
  <c r="E79" i="5" s="1"/>
  <c r="Q79" i="5"/>
  <c r="R79" i="5"/>
  <c r="S79" i="5"/>
  <c r="T79" i="5"/>
  <c r="U79" i="5"/>
  <c r="V79" i="5"/>
  <c r="W79" i="5"/>
  <c r="X79" i="5"/>
  <c r="Y79" i="5"/>
  <c r="Z79" i="5"/>
  <c r="P80" i="5"/>
  <c r="E80" i="5" s="1"/>
  <c r="I80" i="5" s="1"/>
  <c r="K80" i="5" s="1"/>
  <c r="Q80" i="5"/>
  <c r="R80" i="5"/>
  <c r="S80" i="5"/>
  <c r="T80" i="5"/>
  <c r="U80" i="5"/>
  <c r="V80" i="5"/>
  <c r="W80" i="5"/>
  <c r="X80" i="5"/>
  <c r="Y80" i="5"/>
  <c r="Z80" i="5"/>
  <c r="H58" i="5"/>
  <c r="G58" i="5"/>
  <c r="AD58" i="5"/>
  <c r="AE58" i="5"/>
  <c r="AF58" i="5"/>
  <c r="AG58" i="5"/>
  <c r="AH58" i="5"/>
  <c r="AI58" i="5"/>
  <c r="AJ58" i="5"/>
  <c r="AK58" i="5"/>
  <c r="AL58" i="5"/>
  <c r="AM58" i="5"/>
  <c r="AC58" i="5"/>
  <c r="F58" i="5" s="1"/>
  <c r="J58" i="5" s="1"/>
  <c r="L58" i="5" s="1"/>
  <c r="Q58" i="5"/>
  <c r="R58" i="5"/>
  <c r="S58" i="5"/>
  <c r="T58" i="5"/>
  <c r="U58" i="5"/>
  <c r="V58" i="5"/>
  <c r="W58" i="5"/>
  <c r="X58" i="5"/>
  <c r="Y58" i="5"/>
  <c r="Z58" i="5"/>
  <c r="P58" i="5"/>
  <c r="E58" i="5" s="1"/>
  <c r="I58" i="5" s="1"/>
  <c r="K58" i="5" s="1"/>
  <c r="P14" i="5"/>
  <c r="O13" i="5"/>
  <c r="O14" i="5" s="1"/>
  <c r="P13" i="5"/>
  <c r="Q13" i="5"/>
  <c r="Q14" i="5" s="1"/>
  <c r="E13" i="5"/>
  <c r="E14" i="5" s="1"/>
  <c r="F13" i="5"/>
  <c r="F14" i="5" s="1"/>
  <c r="G13" i="5"/>
  <c r="G14" i="5" s="1"/>
  <c r="H13" i="5"/>
  <c r="H14" i="5" s="1"/>
  <c r="I13" i="5"/>
  <c r="I14" i="5" s="1"/>
  <c r="J13" i="5"/>
  <c r="J14" i="5" s="1"/>
  <c r="K13" i="5"/>
  <c r="K14" i="5" s="1"/>
  <c r="D13" i="5"/>
  <c r="D14" i="5" s="1"/>
  <c r="Q12" i="5"/>
  <c r="D10" i="5"/>
  <c r="Q11" i="5" s="1"/>
  <c r="E26" i="5" s="1"/>
  <c r="E27" i="5" s="1"/>
  <c r="E19" i="5"/>
  <c r="G8" i="5"/>
  <c r="J8" i="5"/>
  <c r="O8" i="5"/>
  <c r="P8" i="5"/>
  <c r="Q8" i="5"/>
  <c r="D19" i="5"/>
  <c r="K8" i="5" s="1"/>
  <c r="I8" i="5" l="1"/>
  <c r="J80" i="5"/>
  <c r="L80" i="5" s="1"/>
  <c r="J68" i="5"/>
  <c r="L68" i="5" s="1"/>
  <c r="H8" i="5"/>
  <c r="I60" i="5"/>
  <c r="K60" i="5" s="1"/>
  <c r="F8" i="5"/>
  <c r="E8" i="5"/>
  <c r="J78" i="5"/>
  <c r="L78" i="5" s="1"/>
  <c r="J66" i="5"/>
  <c r="L66" i="5" s="1"/>
  <c r="Q7" i="5"/>
  <c r="D24" i="5"/>
  <c r="D8" i="5"/>
  <c r="I59" i="5"/>
  <c r="K59" i="5" s="1"/>
  <c r="F24" i="5"/>
  <c r="J70" i="5"/>
  <c r="L70" i="5" s="1"/>
  <c r="E5" i="6"/>
  <c r="J74" i="5"/>
  <c r="L74" i="5" s="1"/>
  <c r="J65" i="5"/>
  <c r="L65" i="5" s="1"/>
  <c r="I67" i="5"/>
  <c r="K67" i="5" s="1"/>
  <c r="I76" i="5"/>
  <c r="K76" i="5" s="1"/>
  <c r="I74" i="5"/>
  <c r="K74" i="5" s="1"/>
  <c r="I72" i="5"/>
  <c r="K72" i="5" s="1"/>
  <c r="F25" i="5"/>
  <c r="F26" i="5" s="1"/>
  <c r="F27" i="5" s="1"/>
  <c r="E5" i="5"/>
  <c r="F5" i="5"/>
  <c r="C19" i="5"/>
  <c r="G5" i="5" s="1"/>
  <c r="G9" i="5" s="1"/>
  <c r="E8" i="6" l="1"/>
  <c r="E12" i="6"/>
  <c r="J12" i="6" s="1"/>
  <c r="E9" i="6"/>
  <c r="E10" i="6"/>
  <c r="E11" i="6"/>
  <c r="P5" i="5"/>
  <c r="K5" i="5"/>
  <c r="Q5" i="5"/>
  <c r="Q9" i="5" s="1"/>
  <c r="O5" i="5"/>
  <c r="O6" i="5" s="1"/>
  <c r="C24" i="5"/>
  <c r="J5" i="5"/>
  <c r="J6" i="5" s="1"/>
  <c r="I5" i="5"/>
  <c r="I6" i="5" s="1"/>
  <c r="H5" i="5"/>
  <c r="D5" i="5"/>
  <c r="D6" i="5" s="1"/>
  <c r="J72" i="5"/>
  <c r="L72" i="5" s="1"/>
  <c r="J79" i="5"/>
  <c r="L79" i="5" s="1"/>
  <c r="I70" i="5"/>
  <c r="K70" i="5" s="1"/>
  <c r="I77" i="5"/>
  <c r="K77" i="5" s="1"/>
  <c r="I79" i="5"/>
  <c r="K79" i="5" s="1"/>
  <c r="H6" i="5"/>
  <c r="H9" i="5"/>
  <c r="D9" i="5"/>
  <c r="G6" i="5"/>
  <c r="F6" i="5"/>
  <c r="F9" i="5"/>
  <c r="P6" i="5"/>
  <c r="P9" i="5"/>
  <c r="E6" i="5"/>
  <c r="E9" i="5"/>
  <c r="D54" i="4"/>
  <c r="C54" i="4"/>
  <c r="I9" i="5" l="1"/>
  <c r="K9" i="5"/>
  <c r="K6" i="5"/>
  <c r="O9" i="5"/>
  <c r="F5" i="6"/>
  <c r="J9" i="5"/>
  <c r="D25" i="5" s="1"/>
  <c r="D26" i="5" s="1"/>
  <c r="D27" i="5" s="1"/>
  <c r="Q6" i="5"/>
  <c r="C25" i="5" s="1"/>
  <c r="C26" i="5" s="1"/>
  <c r="C27" i="5" s="1"/>
  <c r="F18" i="3"/>
  <c r="E5" i="3"/>
  <c r="F5" i="3"/>
  <c r="F17" i="3" s="1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F4" i="3"/>
  <c r="E4" i="3"/>
  <c r="E18" i="3" s="1"/>
  <c r="F11" i="6" l="1"/>
  <c r="J11" i="6" s="1"/>
  <c r="F9" i="6"/>
  <c r="F10" i="6"/>
  <c r="F8" i="6"/>
  <c r="E17" i="3"/>
  <c r="F16" i="3"/>
  <c r="E16" i="3"/>
  <c r="G5" i="6" l="1"/>
  <c r="G9" i="6" l="1"/>
  <c r="G8" i="6"/>
  <c r="G10" i="6"/>
  <c r="J10" i="6" s="1"/>
  <c r="H5" i="6" l="1"/>
  <c r="H9" i="6" l="1"/>
  <c r="J9" i="6" s="1"/>
  <c r="H8" i="6"/>
  <c r="I5" i="6" l="1"/>
  <c r="I8" i="6" s="1"/>
  <c r="J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Kyoung-Kuk Kim</author>
  </authors>
  <commentList>
    <comment ref="Q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Kyoung-Kuk Kim:</t>
        </r>
        <r>
          <rPr>
            <sz val="9"/>
            <color indexed="81"/>
            <rFont val="Tahoma"/>
            <family val="2"/>
          </rPr>
          <t xml:space="preserve">
bond price = PV(discount rate per period, number of periods, cash flow per period, face value)
</t>
        </r>
      </text>
    </comment>
  </commentList>
</comments>
</file>

<file path=xl/sharedStrings.xml><?xml version="1.0" encoding="utf-8"?>
<sst xmlns="http://schemas.openxmlformats.org/spreadsheetml/2006/main" count="192" uniqueCount="160">
  <si>
    <t>Yield</t>
  </si>
  <si>
    <t>Change</t>
  </si>
  <si>
    <t>Parallel</t>
  </si>
  <si>
    <t>Shift</t>
  </si>
  <si>
    <t>Nonparallel</t>
  </si>
  <si>
    <t>Shift (%)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</si>
  <si>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</si>
  <si>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</si>
  <si>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</si>
  <si>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</si>
  <si>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</si>
  <si>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</si>
  <si>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</si>
  <si>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</si>
  <si>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</si>
  <si>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</si>
  <si>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</si>
  <si>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</si>
  <si>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</si>
  <si>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portfolio return </t>
    <phoneticPr fontId="1" type="noConversion"/>
  </si>
  <si>
    <t>A</t>
    <phoneticPr fontId="1" type="noConversion"/>
  </si>
  <si>
    <t>B</t>
    <phoneticPr fontId="1" type="noConversion"/>
  </si>
  <si>
    <t xml:space="preserve">A </t>
    <phoneticPr fontId="1" type="noConversion"/>
  </si>
  <si>
    <t>(same) benchmark</t>
    <phoneticPr fontId="1" type="noConversion"/>
  </si>
  <si>
    <t xml:space="preserve">active return </t>
    <phoneticPr fontId="1" type="noConversion"/>
  </si>
  <si>
    <t>sum</t>
    <phoneticPr fontId="1" type="noConversion"/>
  </si>
  <si>
    <t>mean</t>
    <phoneticPr fontId="1" type="noConversion"/>
  </si>
  <si>
    <t>TE</t>
    <phoneticPr fontId="1" type="noConversion"/>
  </si>
  <si>
    <t>ratio</t>
    <phoneticPr fontId="1" type="noConversion"/>
  </si>
  <si>
    <t>Identifier</t>
  </si>
  <si>
    <t>Description</t>
  </si>
  <si>
    <t>Position Amount</t>
  </si>
  <si>
    <t>Market Value</t>
  </si>
  <si>
    <t>20029PAG</t>
  </si>
  <si>
    <t>Comcast Cable Communication</t>
  </si>
  <si>
    <t>652478AQ</t>
  </si>
  <si>
    <t>News AM Holdings</t>
  </si>
  <si>
    <t>694032AV</t>
  </si>
  <si>
    <t>Pacific Bell</t>
  </si>
  <si>
    <t>912810FG</t>
  </si>
  <si>
    <t>US Treasury Bonds</t>
  </si>
  <si>
    <t>71713UAW</t>
  </si>
  <si>
    <t>Pharmacia Corp</t>
  </si>
  <si>
    <t>16132NAV</t>
  </si>
  <si>
    <t>Charter One Bank FSB</t>
  </si>
  <si>
    <t>…</t>
  </si>
  <si>
    <t>912828NR</t>
  </si>
  <si>
    <t>US Treasury Notes</t>
  </si>
  <si>
    <t>172967FF</t>
  </si>
  <si>
    <t>Citigroup Inc</t>
  </si>
  <si>
    <t>912828NV</t>
  </si>
  <si>
    <t>912828NW</t>
  </si>
  <si>
    <t>912828PA</t>
  </si>
  <si>
    <t>665859AL</t>
  </si>
  <si>
    <t>Northern Trust Corp</t>
  </si>
  <si>
    <t>Exposure</t>
  </si>
  <si>
    <t>Portfolio</t>
  </si>
  <si>
    <t>Benchmark</t>
  </si>
  <si>
    <t>Difference</t>
  </si>
  <si>
    <t>Duration</t>
  </si>
  <si>
    <t>Spread Duration</t>
  </si>
  <si>
    <t>Convexity</t>
  </si>
  <si>
    <t>Vega</t>
  </si>
  <si>
    <t>Treasury</t>
  </si>
  <si>
    <t>Government Related</t>
  </si>
  <si>
    <t>Corporate</t>
  </si>
  <si>
    <t>Agency MBS</t>
  </si>
  <si>
    <t>Total</t>
  </si>
  <si>
    <t>A. Parameter</t>
  </si>
  <si>
    <t>Positions</t>
  </si>
  <si>
    <t>Issuers</t>
  </si>
  <si>
    <t>Currencies</t>
  </si>
  <si>
    <t>Market Value ($MM)</t>
  </si>
  <si>
    <t>Notional ($MM)</t>
  </si>
  <si>
    <t>B. Analytics</t>
  </si>
  <si>
    <t>Coupon (%)</t>
  </si>
  <si>
    <t>Average Life (Yr)</t>
  </si>
  <si>
    <t>Yield to Worst (%)</t>
  </si>
  <si>
    <t>Spread (bps)</t>
  </si>
  <si>
    <t xml:space="preserve">Duration </t>
  </si>
  <si>
    <t xml:space="preserve">Convexity </t>
  </si>
  <si>
    <t>C. Volatility</t>
  </si>
  <si>
    <t>Tracking error</t>
  </si>
  <si>
    <t>Systematic (bps/month)</t>
  </si>
  <si>
    <t>Idiosyncratic(bps/month)</t>
  </si>
  <si>
    <t>Total (bps/month)</t>
  </si>
  <si>
    <t>D. Portfolio Beta</t>
  </si>
  <si>
    <t>Risk Factor Group</t>
  </si>
  <si>
    <t>Systematic Risk</t>
  </si>
  <si>
    <t>Yield curve risk</t>
  </si>
  <si>
    <t>Swap spread risk</t>
  </si>
  <si>
    <t>Volatility risk</t>
  </si>
  <si>
    <t>Government–related spread risk</t>
  </si>
  <si>
    <t>Corporate spread risk</t>
  </si>
  <si>
    <t>Securitized spread risk</t>
  </si>
  <si>
    <t>Idiosyncratic Risk</t>
  </si>
  <si>
    <t>Isolated 
Tracking Error</t>
    <phoneticPr fontId="1" type="noConversion"/>
  </si>
  <si>
    <t>Contribution to 
Tracking Error</t>
    <phoneticPr fontId="1" type="noConversion"/>
  </si>
  <si>
    <t>Liquidation Effect 
on Tracking Error</t>
    <phoneticPr fontId="1" type="noConversion"/>
  </si>
  <si>
    <t>Tracking Error 
Elasticity (%)</t>
    <phoneticPr fontId="1" type="noConversion"/>
  </si>
  <si>
    <t>Factor Name</t>
  </si>
  <si>
    <t>Net*</t>
  </si>
  <si>
    <t>Factor Volatility</t>
  </si>
  <si>
    <t>Isolated TE</t>
  </si>
  <si>
    <t>Correlated TE</t>
  </si>
  <si>
    <t>USD 6M key rate</t>
  </si>
  <si>
    <t>USD 2Y key rate</t>
  </si>
  <si>
    <t>USD 5Y key rate</t>
  </si>
  <si>
    <t>USD 10Y key rate</t>
  </si>
  <si>
    <t>USD 20Y key rate</t>
  </si>
  <si>
    <t>USD 30Y key rate</t>
  </si>
  <si>
    <t>USD Convexity</t>
  </si>
  <si>
    <t>Benchmark</t>
    <phoneticPr fontId="1" type="noConversion"/>
  </si>
  <si>
    <t>Return Impact of 
a Typical Movement:</t>
    <phoneticPr fontId="1" type="noConversion"/>
  </si>
  <si>
    <t>Marginal 
Contribution 
to Tracking Error</t>
    <phoneticPr fontId="1" type="noConversion"/>
  </si>
  <si>
    <t>Portfolio</t>
    <phoneticPr fontId="1" type="noConversion"/>
  </si>
  <si>
    <t xml:space="preserve">time </t>
    <phoneticPr fontId="1" type="noConversion"/>
  </si>
  <si>
    <t xml:space="preserve">yield change scenario in the passage of time </t>
    <phoneticPr fontId="1" type="noConversion"/>
  </si>
  <si>
    <t>maturity</t>
    <phoneticPr fontId="1" type="noConversion"/>
  </si>
  <si>
    <t>bond yield</t>
    <phoneticPr fontId="1" type="noConversion"/>
  </si>
  <si>
    <t>sum of coupon</t>
    <phoneticPr fontId="1" type="noConversion"/>
  </si>
  <si>
    <t>coupon</t>
    <phoneticPr fontId="1" type="noConversion"/>
  </si>
  <si>
    <t>interest on interest 
after 5.5 years</t>
    <phoneticPr fontId="1" type="noConversion"/>
  </si>
  <si>
    <t>yield in the market at t</t>
    <phoneticPr fontId="1" type="noConversion"/>
  </si>
  <si>
    <t>interest on interest</t>
    <phoneticPr fontId="1" type="noConversion"/>
  </si>
  <si>
    <t>accumulated value</t>
    <phoneticPr fontId="1" type="noConversion"/>
  </si>
  <si>
    <t>total return</t>
    <phoneticPr fontId="1" type="noConversion"/>
  </si>
  <si>
    <t xml:space="preserve">price of a bond </t>
    <phoneticPr fontId="1" type="noConversion"/>
  </si>
  <si>
    <t xml:space="preserve">index </t>
    <phoneticPr fontId="1" type="noConversion"/>
  </si>
  <si>
    <t>value at .5</t>
    <phoneticPr fontId="1" type="noConversion"/>
  </si>
  <si>
    <t>value at 5.5</t>
    <phoneticPr fontId="1" type="noConversion"/>
  </si>
  <si>
    <t>bond price</t>
    <phoneticPr fontId="1" type="noConversion"/>
  </si>
  <si>
    <t>coupon rate</t>
    <phoneticPr fontId="1" type="noConversion"/>
  </si>
  <si>
    <t>face value purchased</t>
    <phoneticPr fontId="1" type="noConversion"/>
  </si>
  <si>
    <t>scenario on time series of yields</t>
    <phoneticPr fontId="1" type="noConversion"/>
  </si>
  <si>
    <t xml:space="preserve">scenario on the level of yield from .5 to 5.5 </t>
    <phoneticPr fontId="1" type="noConversion"/>
  </si>
  <si>
    <t xml:space="preserve">new yield </t>
    <phoneticPr fontId="1" type="noConversion"/>
  </si>
  <si>
    <t>face value</t>
    <phoneticPr fontId="1" type="noConversion"/>
  </si>
  <si>
    <t>price of bond</t>
    <phoneticPr fontId="1" type="noConversion"/>
  </si>
  <si>
    <t>yield</t>
    <phoneticPr fontId="1" type="noConversion"/>
  </si>
  <si>
    <t>coupon interest</t>
    <phoneticPr fontId="1" type="noConversion"/>
  </si>
  <si>
    <t>interest on interest</t>
    <phoneticPr fontId="1" type="noConversion"/>
  </si>
  <si>
    <t>time</t>
    <phoneticPr fontId="1" type="noConversion"/>
  </si>
  <si>
    <t>interest on interst (case 1)</t>
    <phoneticPr fontId="1" type="noConversion"/>
  </si>
  <si>
    <t>interest on interst (case 2)</t>
    <phoneticPr fontId="1" type="noConversion"/>
  </si>
  <si>
    <t>price of a bond</t>
    <phoneticPr fontId="1" type="noConversion"/>
  </si>
  <si>
    <t>maturity</t>
    <phoneticPr fontId="1" type="noConversion"/>
  </si>
  <si>
    <t>accumulated value</t>
    <phoneticPr fontId="1" type="noConversion"/>
  </si>
  <si>
    <t>target</t>
    <phoneticPr fontId="1" type="noConversion"/>
  </si>
  <si>
    <t>error</t>
    <phoneticPr fontId="1" type="noConversion"/>
  </si>
  <si>
    <t xml:space="preserve">cash flow matching </t>
    <phoneticPr fontId="1" type="noConversion"/>
  </si>
  <si>
    <t>face</t>
    <phoneticPr fontId="1" type="noConversion"/>
  </si>
  <si>
    <t>liability</t>
    <phoneticPr fontId="1" type="noConversion"/>
  </si>
  <si>
    <t>bond A</t>
    <phoneticPr fontId="1" type="noConversion"/>
  </si>
  <si>
    <t>bond B</t>
    <phoneticPr fontId="1" type="noConversion"/>
  </si>
  <si>
    <t>bond C</t>
    <phoneticPr fontId="1" type="noConversion"/>
  </si>
  <si>
    <t>bond D</t>
    <phoneticPr fontId="1" type="noConversion"/>
  </si>
  <si>
    <t>bond E</t>
    <phoneticPr fontId="1" type="noConversion"/>
  </si>
  <si>
    <t>bond F</t>
    <phoneticPr fontId="1" type="noConversion"/>
  </si>
  <si>
    <t>cash flow of 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</si>
</sst>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_-* #,##0.00_-;\-* #,##0.00_-;_-* &quot;-&quot;??_-;_-@_-"/>
    <numFmt numFmtId="166" formatCode="0.00_);[Red]\(0.00\)"/>
    <numFmt numFmtId="167" formatCode="0.0000_);[Red]\(0.0000\)"/>
    <numFmt numFmtId="168" formatCode="0.0000"/>
    <numFmt numFmtId="169" formatCode="_-* #,##0_-;\-* #,##0_-;_-* &quot;-&quot;??_-;_-@_-"/>
    <numFmt numFmtId="170" formatCode="_-* #,##0.0000_-;\-* #,##0.0000_-;_-* &quot;-&quot;??_-;_-@_-"/>
  </numFmts>
  <fonts count="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66" fontId="0" fillId="0" borderId="1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2" fillId="2" borderId="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" fontId="0" fillId="0" borderId="7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1" applyFon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2" borderId="0" xfId="0" applyFill="1">
      <alignment vertical="center"/>
    </xf>
    <xf numFmtId="165" fontId="0" fillId="0" borderId="0" xfId="1" applyNumberFormat="1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6" fontId="0" fillId="3" borderId="1" xfId="0" applyNumberFormat="1" applyFill="1" applyBorder="1">
      <alignment vertical="center"/>
    </xf>
    <xf numFmtId="167" fontId="0" fillId="3" borderId="1" xfId="0" applyNumberFormat="1" applyFill="1" applyBorder="1">
      <alignment vertical="center"/>
    </xf>
    <xf numFmtId="168" fontId="0" fillId="3" borderId="1" xfId="0" applyNumberFormat="1" applyFill="1" applyBorder="1">
      <alignment vertical="center"/>
    </xf>
    <xf numFmtId="2" fontId="0" fillId="3" borderId="9" xfId="0" applyNumberFormat="1" applyFill="1" applyBorder="1">
      <alignment vertical="center"/>
    </xf>
    <xf numFmtId="0" fontId="0" fillId="3" borderId="0" xfId="0" applyFill="1">
      <alignment vertical="center"/>
    </xf>
    <xf numFmtId="165" fontId="0" fillId="3" borderId="0" xfId="0" applyNumberFormat="1" applyFill="1">
      <alignment vertical="center"/>
    </xf>
    <xf numFmtId="164" fontId="0" fillId="3" borderId="0" xfId="1" applyFont="1" applyFill="1">
      <alignment vertical="center"/>
    </xf>
    <xf numFmtId="164" fontId="0" fillId="3" borderId="0" xfId="0" applyNumberFormat="1" applyFill="1">
      <alignment vertical="center"/>
    </xf>
    <xf numFmtId="165" fontId="0" fillId="3" borderId="0" xfId="1" applyNumberFormat="1" applyFont="1" applyFill="1">
      <alignment vertical="center"/>
    </xf>
    <xf numFmtId="169" fontId="0" fillId="3" borderId="0" xfId="0" applyNumberFormat="1" applyFill="1">
      <alignment vertical="center"/>
    </xf>
    <xf numFmtId="170" fontId="0" fillId="3" borderId="0" xfId="0" applyNumberFormat="1" applyFill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bullet</a:t>
            </a:r>
            <a:r>
              <a:rPr lang="en-US" altLang="ko-KR" baseline="0"/>
              <a:t> return - barbell return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 shift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'exhibit 22-6'!$A$3:$A$43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'exhibit 22-6'!$B$3:$B$43</c:f>
              <c:numCache>
                <c:formatCode>General</c:formatCode>
                <c:ptCount val="41"/>
                <c:pt idx="0">
                  <c:v>-7.19</c:v>
                </c:pt>
                <c:pt idx="1">
                  <c:v>-6.28</c:v>
                </c:pt>
                <c:pt idx="2">
                  <c:v>-5.44</c:v>
                </c:pt>
                <c:pt idx="3">
                  <c:v>-4.68</c:v>
                </c:pt>
                <c:pt idx="4">
                  <c:v>-4</c:v>
                </c:pt>
                <c:pt idx="5">
                  <c:v>-3.38</c:v>
                </c:pt>
                <c:pt idx="6">
                  <c:v>-2.82</c:v>
                </c:pt>
                <c:pt idx="7">
                  <c:v>-2.3199999999999998</c:v>
                </c:pt>
                <c:pt idx="8">
                  <c:v>-1.88</c:v>
                </c:pt>
                <c:pt idx="9">
                  <c:v>-1.49</c:v>
                </c:pt>
                <c:pt idx="10">
                  <c:v>-1.1499999999999999</c:v>
                </c:pt>
                <c:pt idx="11">
                  <c:v>-0.85</c:v>
                </c:pt>
                <c:pt idx="12">
                  <c:v>-0.59</c:v>
                </c:pt>
                <c:pt idx="13">
                  <c:v>-0.38</c:v>
                </c:pt>
                <c:pt idx="14">
                  <c:v>-0.2</c:v>
                </c:pt>
                <c:pt idx="15">
                  <c:v>-0.05</c:v>
                </c:pt>
                <c:pt idx="16">
                  <c:v>0.06</c:v>
                </c:pt>
                <c:pt idx="17">
                  <c:v>0.15</c:v>
                </c:pt>
                <c:pt idx="18">
                  <c:v>0.21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0.21</c:v>
                </c:pt>
                <c:pt idx="23">
                  <c:v>0.16</c:v>
                </c:pt>
                <c:pt idx="24">
                  <c:v>0.09</c:v>
                </c:pt>
                <c:pt idx="25">
                  <c:v>0.01</c:v>
                </c:pt>
                <c:pt idx="26">
                  <c:v>-0.08</c:v>
                </c:pt>
                <c:pt idx="27">
                  <c:v>-0.19</c:v>
                </c:pt>
                <c:pt idx="28">
                  <c:v>-0.31</c:v>
                </c:pt>
                <c:pt idx="29">
                  <c:v>-0.44</c:v>
                </c:pt>
                <c:pt idx="30">
                  <c:v>-0.57999999999999996</c:v>
                </c:pt>
                <c:pt idx="31">
                  <c:v>-0.73</c:v>
                </c:pt>
                <c:pt idx="32">
                  <c:v>-0.88</c:v>
                </c:pt>
                <c:pt idx="33">
                  <c:v>-1.05</c:v>
                </c:pt>
                <c:pt idx="34">
                  <c:v>-1.21</c:v>
                </c:pt>
                <c:pt idx="35">
                  <c:v>-1.39</c:v>
                </c:pt>
                <c:pt idx="36">
                  <c:v>-1.57</c:v>
                </c:pt>
                <c:pt idx="37">
                  <c:v>-1.75</c:v>
                </c:pt>
                <c:pt idx="38">
                  <c:v>-1.93</c:v>
                </c:pt>
                <c:pt idx="39">
                  <c:v>-2.12</c:v>
                </c:pt>
                <c:pt idx="40">
                  <c:v>-2.31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0-4FE5-8B61-3C3FB6257D8F}"/>
            </c:ext>
          </c:extLst>
        </c:ser>
        <c:ser>
          <c:idx val="1"/>
          <c:order val="1"/>
          <c:tx>
            <c:v>flattening by 25bps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'exhibit 22-6'!$A$3:$A$43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'exhibit 22-6'!$C$3:$C$43</c:f>
              <c:numCache>
                <c:formatCode>General</c:formatCode>
                <c:ptCount val="41"/>
                <c:pt idx="0">
                  <c:v>-10.69</c:v>
                </c:pt>
                <c:pt idx="1">
                  <c:v>-9.61</c:v>
                </c:pt>
                <c:pt idx="2">
                  <c:v>-8.6199999999999992</c:v>
                </c:pt>
                <c:pt idx="3">
                  <c:v>-7.71</c:v>
                </c:pt>
                <c:pt idx="4">
                  <c:v>-6.88</c:v>
                </c:pt>
                <c:pt idx="5">
                  <c:v>-6.13</c:v>
                </c:pt>
                <c:pt idx="6">
                  <c:v>-5.44</c:v>
                </c:pt>
                <c:pt idx="7">
                  <c:v>-4.82</c:v>
                </c:pt>
                <c:pt idx="8">
                  <c:v>-4.26</c:v>
                </c:pt>
                <c:pt idx="9">
                  <c:v>-3.75</c:v>
                </c:pt>
                <c:pt idx="10">
                  <c:v>-3.3</c:v>
                </c:pt>
                <c:pt idx="11">
                  <c:v>-2.9</c:v>
                </c:pt>
                <c:pt idx="12">
                  <c:v>-2.5499999999999998</c:v>
                </c:pt>
                <c:pt idx="13">
                  <c:v>-2.2400000000000002</c:v>
                </c:pt>
                <c:pt idx="14">
                  <c:v>-1.97</c:v>
                </c:pt>
                <c:pt idx="15">
                  <c:v>-1.74</c:v>
                </c:pt>
                <c:pt idx="16">
                  <c:v>-1.54</c:v>
                </c:pt>
                <c:pt idx="17">
                  <c:v>-1.38</c:v>
                </c:pt>
                <c:pt idx="18">
                  <c:v>-1.24</c:v>
                </c:pt>
                <c:pt idx="19">
                  <c:v>-1.1399999999999999</c:v>
                </c:pt>
                <c:pt idx="20">
                  <c:v>-1.06</c:v>
                </c:pt>
                <c:pt idx="21">
                  <c:v>-1.01</c:v>
                </c:pt>
                <c:pt idx="22">
                  <c:v>-0.98</c:v>
                </c:pt>
                <c:pt idx="23">
                  <c:v>-0.97</c:v>
                </c:pt>
                <c:pt idx="24">
                  <c:v>-0.98</c:v>
                </c:pt>
                <c:pt idx="25">
                  <c:v>-1</c:v>
                </c:pt>
                <c:pt idx="26">
                  <c:v>-1.05</c:v>
                </c:pt>
                <c:pt idx="27">
                  <c:v>-1.1000000000000001</c:v>
                </c:pt>
                <c:pt idx="28">
                  <c:v>-1.18</c:v>
                </c:pt>
                <c:pt idx="29">
                  <c:v>-1.26</c:v>
                </c:pt>
                <c:pt idx="30">
                  <c:v>-1.36</c:v>
                </c:pt>
                <c:pt idx="31">
                  <c:v>-1.46</c:v>
                </c:pt>
                <c:pt idx="32">
                  <c:v>-1.58</c:v>
                </c:pt>
                <c:pt idx="33">
                  <c:v>-1.7</c:v>
                </c:pt>
                <c:pt idx="34">
                  <c:v>-1.84</c:v>
                </c:pt>
                <c:pt idx="35">
                  <c:v>-1.98</c:v>
                </c:pt>
                <c:pt idx="36">
                  <c:v>-2.12</c:v>
                </c:pt>
                <c:pt idx="37">
                  <c:v>-2.27</c:v>
                </c:pt>
                <c:pt idx="38">
                  <c:v>-2.4300000000000002</c:v>
                </c:pt>
                <c:pt idx="39">
                  <c:v>-2.58</c:v>
                </c:pt>
                <c:pt idx="40">
                  <c:v>-2.75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0-4FE5-8B61-3C3FB6257D8F}"/>
            </c:ext>
          </c:extLst>
        </c:ser>
        <c:ser>
          <c:idx val="2"/>
          <c:order val="2"/>
          <c:tx>
            <c:v>steepening by 25 bps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'exhibit 22-6'!$A$3:$A$43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'exhibit 22-6'!$D$3:$D$43</c:f>
              <c:numCache>
                <c:formatCode>General</c:formatCode>
                <c:ptCount val="41"/>
                <c:pt idx="0">
                  <c:v>-3.89</c:v>
                </c:pt>
                <c:pt idx="1">
                  <c:v>-3.12</c:v>
                </c:pt>
                <c:pt idx="2">
                  <c:v>-2.44</c:v>
                </c:pt>
                <c:pt idx="3">
                  <c:v>-1.82</c:v>
                </c:pt>
                <c:pt idx="4">
                  <c:v>-1.27</c:v>
                </c:pt>
                <c:pt idx="5">
                  <c:v>-0.78</c:v>
                </c:pt>
                <c:pt idx="6">
                  <c:v>-0.35</c:v>
                </c:pt>
                <c:pt idx="7">
                  <c:v>0.03</c:v>
                </c:pt>
                <c:pt idx="8">
                  <c:v>0.36</c:v>
                </c:pt>
                <c:pt idx="9">
                  <c:v>0.65</c:v>
                </c:pt>
                <c:pt idx="10">
                  <c:v>0.89</c:v>
                </c:pt>
                <c:pt idx="11">
                  <c:v>1.0900000000000001</c:v>
                </c:pt>
                <c:pt idx="12">
                  <c:v>1.25</c:v>
                </c:pt>
                <c:pt idx="13">
                  <c:v>1.37</c:v>
                </c:pt>
                <c:pt idx="14">
                  <c:v>1.47</c:v>
                </c:pt>
                <c:pt idx="15">
                  <c:v>1.53</c:v>
                </c:pt>
                <c:pt idx="16">
                  <c:v>1.57</c:v>
                </c:pt>
                <c:pt idx="17">
                  <c:v>1.58</c:v>
                </c:pt>
                <c:pt idx="18">
                  <c:v>1.57</c:v>
                </c:pt>
                <c:pt idx="19">
                  <c:v>1.53</c:v>
                </c:pt>
                <c:pt idx="20">
                  <c:v>1.48</c:v>
                </c:pt>
                <c:pt idx="21">
                  <c:v>1.41</c:v>
                </c:pt>
                <c:pt idx="22">
                  <c:v>1.32</c:v>
                </c:pt>
                <c:pt idx="23">
                  <c:v>1.21</c:v>
                </c:pt>
                <c:pt idx="24">
                  <c:v>1.0900000000000001</c:v>
                </c:pt>
                <c:pt idx="25">
                  <c:v>0.96</c:v>
                </c:pt>
                <c:pt idx="26">
                  <c:v>0.81</c:v>
                </c:pt>
                <c:pt idx="27">
                  <c:v>0.66</c:v>
                </c:pt>
                <c:pt idx="28">
                  <c:v>0.49</c:v>
                </c:pt>
                <c:pt idx="29">
                  <c:v>0.32</c:v>
                </c:pt>
                <c:pt idx="30">
                  <c:v>0.14000000000000001</c:v>
                </c:pt>
                <c:pt idx="31">
                  <c:v>-0.05</c:v>
                </c:pt>
                <c:pt idx="32">
                  <c:v>-0.24</c:v>
                </c:pt>
                <c:pt idx="33">
                  <c:v>-0.44</c:v>
                </c:pt>
                <c:pt idx="34">
                  <c:v>-0.64</c:v>
                </c:pt>
                <c:pt idx="35">
                  <c:v>-0.85</c:v>
                </c:pt>
                <c:pt idx="36">
                  <c:v>-1.06</c:v>
                </c:pt>
                <c:pt idx="37">
                  <c:v>-1.27</c:v>
                </c:pt>
                <c:pt idx="38">
                  <c:v>-1.48</c:v>
                </c:pt>
                <c:pt idx="39">
                  <c:v>-1.7</c:v>
                </c:pt>
                <c:pt idx="40">
                  <c:v>-1.92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0-4FE5-8B61-3C3FB625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68480"/>
        <c:axId val="1377666400"/>
      </c:scatterChart>
      <c:valAx>
        <c:axId val="13776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yield change in</a:t>
                </a:r>
                <a:r>
                  <a:rPr lang="en-US" altLang="ko-KR" baseline="0"/>
                  <a:t> bond 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66400"/>
        <c:crosses val="autoZero"/>
        <c:crossBetween val="midCat"/>
      </c:valAx>
      <c:valAx>
        <c:axId val="1377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difference in portfolio</a:t>
                </a:r>
                <a:r>
                  <a:rPr lang="en-US" altLang="ko-KR" baseline="0"/>
                  <a:t> returns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monthly active returns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'exhibit 23-1,2'!$A$4:$A$15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'exhibit 23-1,2'!$E$4:$E$15</c:f>
              <c:numCache>
                <c:formatCode>0.00_);[Red]\(0.00\)</c:formatCode>
                <c:ptCount val="12"/>
                <c:pt idx="0">
                  <c:v>0.02</c:v>
                </c:pt>
                <c:pt idx="1">
                  <c:v>4.0000000000000036E-2</c:v>
                </c:pt>
                <c:pt idx="2">
                  <c:v>-0.04</c:v>
                </c:pt>
                <c:pt idx="3">
                  <c:v>6.9999999999999951E-2</c:v>
                </c:pt>
                <c:pt idx="4">
                  <c:v>5.0000000000000044E-2</c:v>
                </c:pt>
                <c:pt idx="5">
                  <c:v>2.9999999999999971E-2</c:v>
                </c:pt>
                <c:pt idx="6">
                  <c:v>8.0000000000000071E-2</c:v>
                </c:pt>
                <c:pt idx="7">
                  <c:v>3.0000000000000027E-2</c:v>
                </c:pt>
                <c:pt idx="8">
                  <c:v>-7.0000000000000062E-2</c:v>
                </c:pt>
                <c:pt idx="9">
                  <c:v>4.9999999999999933E-2</c:v>
                </c:pt>
                <c:pt idx="10">
                  <c:v>4.0000000000000036E-2</c:v>
                </c:pt>
                <c:pt idx="11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2-4CEB-9B64-CA1004F18AF1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'exhibit 23-1,2'!$A$4:$A$15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'exhibit 23-1,2'!$F$4:$F$15</c:f>
              <c:numCache>
                <c:formatCode>0.00_);[Red]\(0.00\)</c:formatCode>
                <c:ptCount val="12"/>
                <c:pt idx="0">
                  <c:v>-1.01</c:v>
                </c:pt>
                <c:pt idx="1">
                  <c:v>0.58999999999999986</c:v>
                </c:pt>
                <c:pt idx="2">
                  <c:v>0.37</c:v>
                </c:pt>
                <c:pt idx="3">
                  <c:v>0.47</c:v>
                </c:pt>
                <c:pt idx="4">
                  <c:v>-0.67999999999999994</c:v>
                </c:pt>
                <c:pt idx="5">
                  <c:v>-0.26999999999999996</c:v>
                </c:pt>
                <c:pt idx="6">
                  <c:v>1.1200000000000001</c:v>
                </c:pt>
                <c:pt idx="7">
                  <c:v>3.0000000000000027E-2</c:v>
                </c:pt>
                <c:pt idx="8">
                  <c:v>1.41</c:v>
                </c:pt>
                <c:pt idx="9">
                  <c:v>0.9</c:v>
                </c:pt>
                <c:pt idx="10">
                  <c:v>1.0899999999999999</c:v>
                </c:pt>
                <c:pt idx="11">
                  <c:v>-0.60000000000000009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2-4CEB-9B64-CA1004F18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12144"/>
        <c:axId val="1547712560"/>
      </c:scatterChart>
      <c:valAx>
        <c:axId val="15477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12560"/>
        <c:crosses val="autoZero"/>
        <c:crossBetween val="midCat"/>
      </c:valAx>
      <c:valAx>
        <c:axId val="15477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series of yield in the market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immunization'!$C$3:$Q$3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</c:numRef>
          </c:xVal>
          <c:yVal>
            <c:numRef>
              <c:f>'single immunization'!$C$4:$Q$4</c:f>
              <c:numCache>
                <c:formatCode>General</c:formatCode>
                <c:ptCount val="15"/>
                <c:pt idx="0">
                  <c:v>0.125</c:v>
                </c:pt>
                <c:pt idx="1">
                  <c:v>0.125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4-4A9C-8592-0CCFC8A0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88096"/>
        <c:axId val="810715872"/>
      </c:scatterChart>
      <c:valAx>
        <c:axId val="8106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15872"/>
        <c:crosses val="autoZero"/>
        <c:crossBetween val="midCat"/>
      </c:valAx>
      <c:valAx>
        <c:axId val="810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 year bond at par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immunization'!$B$58:$B$80</c:f>
              <c:numCache>
                <c:formatCode>General</c:formatCode>
                <c:ptCount val="23"/>
                <c:pt idx="0">
                  <c:v>0.16</c:v>
                </c:pt>
                <c:pt idx="1">
                  <c:v>0.155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0.14000000000000001</c:v>
                </c:pt>
                <c:pt idx="5">
                  <c:v>0.13500000000000001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</c:v>
                </c:pt>
                <c:pt idx="9">
                  <c:v>0.115</c:v>
                </c:pt>
                <c:pt idx="10">
                  <c:v>0.11</c:v>
                </c:pt>
                <c:pt idx="11">
                  <c:v>0.105</c:v>
                </c:pt>
                <c:pt idx="12">
                  <c:v>9.9999999999999895E-2</c:v>
                </c:pt>
                <c:pt idx="13">
                  <c:v>9.4999999999999904E-2</c:v>
                </c:pt>
                <c:pt idx="14">
                  <c:v>8.99999999999999E-2</c:v>
                </c:pt>
                <c:pt idx="15">
                  <c:v>8.4999999999999895E-2</c:v>
                </c:pt>
                <c:pt idx="16">
                  <c:v>7.9999999999999905E-2</c:v>
                </c:pt>
                <c:pt idx="17">
                  <c:v>7.49999999999999E-2</c:v>
                </c:pt>
                <c:pt idx="18">
                  <c:v>6.9999999999999896E-2</c:v>
                </c:pt>
                <c:pt idx="19">
                  <c:v>6.4999999999999905E-2</c:v>
                </c:pt>
                <c:pt idx="20">
                  <c:v>0.06</c:v>
                </c:pt>
                <c:pt idx="21">
                  <c:v>5.5E-2</c:v>
                </c:pt>
                <c:pt idx="22">
                  <c:v>0.05</c:v>
                </c:pt>
              </c:numCache>
            </c:numRef>
          </c:xVal>
          <c:yVal>
            <c:numRef>
              <c:f>'single immunization'!$K$58:$K$80</c:f>
              <c:numCache>
                <c:formatCode>_-* #,##0_-;\-* #,##0_-;_-* "-"??_-;_-@_-</c:formatCode>
                <c:ptCount val="23"/>
                <c:pt idx="0">
                  <c:v>-669033.03509268351</c:v>
                </c:pt>
                <c:pt idx="1">
                  <c:v>-601898.87113717198</c:v>
                </c:pt>
                <c:pt idx="2">
                  <c:v>-525800.95025486872</c:v>
                </c:pt>
                <c:pt idx="3">
                  <c:v>-440445.65365305543</c:v>
                </c:pt>
                <c:pt idx="4">
                  <c:v>-345523.353949368</c:v>
                </c:pt>
                <c:pt idx="5">
                  <c:v>-240707.59535982832</c:v>
                </c:pt>
                <c:pt idx="6">
                  <c:v>-125654.22791565955</c:v>
                </c:pt>
                <c:pt idx="7">
                  <c:v>-0.49301342666149139</c:v>
                </c:pt>
                <c:pt idx="8">
                  <c:v>136635.94256275892</c:v>
                </c:pt>
                <c:pt idx="9">
                  <c:v>284658.00718477741</c:v>
                </c:pt>
                <c:pt idx="10">
                  <c:v>444490.302715417</c:v>
                </c:pt>
                <c:pt idx="11">
                  <c:v>616580.24406042695</c:v>
                </c:pt>
                <c:pt idx="12">
                  <c:v>801399.2635762468</c:v>
                </c:pt>
                <c:pt idx="13">
                  <c:v>999444.08419897407</c:v>
                </c:pt>
                <c:pt idx="14">
                  <c:v>1211238.0654016733</c:v>
                </c:pt>
                <c:pt idx="15">
                  <c:v>1437332.6263442338</c:v>
                </c:pt>
                <c:pt idx="16">
                  <c:v>1678308.7508544251</c:v>
                </c:pt>
                <c:pt idx="17">
                  <c:v>1934778.5791710317</c:v>
                </c:pt>
                <c:pt idx="18">
                  <c:v>2207387.0916910022</c:v>
                </c:pt>
                <c:pt idx="19">
                  <c:v>2496813.8902947344</c:v>
                </c:pt>
                <c:pt idx="20">
                  <c:v>2803775.0831775703</c:v>
                </c:pt>
                <c:pt idx="21">
                  <c:v>3129025.279492747</c:v>
                </c:pt>
                <c:pt idx="22">
                  <c:v>3473359.700513348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9-4C62-AAD4-CC442786E21A}"/>
            </c:ext>
          </c:extLst>
        </c:ser>
        <c:ser>
          <c:idx val="1"/>
          <c:order val="1"/>
          <c:tx>
            <c:v>8 year discount bond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immunization'!$B$58:$B$80</c:f>
              <c:numCache>
                <c:formatCode>General</c:formatCode>
                <c:ptCount val="23"/>
                <c:pt idx="0">
                  <c:v>0.16</c:v>
                </c:pt>
                <c:pt idx="1">
                  <c:v>0.155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0.14000000000000001</c:v>
                </c:pt>
                <c:pt idx="5">
                  <c:v>0.13500000000000001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</c:v>
                </c:pt>
                <c:pt idx="9">
                  <c:v>0.115</c:v>
                </c:pt>
                <c:pt idx="10">
                  <c:v>0.11</c:v>
                </c:pt>
                <c:pt idx="11">
                  <c:v>0.105</c:v>
                </c:pt>
                <c:pt idx="12">
                  <c:v>9.9999999999999895E-2</c:v>
                </c:pt>
                <c:pt idx="13">
                  <c:v>9.4999999999999904E-2</c:v>
                </c:pt>
                <c:pt idx="14">
                  <c:v>8.99999999999999E-2</c:v>
                </c:pt>
                <c:pt idx="15">
                  <c:v>8.4999999999999895E-2</c:v>
                </c:pt>
                <c:pt idx="16">
                  <c:v>7.9999999999999905E-2</c:v>
                </c:pt>
                <c:pt idx="17">
                  <c:v>7.49999999999999E-2</c:v>
                </c:pt>
                <c:pt idx="18">
                  <c:v>6.9999999999999896E-2</c:v>
                </c:pt>
                <c:pt idx="19">
                  <c:v>6.4999999999999905E-2</c:v>
                </c:pt>
                <c:pt idx="20">
                  <c:v>0.06</c:v>
                </c:pt>
                <c:pt idx="21">
                  <c:v>5.5E-2</c:v>
                </c:pt>
                <c:pt idx="22">
                  <c:v>0.05</c:v>
                </c:pt>
              </c:numCache>
            </c:numRef>
          </c:xVal>
          <c:yVal>
            <c:numRef>
              <c:f>'single immunization'!$L$58:$L$80</c:f>
              <c:numCache>
                <c:formatCode>_-* #,##0_-;\-* #,##0_-;_-* "-"??_-;_-@_-</c:formatCode>
                <c:ptCount val="23"/>
                <c:pt idx="0">
                  <c:v>70886.454844515771</c:v>
                </c:pt>
                <c:pt idx="1">
                  <c:v>52062.724102288485</c:v>
                </c:pt>
                <c:pt idx="2">
                  <c:v>36142.828095570207</c:v>
                </c:pt>
                <c:pt idx="3">
                  <c:v>23123.184441510588</c:v>
                </c:pt>
                <c:pt idx="4">
                  <c:v>13000.90181074664</c:v>
                </c:pt>
                <c:pt idx="5">
                  <c:v>5773.7840877994895</c:v>
                </c:pt>
                <c:pt idx="6">
                  <c:v>1440.3347541615367</c:v>
                </c:pt>
                <c:pt idx="7">
                  <c:v>-0.23850154876708984</c:v>
                </c:pt>
                <c:pt idx="8">
                  <c:v>1451.9810583665967</c:v>
                </c:pt>
                <c:pt idx="9">
                  <c:v>5797.6242991164327</c:v>
                </c:pt>
                <c:pt idx="10">
                  <c:v>13038.041533295065</c:v>
                </c:pt>
                <c:pt idx="11">
                  <c:v>23175.30808725208</c:v>
                </c:pt>
                <c:pt idx="12">
                  <c:v>36212.23011912033</c:v>
                </c:pt>
                <c:pt idx="13">
                  <c:v>52152.350693952292</c:v>
                </c:pt>
                <c:pt idx="14">
                  <c:v>70999.956121515483</c:v>
                </c:pt>
                <c:pt idx="15">
                  <c:v>92760.082562368363</c:v>
                </c:pt>
                <c:pt idx="16">
                  <c:v>117438.52290818095</c:v>
                </c:pt>
                <c:pt idx="17">
                  <c:v>145041.83394235745</c:v>
                </c:pt>
                <c:pt idx="18">
                  <c:v>175577.34378726408</c:v>
                </c:pt>
                <c:pt idx="19">
                  <c:v>209053.15964432806</c:v>
                </c:pt>
                <c:pt idx="20">
                  <c:v>245478.17583388835</c:v>
                </c:pt>
                <c:pt idx="21">
                  <c:v>284862.0821415782</c:v>
                </c:pt>
                <c:pt idx="22">
                  <c:v>327215.37247809768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9-4C62-AAD4-CC442786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4704"/>
        <c:axId val="810712544"/>
      </c:scatterChart>
      <c:valAx>
        <c:axId val="259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12544"/>
        <c:crosses val="autoZero"/>
        <c:crossBetween val="midCat"/>
      </c:valAx>
      <c:valAx>
        <c:axId val="810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147636</xdr:rowOff>
    </xdr:from>
    <xdr:to>
      <xdr:col>14</xdr:col>
      <xdr:colOff>657225</xdr:colOff>
      <xdr:row>33</xdr:row>
      <xdr:rowOff>38099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</xdr:row>
      <xdr:rowOff>9525</xdr:rowOff>
    </xdr:from>
    <xdr:to>
      <xdr:col>15</xdr:col>
      <xdr:colOff>57149</xdr:colOff>
      <xdr:row>20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16</xdr:row>
      <xdr:rowOff>175260</xdr:rowOff>
    </xdr:from>
    <xdr:to>
      <xdr:col>15</xdr:col>
      <xdr:colOff>830580</xdr:colOff>
      <xdr:row>23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542F4D-8C67-4197-ADCF-4F2CB5FFFCE9}"/>
            </a:ext>
          </a:extLst>
        </xdr:cNvPr>
        <xdr:cNvSpPr txBox="1"/>
      </xdr:nvSpPr>
      <xdr:spPr>
        <a:xfrm>
          <a:off x="8648700" y="4373880"/>
          <a:ext cx="3848100" cy="1417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assumption on computing</a:t>
          </a:r>
          <a:r>
            <a:rPr lang="en-US" altLang="ko-KR" sz="1100" baseline="0"/>
            <a:t> interest on interest: cash flow at t is re-invested at the prevailing rate in the market </a:t>
          </a:r>
          <a:endParaRPr lang="ko-KR" altLang="en-US" sz="1100"/>
        </a:p>
      </xdr:txBody>
    </xdr:sp>
    <xdr:clientData/>
  </xdr:twoCellAnchor>
  <xdr:twoCellAnchor>
    <xdr:from>
      <xdr:col>1</xdr:col>
      <xdr:colOff>925830</xdr:colOff>
      <xdr:row>29</xdr:row>
      <xdr:rowOff>83820</xdr:rowOff>
    </xdr:from>
    <xdr:to>
      <xdr:col>5</xdr:col>
      <xdr:colOff>742950</xdr:colOff>
      <xdr:row>41</xdr:row>
      <xdr:rowOff>175260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2BBCF1-4908-4AF9-B6E8-91D31D64B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506730</xdr:colOff>
      <xdr:row>84</xdr:row>
      <xdr:rowOff>38100</xdr:rowOff>
    </xdr:from>
    <xdr:to>
      <xdr:col>8</xdr:col>
      <xdr:colOff>762000</xdr:colOff>
      <xdr:row>100</xdr:row>
      <xdr:rowOff>167640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95C01A-0510-4D59-A3FF-390CC8799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>
      <selection activeCell="C19" sqref="C19"/>
    </sheetView>
  </sheetViews>
  <sheetFormatPr defaultRowHeight="15"/>
  <cols>
    <col min="1" max="1" width="16.28515625" customWidth="1"/>
    <col min="2" max="2" width="18.5703125" customWidth="1"/>
    <col min="3" max="3" width="20" customWidth="1"/>
    <col min="4" max="4" width="17.42578125" customWidth="1"/>
  </cols>
  <sheetData>
    <row r="1" spans="1:4">
      <c r="A1" t="s">
        <v>0</v>
      </c>
      <c r="B1" t="s">
        <v>2</v>
      </c>
      <c r="C1" t="s">
        <v>4</v>
      </c>
      <c r="D1" t="s">
        <v>4</v>
      </c>
    </row>
    <row r="2" spans="1:4">
      <c r="A2" t="s">
        <v>1</v>
      </c>
      <c r="B2" t="s">
        <v>3</v>
      </c>
      <c r="C2" t="s">
        <v>3</v>
      </c>
      <c r="D2" t="s">
        <v>5</v>
      </c>
    </row>
    <row r="3" spans="1:4">
      <c r="A3">
        <v>-5</v>
      </c>
      <c r="B3">
        <v>-7.19</v>
      </c>
      <c r="C3">
        <v>-10.69</v>
      </c>
      <c r="D3">
        <v>-3.89</v>
      </c>
    </row>
    <row r="4" spans="1:4">
      <c r="A4">
        <v>-4.75</v>
      </c>
      <c r="B4">
        <v>-6.28</v>
      </c>
      <c r="C4">
        <v>-9.61</v>
      </c>
      <c r="D4">
        <v>-3.12</v>
      </c>
    </row>
    <row r="5" spans="1:4">
      <c r="A5">
        <v>-4.5</v>
      </c>
      <c r="B5">
        <v>-5.44</v>
      </c>
      <c r="C5">
        <v>-8.6199999999999992</v>
      </c>
      <c r="D5">
        <v>-2.44</v>
      </c>
    </row>
    <row r="6" spans="1:4">
      <c r="A6">
        <v>-4.25</v>
      </c>
      <c r="B6">
        <v>-4.68</v>
      </c>
      <c r="C6">
        <v>-7.71</v>
      </c>
      <c r="D6">
        <v>-1.82</v>
      </c>
    </row>
    <row r="7" spans="1:4">
      <c r="A7">
        <v>-4</v>
      </c>
      <c r="B7">
        <v>-4</v>
      </c>
      <c r="C7">
        <v>-6.88</v>
      </c>
      <c r="D7">
        <v>-1.27</v>
      </c>
    </row>
    <row r="8" spans="1:4">
      <c r="A8">
        <v>-3.75</v>
      </c>
      <c r="B8">
        <v>-3.38</v>
      </c>
      <c r="C8">
        <v>-6.13</v>
      </c>
      <c r="D8">
        <v>-0.78</v>
      </c>
    </row>
    <row r="9" spans="1:4">
      <c r="A9">
        <v>-3.5</v>
      </c>
      <c r="B9">
        <v>-2.82</v>
      </c>
      <c r="C9">
        <v>-5.44</v>
      </c>
      <c r="D9">
        <v>-0.35</v>
      </c>
    </row>
    <row r="10" spans="1:4">
      <c r="A10">
        <v>-3.25</v>
      </c>
      <c r="B10">
        <v>-2.3199999999999998</v>
      </c>
      <c r="C10">
        <v>-4.82</v>
      </c>
      <c r="D10">
        <v>0.03</v>
      </c>
    </row>
    <row r="11" spans="1:4">
      <c r="A11">
        <v>-3</v>
      </c>
      <c r="B11">
        <v>-1.88</v>
      </c>
      <c r="C11">
        <v>-4.26</v>
      </c>
      <c r="D11">
        <v>0.36</v>
      </c>
    </row>
    <row r="12" spans="1:4">
      <c r="A12">
        <v>-2.75</v>
      </c>
      <c r="B12">
        <v>-1.49</v>
      </c>
      <c r="C12">
        <v>-3.75</v>
      </c>
      <c r="D12">
        <v>0.65</v>
      </c>
    </row>
    <row r="13" spans="1:4">
      <c r="A13">
        <v>-2.5</v>
      </c>
      <c r="B13">
        <v>-1.1499999999999999</v>
      </c>
      <c r="C13">
        <v>-3.3</v>
      </c>
      <c r="D13">
        <v>0.89</v>
      </c>
    </row>
    <row r="14" spans="1:4">
      <c r="A14">
        <v>-2.25</v>
      </c>
      <c r="B14">
        <v>-0.85</v>
      </c>
      <c r="C14">
        <v>-2.9</v>
      </c>
      <c r="D14">
        <v>1.0900000000000001</v>
      </c>
    </row>
    <row r="15" spans="1:4">
      <c r="A15">
        <v>-2</v>
      </c>
      <c r="B15">
        <v>-0.59</v>
      </c>
      <c r="C15">
        <v>-2.5499999999999998</v>
      </c>
      <c r="D15">
        <v>1.25</v>
      </c>
    </row>
    <row r="16" spans="1:4">
      <c r="A16">
        <v>-1.75</v>
      </c>
      <c r="B16">
        <v>-0.38</v>
      </c>
      <c r="C16">
        <v>-2.2400000000000002</v>
      </c>
      <c r="D16">
        <v>1.37</v>
      </c>
    </row>
    <row r="17" spans="1:4">
      <c r="A17">
        <v>-1.5</v>
      </c>
      <c r="B17">
        <v>-0.2</v>
      </c>
      <c r="C17">
        <v>-1.97</v>
      </c>
      <c r="D17">
        <v>1.47</v>
      </c>
    </row>
    <row r="18" spans="1:4">
      <c r="A18">
        <v>-1.25</v>
      </c>
      <c r="B18">
        <v>-0.05</v>
      </c>
      <c r="C18">
        <v>-1.74</v>
      </c>
      <c r="D18">
        <v>1.53</v>
      </c>
    </row>
    <row r="19" spans="1:4">
      <c r="A19">
        <v>-1</v>
      </c>
      <c r="B19">
        <v>0.06</v>
      </c>
      <c r="C19">
        <v>-1.54</v>
      </c>
      <c r="D19">
        <v>1.57</v>
      </c>
    </row>
    <row r="20" spans="1:4">
      <c r="A20">
        <v>-0.75</v>
      </c>
      <c r="B20">
        <v>0.15</v>
      </c>
      <c r="C20">
        <v>-1.38</v>
      </c>
      <c r="D20">
        <v>1.58</v>
      </c>
    </row>
    <row r="21" spans="1:4">
      <c r="A21">
        <v>-0.5</v>
      </c>
      <c r="B21">
        <v>0.21</v>
      </c>
      <c r="C21">
        <v>-1.24</v>
      </c>
      <c r="D21">
        <v>1.57</v>
      </c>
    </row>
    <row r="22" spans="1:4">
      <c r="A22">
        <v>-0.25</v>
      </c>
      <c r="B22">
        <v>0.24</v>
      </c>
      <c r="C22">
        <v>-1.1399999999999999</v>
      </c>
      <c r="D22">
        <v>1.53</v>
      </c>
    </row>
    <row r="23" spans="1:4">
      <c r="A23">
        <v>0</v>
      </c>
      <c r="B23">
        <v>0.25</v>
      </c>
      <c r="C23">
        <v>-1.06</v>
      </c>
      <c r="D23">
        <v>1.48</v>
      </c>
    </row>
    <row r="24" spans="1:4">
      <c r="A24">
        <v>0.25</v>
      </c>
      <c r="B24">
        <v>0.24</v>
      </c>
      <c r="C24">
        <v>-1.01</v>
      </c>
      <c r="D24">
        <v>1.41</v>
      </c>
    </row>
    <row r="25" spans="1:4">
      <c r="A25">
        <v>0.5</v>
      </c>
      <c r="B25">
        <v>0.21</v>
      </c>
      <c r="C25">
        <v>-0.98</v>
      </c>
      <c r="D25">
        <v>1.32</v>
      </c>
    </row>
    <row r="26" spans="1:4">
      <c r="A26">
        <v>0.75</v>
      </c>
      <c r="B26">
        <v>0.16</v>
      </c>
      <c r="C26">
        <v>-0.97</v>
      </c>
      <c r="D26">
        <v>1.21</v>
      </c>
    </row>
    <row r="27" spans="1:4">
      <c r="A27">
        <v>1</v>
      </c>
      <c r="B27">
        <v>0.09</v>
      </c>
      <c r="C27">
        <v>-0.98</v>
      </c>
      <c r="D27">
        <v>1.0900000000000001</v>
      </c>
    </row>
    <row r="28" spans="1:4">
      <c r="A28">
        <v>1.25</v>
      </c>
      <c r="B28">
        <v>0.01</v>
      </c>
      <c r="C28">
        <v>-1</v>
      </c>
      <c r="D28">
        <v>0.96</v>
      </c>
    </row>
    <row r="29" spans="1:4">
      <c r="A29">
        <v>1.5</v>
      </c>
      <c r="B29">
        <v>-0.08</v>
      </c>
      <c r="C29">
        <v>-1.05</v>
      </c>
      <c r="D29">
        <v>0.81</v>
      </c>
    </row>
    <row r="30" spans="1:4">
      <c r="A30">
        <v>1.75</v>
      </c>
      <c r="B30">
        <v>-0.19</v>
      </c>
      <c r="C30">
        <v>-1.1000000000000001</v>
      </c>
      <c r="D30">
        <v>0.66</v>
      </c>
    </row>
    <row r="31" spans="1:4">
      <c r="A31">
        <v>2</v>
      </c>
      <c r="B31">
        <v>-0.31</v>
      </c>
      <c r="C31">
        <v>-1.18</v>
      </c>
      <c r="D31">
        <v>0.49</v>
      </c>
    </row>
    <row r="32" spans="1:4">
      <c r="A32">
        <v>2.25</v>
      </c>
      <c r="B32">
        <v>-0.44</v>
      </c>
      <c r="C32">
        <v>-1.26</v>
      </c>
      <c r="D32">
        <v>0.32</v>
      </c>
    </row>
    <row r="33" spans="1:4">
      <c r="A33">
        <v>2.5</v>
      </c>
      <c r="B33">
        <v>-0.57999999999999996</v>
      </c>
      <c r="C33">
        <v>-1.36</v>
      </c>
      <c r="D33">
        <v>0.14000000000000001</v>
      </c>
    </row>
    <row r="34" spans="1:4">
      <c r="A34">
        <v>2.75</v>
      </c>
      <c r="B34">
        <v>-0.73</v>
      </c>
      <c r="C34">
        <v>-1.46</v>
      </c>
      <c r="D34">
        <v>-0.05</v>
      </c>
    </row>
    <row r="35" spans="1:4">
      <c r="A35">
        <v>3</v>
      </c>
      <c r="B35">
        <v>-0.88</v>
      </c>
      <c r="C35">
        <v>-1.58</v>
      </c>
      <c r="D35">
        <v>-0.24</v>
      </c>
    </row>
    <row r="36" spans="1:4">
      <c r="A36">
        <v>3.25</v>
      </c>
      <c r="B36">
        <v>-1.05</v>
      </c>
      <c r="C36">
        <v>-1.7</v>
      </c>
      <c r="D36">
        <v>-0.44</v>
      </c>
    </row>
    <row r="37" spans="1:4">
      <c r="A37">
        <v>3.5</v>
      </c>
      <c r="B37">
        <v>-1.21</v>
      </c>
      <c r="C37">
        <v>-1.84</v>
      </c>
      <c r="D37">
        <v>-0.64</v>
      </c>
    </row>
    <row r="38" spans="1:4">
      <c r="A38">
        <v>3.75</v>
      </c>
      <c r="B38">
        <v>-1.39</v>
      </c>
      <c r="C38">
        <v>-1.98</v>
      </c>
      <c r="D38">
        <v>-0.85</v>
      </c>
    </row>
    <row r="39" spans="1:4">
      <c r="A39">
        <v>4</v>
      </c>
      <c r="B39">
        <v>-1.57</v>
      </c>
      <c r="C39">
        <v>-2.12</v>
      </c>
      <c r="D39">
        <v>-1.06</v>
      </c>
    </row>
    <row r="40" spans="1:4">
      <c r="A40">
        <v>4.25</v>
      </c>
      <c r="B40">
        <v>-1.75</v>
      </c>
      <c r="C40">
        <v>-2.27</v>
      </c>
      <c r="D40">
        <v>-1.27</v>
      </c>
    </row>
    <row r="41" spans="1:4">
      <c r="A41">
        <v>4.5</v>
      </c>
      <c r="B41">
        <v>-1.93</v>
      </c>
      <c r="C41">
        <v>-2.4300000000000002</v>
      </c>
      <c r="D41">
        <v>-1.48</v>
      </c>
    </row>
    <row r="42" spans="1:4">
      <c r="A42">
        <v>4.75</v>
      </c>
      <c r="B42">
        <v>-2.12</v>
      </c>
      <c r="C42">
        <v>-2.58</v>
      </c>
      <c r="D42">
        <v>-1.7</v>
      </c>
    </row>
    <row r="43" spans="1:4">
      <c r="A43">
        <v>5</v>
      </c>
      <c r="B43">
        <v>-2.31</v>
      </c>
      <c r="C43">
        <v>-2.75</v>
      </c>
      <c r="D43">
        <v>-1.92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workbookViewId="0">
      <selection activeCell="D30" sqref="D30"/>
    </sheetView>
  </sheetViews>
  <sheetFormatPr defaultRowHeight="15"/>
  <cols>
    <col min="1" max="1" width="15.42578125" customWidth="1"/>
    <col min="4" max="4" width="21.42578125" customWidth="1"/>
  </cols>
  <sheetData>
    <row r="2" spans="1:6">
      <c r="A2" s="1" t="s">
        <v>6</v>
      </c>
      <c r="B2" s="32" t="s">
        <v>19</v>
      </c>
      <c r="C2" s="32"/>
      <c r="D2" s="1" t="s">
        <v>23</v>
      </c>
      <c r="E2" s="32" t="s">
        <v>24</v>
      </c>
      <c r="F2" s="32"/>
    </row>
    <row r="3" spans="1:6">
      <c r="A3" s="1"/>
      <c r="B3" s="1" t="s">
        <v>20</v>
      </c>
      <c r="C3" s="1" t="s">
        <v>21</v>
      </c>
      <c r="D3" s="1"/>
      <c r="E3" s="1" t="s">
        <v>22</v>
      </c>
      <c r="F3" s="1" t="s">
        <v>21</v>
      </c>
    </row>
    <row r="4" spans="1:6">
      <c r="A4" s="1" t="s">
        <v>7</v>
      </c>
      <c r="B4" s="2">
        <v>-0.02</v>
      </c>
      <c r="C4" s="2">
        <v>-1.05</v>
      </c>
      <c r="D4" s="2">
        <v>-0.04</v>
      </c>
      <c r="E4" s="34">
        <f>B4-D4</f>
        <v>0.02</v>
      </c>
      <c r="F4" s="34">
        <f>C4-D4</f>
        <v>-1.01</v>
      </c>
    </row>
    <row r="5" spans="1:6">
      <c r="A5" s="1" t="s">
        <v>8</v>
      </c>
      <c r="B5" s="2">
        <v>1.58</v>
      </c>
      <c r="C5" s="2">
        <v>2.13</v>
      </c>
      <c r="D5" s="2">
        <v>1.54</v>
      </c>
      <c r="E5" s="34">
        <f t="shared" ref="E5:E15" si="0">B5-D5</f>
        <v>4.0000000000000036E-2</v>
      </c>
      <c r="F5" s="34">
        <f t="shared" ref="F5:F15" si="1">C5-D5</f>
        <v>0.58999999999999986</v>
      </c>
    </row>
    <row r="6" spans="1:6">
      <c r="A6" s="1" t="s">
        <v>9</v>
      </c>
      <c r="B6" s="2">
        <v>-0.04</v>
      </c>
      <c r="C6" s="2">
        <v>0.37</v>
      </c>
      <c r="D6" s="2">
        <v>0</v>
      </c>
      <c r="E6" s="34">
        <f t="shared" si="0"/>
        <v>-0.04</v>
      </c>
      <c r="F6" s="34">
        <f t="shared" si="1"/>
        <v>0.37</v>
      </c>
    </row>
    <row r="7" spans="1:6">
      <c r="A7" s="1" t="s">
        <v>10</v>
      </c>
      <c r="B7" s="2">
        <v>0.61</v>
      </c>
      <c r="C7" s="2">
        <v>1.01</v>
      </c>
      <c r="D7" s="2">
        <v>0.54</v>
      </c>
      <c r="E7" s="34">
        <f t="shared" si="0"/>
        <v>6.9999999999999951E-2</v>
      </c>
      <c r="F7" s="34">
        <f t="shared" si="1"/>
        <v>0.47</v>
      </c>
    </row>
    <row r="8" spans="1:6">
      <c r="A8" s="1" t="s">
        <v>11</v>
      </c>
      <c r="B8" s="2">
        <v>-0.71</v>
      </c>
      <c r="C8" s="2">
        <v>-1.44</v>
      </c>
      <c r="D8" s="2">
        <v>-0.76</v>
      </c>
      <c r="E8" s="34">
        <f t="shared" si="0"/>
        <v>5.0000000000000044E-2</v>
      </c>
      <c r="F8" s="34">
        <f t="shared" si="1"/>
        <v>-0.67999999999999994</v>
      </c>
    </row>
    <row r="9" spans="1:6">
      <c r="A9" s="1" t="s">
        <v>12</v>
      </c>
      <c r="B9" s="2">
        <v>-0.27</v>
      </c>
      <c r="C9" s="2">
        <v>-0.56999999999999995</v>
      </c>
      <c r="D9" s="2">
        <v>-0.3</v>
      </c>
      <c r="E9" s="34">
        <f t="shared" si="0"/>
        <v>2.9999999999999971E-2</v>
      </c>
      <c r="F9" s="34">
        <f t="shared" si="1"/>
        <v>-0.26999999999999996</v>
      </c>
    </row>
    <row r="10" spans="1:6">
      <c r="A10" s="1" t="s">
        <v>13</v>
      </c>
      <c r="B10" s="2">
        <v>0.91</v>
      </c>
      <c r="C10" s="2">
        <v>1.95</v>
      </c>
      <c r="D10" s="2">
        <v>0.83</v>
      </c>
      <c r="E10" s="34">
        <f t="shared" si="0"/>
        <v>8.0000000000000071E-2</v>
      </c>
      <c r="F10" s="34">
        <f t="shared" si="1"/>
        <v>1.1200000000000001</v>
      </c>
    </row>
    <row r="11" spans="1:6">
      <c r="A11" s="1" t="s">
        <v>14</v>
      </c>
      <c r="B11" s="2">
        <v>1.26</v>
      </c>
      <c r="C11" s="2">
        <v>1.26</v>
      </c>
      <c r="D11" s="2">
        <v>1.23</v>
      </c>
      <c r="E11" s="34">
        <f t="shared" si="0"/>
        <v>3.0000000000000027E-2</v>
      </c>
      <c r="F11" s="34">
        <f t="shared" si="1"/>
        <v>3.0000000000000027E-2</v>
      </c>
    </row>
    <row r="12" spans="1:6">
      <c r="A12" s="1" t="s">
        <v>15</v>
      </c>
      <c r="B12" s="2">
        <v>0.69</v>
      </c>
      <c r="C12" s="2">
        <v>2.17</v>
      </c>
      <c r="D12" s="2">
        <v>0.76</v>
      </c>
      <c r="E12" s="34">
        <f t="shared" si="0"/>
        <v>-7.0000000000000062E-2</v>
      </c>
      <c r="F12" s="34">
        <f t="shared" si="1"/>
        <v>1.41</v>
      </c>
    </row>
    <row r="13" spans="1:6">
      <c r="A13" s="1" t="s">
        <v>16</v>
      </c>
      <c r="B13" s="2">
        <v>0.95</v>
      </c>
      <c r="C13" s="2">
        <v>1.8</v>
      </c>
      <c r="D13" s="2">
        <v>0.9</v>
      </c>
      <c r="E13" s="34">
        <f t="shared" si="0"/>
        <v>4.9999999999999933E-2</v>
      </c>
      <c r="F13" s="34">
        <f t="shared" si="1"/>
        <v>0.9</v>
      </c>
    </row>
    <row r="14" spans="1:6">
      <c r="A14" s="1" t="s">
        <v>17</v>
      </c>
      <c r="B14" s="2">
        <v>1.08</v>
      </c>
      <c r="C14" s="2">
        <v>2.13</v>
      </c>
      <c r="D14" s="2">
        <v>1.04</v>
      </c>
      <c r="E14" s="34">
        <f t="shared" si="0"/>
        <v>4.0000000000000036E-2</v>
      </c>
      <c r="F14" s="34">
        <f t="shared" si="1"/>
        <v>1.0899999999999999</v>
      </c>
    </row>
    <row r="15" spans="1:6">
      <c r="A15" s="1" t="s">
        <v>18</v>
      </c>
      <c r="B15" s="2">
        <v>0.02</v>
      </c>
      <c r="C15" s="2">
        <v>-0.32</v>
      </c>
      <c r="D15" s="2">
        <v>0.28000000000000003</v>
      </c>
      <c r="E15" s="34">
        <f t="shared" si="0"/>
        <v>-0.26</v>
      </c>
      <c r="F15" s="34">
        <f t="shared" si="1"/>
        <v>-0.60000000000000009</v>
      </c>
    </row>
    <row r="16" spans="1:6">
      <c r="A16" s="1" t="s">
        <v>25</v>
      </c>
      <c r="B16" s="1"/>
      <c r="C16" s="1"/>
      <c r="D16" s="1"/>
      <c r="E16" s="34">
        <f>SUM(E4:E15)</f>
        <v>4.0000000000000036E-2</v>
      </c>
      <c r="F16" s="34">
        <f>SUM(F4:F15)</f>
        <v>3.4199999999999995</v>
      </c>
    </row>
    <row r="17" spans="1:6">
      <c r="A17" s="1" t="s">
        <v>26</v>
      </c>
      <c r="B17" s="1"/>
      <c r="C17" s="1"/>
      <c r="D17" s="1"/>
      <c r="E17" s="35">
        <f>AVERAGE(E4:E15)</f>
        <v>3.3333333333333361E-3</v>
      </c>
      <c r="F17" s="35">
        <f>AVERAGE(F4:F15)</f>
        <v>0.28499999999999998</v>
      </c>
    </row>
    <row r="18" spans="1:6">
      <c r="A18" s="1" t="s">
        <v>27</v>
      </c>
      <c r="B18" s="1"/>
      <c r="C18" s="1"/>
      <c r="D18" s="1"/>
      <c r="E18" s="36">
        <f>STDEV(E4:E15)</f>
        <v>9.3257544986825064E-2</v>
      </c>
      <c r="F18" s="36">
        <f>STDEV(F4:F15)</f>
        <v>0.79132225363053521</v>
      </c>
    </row>
    <row r="19" spans="1:6">
      <c r="A19" s="3" t="s">
        <v>28</v>
      </c>
    </row>
  </sheetData>
  <mergeCells count="2">
    <mergeCell ref="B2:C2"/>
    <mergeCell ref="E2:F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81"/>
  <sheetViews>
    <sheetView topLeftCell="A64" workbookViewId="0">
      <selection activeCell="F38" sqref="F38"/>
    </sheetView>
  </sheetViews>
  <sheetFormatPr defaultRowHeight="15"/>
  <cols>
    <col min="2" max="2" width="23.140625" customWidth="1"/>
    <col min="3" max="3" width="30.42578125" bestFit="1" customWidth="1"/>
    <col min="4" max="4" width="16.42578125" bestFit="1" customWidth="1"/>
    <col min="5" max="5" width="13.42578125" bestFit="1" customWidth="1"/>
    <col min="7" max="7" width="16.140625" bestFit="1" customWidth="1"/>
    <col min="8" max="8" width="17.28515625" customWidth="1"/>
    <col min="9" max="9" width="10.42578125" customWidth="1"/>
    <col min="10" max="10" width="11.42578125" customWidth="1"/>
    <col min="11" max="11" width="7.42578125" customWidth="1"/>
    <col min="12" max="12" width="15.42578125" customWidth="1"/>
    <col min="13" max="13" width="12.28515625" customWidth="1"/>
    <col min="14" max="14" width="13.85546875" customWidth="1"/>
    <col min="15" max="15" width="16.42578125" customWidth="1"/>
  </cols>
  <sheetData>
    <row r="1" spans="2:5" ht="15.75" thickBot="1"/>
    <row r="2" spans="2:5">
      <c r="B2" s="18" t="s">
        <v>29</v>
      </c>
      <c r="C2" s="19" t="s">
        <v>30</v>
      </c>
      <c r="D2" s="19" t="s">
        <v>31</v>
      </c>
      <c r="E2" s="20" t="s">
        <v>32</v>
      </c>
    </row>
    <row r="3" spans="2:5">
      <c r="B3" s="8" t="s">
        <v>33</v>
      </c>
      <c r="C3" t="s">
        <v>34</v>
      </c>
      <c r="D3" s="4">
        <v>1559836</v>
      </c>
      <c r="E3" s="21">
        <v>1994785</v>
      </c>
    </row>
    <row r="4" spans="2:5">
      <c r="B4" s="8" t="s">
        <v>35</v>
      </c>
      <c r="C4" t="s">
        <v>36</v>
      </c>
      <c r="D4" s="4">
        <v>1058588</v>
      </c>
      <c r="E4" s="21">
        <v>1326367</v>
      </c>
    </row>
    <row r="5" spans="2:5">
      <c r="B5" s="8" t="s">
        <v>37</v>
      </c>
      <c r="C5" t="s">
        <v>38</v>
      </c>
      <c r="D5" s="4">
        <v>1704496</v>
      </c>
      <c r="E5" s="21">
        <v>1822829</v>
      </c>
    </row>
    <row r="6" spans="2:5">
      <c r="B6" s="8" t="s">
        <v>39</v>
      </c>
      <c r="C6" t="s">
        <v>40</v>
      </c>
      <c r="D6" s="4">
        <v>1672649</v>
      </c>
      <c r="E6" s="21">
        <v>1897604</v>
      </c>
    </row>
    <row r="7" spans="2:5">
      <c r="B7" s="8" t="s">
        <v>41</v>
      </c>
      <c r="C7" t="s">
        <v>42</v>
      </c>
      <c r="D7" s="4">
        <v>1476540</v>
      </c>
      <c r="E7" s="21">
        <v>1776413</v>
      </c>
    </row>
    <row r="8" spans="2:5">
      <c r="B8" s="8" t="s">
        <v>43</v>
      </c>
      <c r="C8" t="s">
        <v>44</v>
      </c>
      <c r="D8" s="4">
        <v>2902572</v>
      </c>
      <c r="E8" s="21">
        <v>3072449</v>
      </c>
    </row>
    <row r="9" spans="2:5">
      <c r="B9" s="8" t="s">
        <v>45</v>
      </c>
      <c r="C9" t="s">
        <v>45</v>
      </c>
      <c r="D9" t="s">
        <v>45</v>
      </c>
      <c r="E9" s="9" t="s">
        <v>45</v>
      </c>
    </row>
    <row r="10" spans="2:5">
      <c r="B10" s="8" t="s">
        <v>46</v>
      </c>
      <c r="C10" t="s">
        <v>47</v>
      </c>
      <c r="D10" s="4">
        <v>2307072</v>
      </c>
      <c r="E10" s="21">
        <v>2273303</v>
      </c>
    </row>
    <row r="11" spans="2:5">
      <c r="B11" s="8" t="s">
        <v>48</v>
      </c>
      <c r="C11" t="s">
        <v>49</v>
      </c>
      <c r="D11" s="4">
        <v>1377851</v>
      </c>
      <c r="E11" s="21">
        <v>1431826</v>
      </c>
    </row>
    <row r="12" spans="2:5">
      <c r="B12" s="8" t="s">
        <v>50</v>
      </c>
      <c r="C12" t="s">
        <v>47</v>
      </c>
      <c r="D12" s="4">
        <v>3899465</v>
      </c>
      <c r="E12" s="21">
        <v>3788034</v>
      </c>
    </row>
    <row r="13" spans="2:5">
      <c r="B13" s="8" t="s">
        <v>51</v>
      </c>
      <c r="C13" t="s">
        <v>47</v>
      </c>
      <c r="D13" s="4">
        <v>2347035</v>
      </c>
      <c r="E13" s="21">
        <v>2233159</v>
      </c>
    </row>
    <row r="14" spans="2:5">
      <c r="B14" s="8" t="s">
        <v>52</v>
      </c>
      <c r="C14" t="s">
        <v>47</v>
      </c>
      <c r="D14" s="4">
        <v>1558736</v>
      </c>
      <c r="E14" s="21">
        <v>1491788</v>
      </c>
    </row>
    <row r="15" spans="2:5" ht="15.75" thickBot="1">
      <c r="B15" s="10" t="s">
        <v>53</v>
      </c>
      <c r="C15" s="11" t="s">
        <v>54</v>
      </c>
      <c r="D15" s="12">
        <v>1825580</v>
      </c>
      <c r="E15" s="22">
        <v>1761105</v>
      </c>
    </row>
    <row r="16" spans="2:5">
      <c r="D16" s="4"/>
      <c r="E16" s="4"/>
    </row>
    <row r="17" spans="2:5" ht="15.75" thickBot="1">
      <c r="D17" s="4"/>
      <c r="E17" s="4"/>
    </row>
    <row r="18" spans="2:5">
      <c r="B18" s="18" t="s">
        <v>55</v>
      </c>
      <c r="C18" s="19" t="s">
        <v>56</v>
      </c>
      <c r="D18" s="19" t="s">
        <v>57</v>
      </c>
      <c r="E18" s="20" t="s">
        <v>58</v>
      </c>
    </row>
    <row r="19" spans="2:5">
      <c r="B19" s="8" t="s">
        <v>59</v>
      </c>
      <c r="C19">
        <v>5.56</v>
      </c>
      <c r="D19">
        <v>5.41</v>
      </c>
      <c r="E19" s="9">
        <v>0.15</v>
      </c>
    </row>
    <row r="20" spans="2:5">
      <c r="B20" s="8" t="s">
        <v>60</v>
      </c>
      <c r="C20">
        <v>5.37</v>
      </c>
      <c r="D20">
        <v>5.27</v>
      </c>
      <c r="E20" s="9">
        <v>0.1</v>
      </c>
    </row>
    <row r="21" spans="2:5">
      <c r="B21" s="8" t="s">
        <v>61</v>
      </c>
      <c r="C21">
        <v>0.11</v>
      </c>
      <c r="D21">
        <v>0.06</v>
      </c>
      <c r="E21" s="9">
        <v>0.05</v>
      </c>
    </row>
    <row r="22" spans="2:5" ht="15.75" thickBot="1">
      <c r="B22" s="10" t="s">
        <v>62</v>
      </c>
      <c r="C22" s="11">
        <v>-0.04</v>
      </c>
      <c r="D22" s="11">
        <v>-0.03</v>
      </c>
      <c r="E22" s="13">
        <v>-0.01</v>
      </c>
    </row>
    <row r="23" spans="2:5">
      <c r="D23" s="4"/>
      <c r="E23" s="4"/>
    </row>
    <row r="24" spans="2:5" ht="15.75" thickBot="1">
      <c r="D24" s="4"/>
      <c r="E24" s="4"/>
    </row>
    <row r="25" spans="2:5">
      <c r="B25" s="18" t="s">
        <v>55</v>
      </c>
      <c r="C25" s="19" t="s">
        <v>56</v>
      </c>
      <c r="D25" s="19" t="s">
        <v>57</v>
      </c>
      <c r="E25" s="20" t="s">
        <v>58</v>
      </c>
    </row>
    <row r="26" spans="2:5">
      <c r="B26" s="8" t="s">
        <v>63</v>
      </c>
      <c r="C26">
        <v>2.14</v>
      </c>
      <c r="D26">
        <v>1.77</v>
      </c>
      <c r="E26" s="9">
        <v>0.37</v>
      </c>
    </row>
    <row r="27" spans="2:5">
      <c r="B27" s="8" t="s">
        <v>64</v>
      </c>
      <c r="C27">
        <v>7.0000000000000007E-2</v>
      </c>
      <c r="D27">
        <v>0.4</v>
      </c>
      <c r="E27" s="9">
        <v>-0.33</v>
      </c>
    </row>
    <row r="28" spans="2:5">
      <c r="B28" s="8" t="s">
        <v>65</v>
      </c>
      <c r="C28">
        <v>1.84</v>
      </c>
      <c r="D28">
        <v>1.73</v>
      </c>
      <c r="E28" s="9">
        <v>0.12</v>
      </c>
    </row>
    <row r="29" spans="2:5">
      <c r="B29" s="8" t="s">
        <v>66</v>
      </c>
      <c r="C29">
        <v>1.5</v>
      </c>
      <c r="D29">
        <v>1.51</v>
      </c>
      <c r="E29" s="9">
        <v>-0.01</v>
      </c>
    </row>
    <row r="30" spans="2:5" ht="15.75" thickBot="1">
      <c r="B30" s="10" t="s">
        <v>67</v>
      </c>
      <c r="C30" s="11">
        <v>5.56</v>
      </c>
      <c r="D30" s="11">
        <v>5.41</v>
      </c>
      <c r="E30" s="13">
        <v>0.15</v>
      </c>
    </row>
    <row r="31" spans="2:5">
      <c r="D31" s="4"/>
      <c r="E31" s="4"/>
    </row>
    <row r="35" spans="2:5" ht="15.75" thickBot="1"/>
    <row r="36" spans="2:5">
      <c r="B36" s="5" t="s">
        <v>68</v>
      </c>
      <c r="C36" s="6" t="s">
        <v>56</v>
      </c>
      <c r="D36" s="6" t="s">
        <v>57</v>
      </c>
      <c r="E36" s="7"/>
    </row>
    <row r="37" spans="2:5">
      <c r="B37" s="8" t="s">
        <v>69</v>
      </c>
      <c r="C37">
        <v>50</v>
      </c>
      <c r="D37" s="4">
        <v>5693</v>
      </c>
      <c r="E37" s="9"/>
    </row>
    <row r="38" spans="2:5">
      <c r="B38" s="8" t="s">
        <v>70</v>
      </c>
      <c r="C38">
        <v>25</v>
      </c>
      <c r="D38">
        <v>780</v>
      </c>
      <c r="E38" s="9"/>
    </row>
    <row r="39" spans="2:5">
      <c r="B39" s="8" t="s">
        <v>71</v>
      </c>
      <c r="C39">
        <v>1</v>
      </c>
      <c r="D39">
        <v>1</v>
      </c>
      <c r="E39" s="9"/>
    </row>
    <row r="40" spans="2:5">
      <c r="B40" s="8" t="s">
        <v>72</v>
      </c>
      <c r="C40">
        <v>100</v>
      </c>
      <c r="D40" s="4">
        <v>13615</v>
      </c>
      <c r="E40" s="9"/>
    </row>
    <row r="41" spans="2:5" ht="15.75" thickBot="1">
      <c r="B41" s="10" t="s">
        <v>73</v>
      </c>
      <c r="C41" s="11">
        <v>95</v>
      </c>
      <c r="D41" s="12">
        <v>12851</v>
      </c>
      <c r="E41" s="13"/>
    </row>
    <row r="42" spans="2:5">
      <c r="B42" s="5" t="s">
        <v>74</v>
      </c>
      <c r="C42" s="6" t="s">
        <v>56</v>
      </c>
      <c r="D42" s="6" t="s">
        <v>57</v>
      </c>
      <c r="E42" s="14" t="s">
        <v>58</v>
      </c>
    </row>
    <row r="43" spans="2:5">
      <c r="B43" s="8" t="s">
        <v>75</v>
      </c>
      <c r="C43">
        <v>4.6500000000000004</v>
      </c>
      <c r="D43">
        <v>4.3899999999999997</v>
      </c>
      <c r="E43" s="9">
        <v>0.26</v>
      </c>
    </row>
    <row r="44" spans="2:5">
      <c r="B44" s="8" t="s">
        <v>76</v>
      </c>
      <c r="C44">
        <v>8.09</v>
      </c>
      <c r="D44">
        <v>7.77</v>
      </c>
      <c r="E44" s="9">
        <v>0.31</v>
      </c>
    </row>
    <row r="45" spans="2:5">
      <c r="B45" s="8" t="s">
        <v>77</v>
      </c>
      <c r="C45">
        <v>3.69</v>
      </c>
      <c r="D45">
        <v>3.18</v>
      </c>
      <c r="E45" s="9">
        <v>0.51</v>
      </c>
    </row>
    <row r="46" spans="2:5">
      <c r="B46" s="8" t="s">
        <v>78</v>
      </c>
      <c r="C46">
        <v>107</v>
      </c>
      <c r="D46">
        <v>57</v>
      </c>
      <c r="E46" s="9">
        <v>50</v>
      </c>
    </row>
    <row r="47" spans="2:5">
      <c r="B47" s="8" t="s">
        <v>79</v>
      </c>
      <c r="C47">
        <v>5.56</v>
      </c>
      <c r="D47">
        <v>5.41</v>
      </c>
      <c r="E47" s="9">
        <v>0.15</v>
      </c>
    </row>
    <row r="48" spans="2:5">
      <c r="B48" s="8" t="s">
        <v>62</v>
      </c>
      <c r="C48">
        <v>-0.04</v>
      </c>
      <c r="D48">
        <v>-0.03</v>
      </c>
      <c r="E48" s="9">
        <v>-0.01</v>
      </c>
    </row>
    <row r="49" spans="2:7">
      <c r="B49" s="8" t="s">
        <v>60</v>
      </c>
      <c r="C49">
        <v>5.37</v>
      </c>
      <c r="D49">
        <v>5.27</v>
      </c>
      <c r="E49" s="9">
        <v>0.09</v>
      </c>
    </row>
    <row r="50" spans="2:7" ht="15.75" thickBot="1">
      <c r="B50" s="10" t="s">
        <v>80</v>
      </c>
      <c r="C50" s="11">
        <v>0.11</v>
      </c>
      <c r="D50" s="11">
        <v>0.06</v>
      </c>
      <c r="E50" s="13">
        <v>0.05</v>
      </c>
    </row>
    <row r="51" spans="2:7">
      <c r="B51" s="5" t="s">
        <v>81</v>
      </c>
      <c r="C51" s="6" t="s">
        <v>56</v>
      </c>
      <c r="D51" s="6" t="s">
        <v>57</v>
      </c>
      <c r="E51" s="14" t="s">
        <v>82</v>
      </c>
    </row>
    <row r="52" spans="2:7">
      <c r="B52" s="8" t="s">
        <v>83</v>
      </c>
      <c r="C52">
        <v>125.4</v>
      </c>
      <c r="D52">
        <v>123.5</v>
      </c>
      <c r="E52" s="9">
        <v>4.5999999999999996</v>
      </c>
    </row>
    <row r="53" spans="2:7">
      <c r="B53" s="8" t="s">
        <v>84</v>
      </c>
      <c r="C53">
        <v>9.6</v>
      </c>
      <c r="D53">
        <v>4.8</v>
      </c>
      <c r="E53" s="9">
        <v>7.8</v>
      </c>
    </row>
    <row r="54" spans="2:7" ht="15.75" thickBot="1">
      <c r="B54" s="10" t="s">
        <v>85</v>
      </c>
      <c r="C54" s="37">
        <f>SQRT(C52^2+C53^2)</f>
        <v>125.76692729012665</v>
      </c>
      <c r="D54" s="37">
        <f>SQRT(D52^2+D53^2)</f>
        <v>123.59324415193575</v>
      </c>
      <c r="E54" s="13">
        <v>9</v>
      </c>
    </row>
    <row r="55" spans="2:7" ht="15.75" thickBot="1">
      <c r="B55" s="15" t="s">
        <v>86</v>
      </c>
      <c r="C55" s="16">
        <v>1.01</v>
      </c>
    </row>
    <row r="59" spans="2:7" ht="15.75" thickBot="1"/>
    <row r="60" spans="2:7" ht="60">
      <c r="B60" s="18" t="s">
        <v>87</v>
      </c>
      <c r="C60" s="23" t="s">
        <v>96</v>
      </c>
      <c r="D60" s="23" t="s">
        <v>97</v>
      </c>
      <c r="E60" s="23" t="s">
        <v>98</v>
      </c>
      <c r="F60" s="24" t="s">
        <v>99</v>
      </c>
    </row>
    <row r="61" spans="2:7">
      <c r="B61" s="8" t="s">
        <v>67</v>
      </c>
      <c r="C61">
        <v>9</v>
      </c>
      <c r="D61">
        <v>9</v>
      </c>
      <c r="E61">
        <v>-9</v>
      </c>
      <c r="F61" s="9">
        <v>1</v>
      </c>
    </row>
    <row r="62" spans="2:7">
      <c r="B62" s="8" t="s">
        <v>88</v>
      </c>
      <c r="C62">
        <v>4.5999999999999996</v>
      </c>
      <c r="D62">
        <v>2.2999999999999998</v>
      </c>
      <c r="E62">
        <v>-1.2</v>
      </c>
      <c r="F62" s="9">
        <v>0.2</v>
      </c>
      <c r="G62" s="38">
        <f>C62^2+C69^2</f>
        <v>82</v>
      </c>
    </row>
    <row r="63" spans="2:7">
      <c r="B63" s="8" t="s">
        <v>89</v>
      </c>
      <c r="C63">
        <v>3.9</v>
      </c>
      <c r="D63">
        <v>0.9</v>
      </c>
      <c r="E63">
        <v>-0.1</v>
      </c>
      <c r="F63" s="9">
        <v>0.1</v>
      </c>
    </row>
    <row r="64" spans="2:7">
      <c r="B64" s="8" t="s">
        <v>90</v>
      </c>
      <c r="C64">
        <v>2.6</v>
      </c>
      <c r="D64">
        <v>0.6</v>
      </c>
      <c r="E64">
        <v>-0.2</v>
      </c>
      <c r="F64" s="9">
        <v>0.1</v>
      </c>
    </row>
    <row r="65" spans="2:9">
      <c r="B65" s="8" t="s">
        <v>91</v>
      </c>
      <c r="C65">
        <v>1.3</v>
      </c>
      <c r="D65">
        <v>0.1</v>
      </c>
      <c r="E65">
        <v>0</v>
      </c>
      <c r="F65" s="9">
        <v>0</v>
      </c>
    </row>
    <row r="66" spans="2:9">
      <c r="B66" s="8" t="s">
        <v>92</v>
      </c>
      <c r="C66">
        <v>0.8</v>
      </c>
      <c r="D66">
        <v>0</v>
      </c>
      <c r="E66">
        <v>0</v>
      </c>
      <c r="F66" s="9">
        <v>0</v>
      </c>
    </row>
    <row r="67" spans="2:9">
      <c r="B67" s="8" t="s">
        <v>93</v>
      </c>
      <c r="C67">
        <v>2.8</v>
      </c>
      <c r="D67">
        <v>0.7</v>
      </c>
      <c r="E67">
        <v>-0.3</v>
      </c>
      <c r="F67" s="9">
        <v>0.1</v>
      </c>
    </row>
    <row r="68" spans="2:9">
      <c r="B68" s="8" t="s">
        <v>94</v>
      </c>
      <c r="C68">
        <v>2.5</v>
      </c>
      <c r="D68">
        <v>0</v>
      </c>
      <c r="E68">
        <v>0.4</v>
      </c>
      <c r="F68" s="9">
        <v>0</v>
      </c>
    </row>
    <row r="69" spans="2:9" ht="15.75" thickBot="1">
      <c r="B69" s="10" t="s">
        <v>95</v>
      </c>
      <c r="C69" s="11">
        <v>7.8</v>
      </c>
      <c r="D69" s="11">
        <v>6.8</v>
      </c>
      <c r="E69" s="11">
        <v>-4.2</v>
      </c>
      <c r="F69" s="13">
        <v>0.7</v>
      </c>
    </row>
    <row r="72" spans="2:9" ht="15.75" thickBot="1"/>
    <row r="73" spans="2:9">
      <c r="B73" s="18"/>
      <c r="C73" s="19"/>
      <c r="D73" s="19"/>
      <c r="E73" s="19"/>
      <c r="F73" s="19"/>
      <c r="G73" s="33" t="s">
        <v>113</v>
      </c>
      <c r="H73" s="33"/>
      <c r="I73" s="20"/>
    </row>
    <row r="74" spans="2:9" ht="90">
      <c r="B74" s="8" t="s">
        <v>100</v>
      </c>
      <c r="C74" t="s">
        <v>115</v>
      </c>
      <c r="D74" t="s">
        <v>112</v>
      </c>
      <c r="E74" t="s">
        <v>101</v>
      </c>
      <c r="F74" t="s">
        <v>102</v>
      </c>
      <c r="G74" t="s">
        <v>103</v>
      </c>
      <c r="H74" t="s">
        <v>104</v>
      </c>
      <c r="I74" s="25" t="s">
        <v>114</v>
      </c>
    </row>
    <row r="75" spans="2:9">
      <c r="B75" s="8" t="s">
        <v>105</v>
      </c>
      <c r="C75">
        <v>0.11</v>
      </c>
      <c r="D75">
        <v>0.11</v>
      </c>
      <c r="E75">
        <v>0.01</v>
      </c>
      <c r="F75">
        <v>22.2</v>
      </c>
      <c r="G75">
        <v>-0.2</v>
      </c>
      <c r="H75">
        <v>-0.9</v>
      </c>
      <c r="I75" s="9">
        <v>2.2000000000000002</v>
      </c>
    </row>
    <row r="76" spans="2:9" ht="39.75" customHeight="1">
      <c r="B76" s="8" t="s">
        <v>106</v>
      </c>
      <c r="C76">
        <v>0.59</v>
      </c>
      <c r="D76">
        <v>0.64</v>
      </c>
      <c r="E76">
        <v>-0.05</v>
      </c>
      <c r="F76">
        <v>21.59</v>
      </c>
      <c r="G76">
        <v>1.1000000000000001</v>
      </c>
      <c r="H76">
        <v>-1.4</v>
      </c>
      <c r="I76" s="9">
        <v>3.3</v>
      </c>
    </row>
    <row r="77" spans="2:9">
      <c r="B77" s="8" t="s">
        <v>107</v>
      </c>
      <c r="C77">
        <v>1.53</v>
      </c>
      <c r="D77">
        <v>1.43</v>
      </c>
      <c r="E77">
        <v>0.09</v>
      </c>
      <c r="F77">
        <v>29.48</v>
      </c>
      <c r="G77">
        <v>-2.8</v>
      </c>
      <c r="H77">
        <v>-1.7</v>
      </c>
      <c r="I77" s="9">
        <v>5.3</v>
      </c>
    </row>
    <row r="78" spans="2:9">
      <c r="B78" s="8" t="s">
        <v>108</v>
      </c>
      <c r="C78">
        <v>1.39</v>
      </c>
      <c r="D78">
        <v>1.51</v>
      </c>
      <c r="E78">
        <v>-0.12</v>
      </c>
      <c r="F78">
        <v>30.42</v>
      </c>
      <c r="G78">
        <v>3.6</v>
      </c>
      <c r="H78">
        <v>-2</v>
      </c>
      <c r="I78" s="9">
        <v>6.6</v>
      </c>
    </row>
    <row r="79" spans="2:9">
      <c r="B79" s="8" t="s">
        <v>109</v>
      </c>
      <c r="C79">
        <v>0.98</v>
      </c>
      <c r="D79">
        <v>0.91</v>
      </c>
      <c r="E79">
        <v>7.0000000000000007E-2</v>
      </c>
      <c r="F79">
        <v>27.84</v>
      </c>
      <c r="G79">
        <v>-2</v>
      </c>
      <c r="H79">
        <v>-2.1</v>
      </c>
      <c r="I79" s="9">
        <v>6.3</v>
      </c>
    </row>
    <row r="80" spans="2:9">
      <c r="B80" s="8" t="s">
        <v>110</v>
      </c>
      <c r="C80">
        <v>0.96</v>
      </c>
      <c r="D80">
        <v>0.82</v>
      </c>
      <c r="E80">
        <v>0.14000000000000001</v>
      </c>
      <c r="F80">
        <v>27.18</v>
      </c>
      <c r="G80">
        <v>-3.8</v>
      </c>
      <c r="H80">
        <v>-2.2000000000000002</v>
      </c>
      <c r="I80" s="9">
        <v>6.4</v>
      </c>
    </row>
    <row r="81" spans="2:9" ht="15.75" thickBot="1">
      <c r="B81" s="10" t="s">
        <v>111</v>
      </c>
      <c r="C81" s="11">
        <v>0.11</v>
      </c>
      <c r="D81" s="11">
        <v>0.06</v>
      </c>
      <c r="E81" s="11">
        <v>0.05</v>
      </c>
      <c r="F81" s="11">
        <v>4.72</v>
      </c>
      <c r="G81" s="11">
        <v>0.2</v>
      </c>
      <c r="H81" s="11">
        <v>0.5</v>
      </c>
      <c r="I81" s="13">
        <v>0.3</v>
      </c>
    </row>
  </sheetData>
  <mergeCells count="1">
    <mergeCell ref="G73:H7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0"/>
  <sheetViews>
    <sheetView topLeftCell="A31" zoomScale="90" zoomScaleNormal="90" workbookViewId="0">
      <selection activeCell="Q7" sqref="Q7"/>
    </sheetView>
  </sheetViews>
  <sheetFormatPr defaultRowHeight="15"/>
  <cols>
    <col min="1" max="1" width="2.85546875" customWidth="1"/>
    <col min="2" max="2" width="41.28515625" bestFit="1" customWidth="1"/>
    <col min="3" max="3" width="15.140625" bestFit="1" customWidth="1"/>
    <col min="4" max="4" width="13.85546875" bestFit="1" customWidth="1"/>
    <col min="5" max="5" width="18.42578125" bestFit="1" customWidth="1"/>
    <col min="6" max="6" width="12.140625" bestFit="1" customWidth="1"/>
    <col min="7" max="7" width="14.28515625" bestFit="1" customWidth="1"/>
    <col min="8" max="8" width="12.140625" bestFit="1" customWidth="1"/>
    <col min="9" max="9" width="17.85546875" bestFit="1" customWidth="1"/>
    <col min="10" max="11" width="12.140625" bestFit="1" customWidth="1"/>
    <col min="12" max="12" width="9.5703125" bestFit="1" customWidth="1"/>
    <col min="13" max="14" width="11.7109375" customWidth="1"/>
    <col min="15" max="15" width="24.5703125" bestFit="1" customWidth="1"/>
    <col min="16" max="17" width="12.140625" bestFit="1" customWidth="1"/>
    <col min="18" max="23" width="9.5703125" bestFit="1" customWidth="1"/>
    <col min="24" max="25" width="8.42578125" bestFit="1" customWidth="1"/>
    <col min="26" max="26" width="4.42578125" bestFit="1" customWidth="1"/>
    <col min="28" max="28" width="24.5703125" bestFit="1" customWidth="1"/>
    <col min="29" max="36" width="9.5703125" bestFit="1" customWidth="1"/>
    <col min="37" max="38" width="8.42578125" bestFit="1" customWidth="1"/>
    <col min="39" max="39" width="4.42578125" bestFit="1" customWidth="1"/>
  </cols>
  <sheetData>
    <row r="1" spans="1:17" ht="33.75">
      <c r="A1" s="31" t="s">
        <v>134</v>
      </c>
    </row>
    <row r="2" spans="1:17">
      <c r="B2" t="s">
        <v>117</v>
      </c>
    </row>
    <row r="3" spans="1:17">
      <c r="B3" t="s">
        <v>116</v>
      </c>
      <c r="C3">
        <v>0</v>
      </c>
      <c r="D3">
        <v>0.5</v>
      </c>
      <c r="E3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O3">
        <v>4.5</v>
      </c>
      <c r="P3">
        <v>5</v>
      </c>
      <c r="Q3">
        <v>5.5</v>
      </c>
    </row>
    <row r="4" spans="1:17">
      <c r="B4" t="s">
        <v>123</v>
      </c>
      <c r="C4" s="29">
        <v>0.125</v>
      </c>
      <c r="D4" s="29">
        <v>0.125</v>
      </c>
      <c r="E4" s="29">
        <v>0.12</v>
      </c>
      <c r="F4" s="29">
        <v>0.12</v>
      </c>
      <c r="G4" s="29">
        <v>0.12</v>
      </c>
      <c r="H4" s="29">
        <v>0.12</v>
      </c>
      <c r="I4" s="29">
        <v>0.12</v>
      </c>
      <c r="J4" s="29">
        <v>0.12</v>
      </c>
      <c r="K4" s="29">
        <v>0.12</v>
      </c>
      <c r="L4" s="29"/>
      <c r="M4" s="29"/>
      <c r="N4" s="29"/>
      <c r="O4" s="29">
        <v>0.12</v>
      </c>
      <c r="P4" s="29">
        <v>0.12</v>
      </c>
      <c r="Q4" s="29">
        <v>0.12</v>
      </c>
    </row>
    <row r="5" spans="1:17">
      <c r="A5">
        <v>1</v>
      </c>
      <c r="B5" t="s">
        <v>121</v>
      </c>
      <c r="D5" s="39">
        <f t="shared" ref="D5:K5" si="0">$C$19*$C$23/2</f>
        <v>551266.375</v>
      </c>
      <c r="E5" s="39">
        <f t="shared" si="0"/>
        <v>551266.375</v>
      </c>
      <c r="F5" s="39">
        <f t="shared" si="0"/>
        <v>551266.375</v>
      </c>
      <c r="G5" s="39">
        <f t="shared" si="0"/>
        <v>551266.375</v>
      </c>
      <c r="H5" s="39">
        <f t="shared" si="0"/>
        <v>551266.375</v>
      </c>
      <c r="I5" s="39">
        <f t="shared" si="0"/>
        <v>551266.375</v>
      </c>
      <c r="J5" s="39">
        <f t="shared" si="0"/>
        <v>551266.375</v>
      </c>
      <c r="K5" s="39">
        <f t="shared" si="0"/>
        <v>551266.375</v>
      </c>
      <c r="L5" s="28"/>
      <c r="M5" s="28"/>
      <c r="N5" s="28"/>
      <c r="O5" s="39">
        <f>$C$19*$C$23/2</f>
        <v>551266.375</v>
      </c>
      <c r="P5" s="39">
        <f>$C$19*$C$23/2</f>
        <v>551266.375</v>
      </c>
      <c r="Q5" s="39">
        <f>$C$19*$C$23/2</f>
        <v>551266.375</v>
      </c>
    </row>
    <row r="6" spans="1:17" ht="30">
      <c r="A6">
        <v>1</v>
      </c>
      <c r="B6" s="17" t="s">
        <v>122</v>
      </c>
      <c r="D6" s="40">
        <f>D$5*(1+D$4/2)^(($C$22-D$3)*2)-D$5</f>
        <v>459500.24305803364</v>
      </c>
      <c r="E6" s="40">
        <f t="shared" ref="E6:K6" si="1">E5*(1+E4/2)^(($C$22-E3)*2)-E5</f>
        <v>380086.56636818813</v>
      </c>
      <c r="F6" s="40">
        <f t="shared" si="1"/>
        <v>327368.47534734732</v>
      </c>
      <c r="G6" s="40">
        <f t="shared" si="1"/>
        <v>277634.42721447861</v>
      </c>
      <c r="H6" s="40">
        <f t="shared" si="1"/>
        <v>230715.51388158347</v>
      </c>
      <c r="I6" s="40">
        <f t="shared" si="1"/>
        <v>186452.38809583348</v>
      </c>
      <c r="J6" s="40">
        <f t="shared" si="1"/>
        <v>144694.72226022021</v>
      </c>
      <c r="K6" s="40">
        <f t="shared" si="1"/>
        <v>105300.69788700016</v>
      </c>
      <c r="L6" s="26"/>
      <c r="M6" s="26"/>
      <c r="N6" s="26"/>
      <c r="O6" s="40">
        <f>O5*(1+O4/2)^(($C$22-O3)*2)-O5</f>
        <v>68136.523950000061</v>
      </c>
      <c r="P6" s="40">
        <f>P5*(1+P4/2)^(($C$22-P3)*2)-P5</f>
        <v>33075.982500000042</v>
      </c>
      <c r="Q6" s="40">
        <f>Q5*(1+Q4/2)^(($C$22-Q3)*2)-Q5</f>
        <v>0</v>
      </c>
    </row>
    <row r="7" spans="1:17">
      <c r="A7">
        <v>2</v>
      </c>
      <c r="B7" t="s">
        <v>127</v>
      </c>
      <c r="Q7" s="40">
        <f>-PV(Q4/2, (15-5.5)*2, D19*D23/2, D19)</f>
        <v>9066305.7772078272</v>
      </c>
    </row>
    <row r="8" spans="1:17">
      <c r="A8">
        <v>2</v>
      </c>
      <c r="B8" t="s">
        <v>121</v>
      </c>
      <c r="D8" s="39">
        <f t="shared" ref="D8:K8" si="2">$D$19*$D$23/2</f>
        <v>551266.375</v>
      </c>
      <c r="E8" s="39">
        <f t="shared" si="2"/>
        <v>551266.375</v>
      </c>
      <c r="F8" s="39">
        <f t="shared" si="2"/>
        <v>551266.375</v>
      </c>
      <c r="G8" s="39">
        <f t="shared" si="2"/>
        <v>551266.375</v>
      </c>
      <c r="H8" s="39">
        <f t="shared" si="2"/>
        <v>551266.375</v>
      </c>
      <c r="I8" s="39">
        <f t="shared" si="2"/>
        <v>551266.375</v>
      </c>
      <c r="J8" s="39">
        <f t="shared" si="2"/>
        <v>551266.375</v>
      </c>
      <c r="K8" s="39">
        <f t="shared" si="2"/>
        <v>551266.375</v>
      </c>
      <c r="L8" s="28"/>
      <c r="M8" s="28"/>
      <c r="N8" s="28"/>
      <c r="O8" s="39">
        <f>$D$19*$D$23/2</f>
        <v>551266.375</v>
      </c>
      <c r="P8" s="39">
        <f>$D$19*$D$23/2</f>
        <v>551266.375</v>
      </c>
      <c r="Q8" s="39">
        <f>$D$19*$D$23/2</f>
        <v>551266.375</v>
      </c>
    </row>
    <row r="9" spans="1:17" ht="30">
      <c r="A9">
        <v>2</v>
      </c>
      <c r="B9" s="17" t="s">
        <v>122</v>
      </c>
      <c r="D9" s="40">
        <f t="shared" ref="D9:K9" si="3">D$5*(1+D$4/2)^(($C$22-D$3)*2)-D$5</f>
        <v>459500.24305803364</v>
      </c>
      <c r="E9" s="40">
        <f t="shared" si="3"/>
        <v>380086.56636818813</v>
      </c>
      <c r="F9" s="40">
        <f t="shared" si="3"/>
        <v>327368.47534734732</v>
      </c>
      <c r="G9" s="40">
        <f t="shared" si="3"/>
        <v>277634.42721447861</v>
      </c>
      <c r="H9" s="40">
        <f t="shared" si="3"/>
        <v>230715.51388158347</v>
      </c>
      <c r="I9" s="40">
        <f t="shared" si="3"/>
        <v>186452.38809583348</v>
      </c>
      <c r="J9" s="40">
        <f t="shared" si="3"/>
        <v>144694.72226022021</v>
      </c>
      <c r="K9" s="40">
        <f t="shared" si="3"/>
        <v>105300.69788700016</v>
      </c>
      <c r="L9" s="26"/>
      <c r="M9" s="26"/>
      <c r="N9" s="26"/>
      <c r="O9" s="40">
        <f>O$5*(1+O$4/2)^(($C$22-O$3)*2)-O$5</f>
        <v>68136.523950000061</v>
      </c>
      <c r="P9" s="40">
        <f>P$5*(1+P$4/2)^(($C$22-P$3)*2)-P$5</f>
        <v>33075.982500000042</v>
      </c>
      <c r="Q9" s="40">
        <f>Q$5*(1+Q$4/2)^(($C$22-Q$3)*2)-Q$5</f>
        <v>0</v>
      </c>
    </row>
    <row r="10" spans="1:17">
      <c r="A10">
        <v>3</v>
      </c>
      <c r="B10" t="s">
        <v>129</v>
      </c>
      <c r="D10" s="39">
        <f>E19+E19*E23/2</f>
        <v>9371528.375</v>
      </c>
    </row>
    <row r="11" spans="1:17">
      <c r="A11">
        <v>3</v>
      </c>
      <c r="B11" t="s">
        <v>130</v>
      </c>
      <c r="Q11" s="41">
        <f>D10*(1+D4/2)^10</f>
        <v>17183032.506986573</v>
      </c>
    </row>
    <row r="12" spans="1:17">
      <c r="A12">
        <v>4</v>
      </c>
      <c r="B12" t="s">
        <v>127</v>
      </c>
      <c r="Q12" s="40">
        <f>-PV(Q4/2,(F22-5.5)*2,F19*F21/2, F19)</f>
        <v>9605090.8951032143</v>
      </c>
    </row>
    <row r="13" spans="1:17">
      <c r="A13">
        <v>4</v>
      </c>
      <c r="B13" t="s">
        <v>121</v>
      </c>
      <c r="D13" s="41">
        <f>$F$19*$F$21/2</f>
        <v>506250.00000000006</v>
      </c>
      <c r="E13" s="41">
        <f t="shared" ref="E13:Q13" si="4">$F$19*$F$21/2</f>
        <v>506250.00000000006</v>
      </c>
      <c r="F13" s="41">
        <f t="shared" si="4"/>
        <v>506250.00000000006</v>
      </c>
      <c r="G13" s="41">
        <f t="shared" si="4"/>
        <v>506250.00000000006</v>
      </c>
      <c r="H13" s="41">
        <f t="shared" si="4"/>
        <v>506250.00000000006</v>
      </c>
      <c r="I13" s="41">
        <f t="shared" si="4"/>
        <v>506250.00000000006</v>
      </c>
      <c r="J13" s="41">
        <f t="shared" si="4"/>
        <v>506250.00000000006</v>
      </c>
      <c r="K13" s="41">
        <f t="shared" si="4"/>
        <v>506250.00000000006</v>
      </c>
      <c r="L13" s="27"/>
      <c r="M13" s="27"/>
      <c r="N13" s="27"/>
      <c r="O13" s="41">
        <f>$F$19*$F$21/2</f>
        <v>506250.00000000006</v>
      </c>
      <c r="P13" s="41">
        <f t="shared" si="4"/>
        <v>506250.00000000006</v>
      </c>
      <c r="Q13" s="41">
        <f t="shared" si="4"/>
        <v>506250.00000000006</v>
      </c>
    </row>
    <row r="14" spans="1:17" ht="30">
      <c r="A14">
        <v>4</v>
      </c>
      <c r="B14" s="17" t="s">
        <v>122</v>
      </c>
      <c r="D14" s="42">
        <f>D$13*(1+D$4/2)^(($C$22-D$3)*2)-D$13</f>
        <v>421977.48420285847</v>
      </c>
      <c r="E14" s="42">
        <f t="shared" ref="E14:Q14" si="5">E$13*(1+E$4/2)^(($C$22-E$3)*2)-E$13</f>
        <v>349048.72299511329</v>
      </c>
      <c r="F14" s="42">
        <f t="shared" si="5"/>
        <v>300635.58773123898</v>
      </c>
      <c r="G14" s="42">
        <f t="shared" si="5"/>
        <v>254962.81861437642</v>
      </c>
      <c r="H14" s="42">
        <f t="shared" si="5"/>
        <v>211875.30057960033</v>
      </c>
      <c r="I14" s="42">
        <f t="shared" si="5"/>
        <v>171226.69866000029</v>
      </c>
      <c r="J14" s="42">
        <f t="shared" si="5"/>
        <v>132878.96100000018</v>
      </c>
      <c r="K14" s="42">
        <f t="shared" si="5"/>
        <v>96701.850000000151</v>
      </c>
      <c r="L14" s="30"/>
      <c r="M14" s="30"/>
      <c r="N14" s="30"/>
      <c r="O14" s="42">
        <f t="shared" si="5"/>
        <v>62572.500000000058</v>
      </c>
      <c r="P14" s="42">
        <f t="shared" si="5"/>
        <v>30375.000000000058</v>
      </c>
      <c r="Q14" s="42">
        <f t="shared" si="5"/>
        <v>0</v>
      </c>
    </row>
    <row r="18" spans="2:6">
      <c r="B18" t="s">
        <v>128</v>
      </c>
      <c r="C18">
        <v>1</v>
      </c>
      <c r="D18">
        <v>2</v>
      </c>
      <c r="E18">
        <v>3</v>
      </c>
      <c r="F18">
        <v>4</v>
      </c>
    </row>
    <row r="19" spans="2:6">
      <c r="B19" t="s">
        <v>133</v>
      </c>
      <c r="C19" s="40">
        <f>8820262</f>
        <v>8820262</v>
      </c>
      <c r="D19" s="40">
        <f>8820262</f>
        <v>8820262</v>
      </c>
      <c r="E19" s="40">
        <f>8820262</f>
        <v>8820262</v>
      </c>
      <c r="F19" s="26">
        <v>10000000</v>
      </c>
    </row>
    <row r="20" spans="2:6">
      <c r="B20" t="s">
        <v>131</v>
      </c>
      <c r="C20">
        <v>100</v>
      </c>
      <c r="D20">
        <v>100</v>
      </c>
      <c r="E20">
        <v>100</v>
      </c>
      <c r="F20">
        <v>88.202619999999996</v>
      </c>
    </row>
    <row r="21" spans="2:6">
      <c r="B21" t="s">
        <v>132</v>
      </c>
      <c r="C21">
        <v>0.125</v>
      </c>
      <c r="D21">
        <v>0.125</v>
      </c>
      <c r="E21">
        <v>0.125</v>
      </c>
      <c r="F21">
        <v>0.10125000000000001</v>
      </c>
    </row>
    <row r="22" spans="2:6">
      <c r="B22" t="s">
        <v>118</v>
      </c>
      <c r="C22">
        <v>5.5</v>
      </c>
      <c r="D22">
        <v>15</v>
      </c>
      <c r="E22">
        <v>0.5</v>
      </c>
      <c r="F22">
        <v>8</v>
      </c>
    </row>
    <row r="23" spans="2:6">
      <c r="B23" t="s">
        <v>119</v>
      </c>
      <c r="C23">
        <v>0.125</v>
      </c>
      <c r="D23">
        <v>0.125</v>
      </c>
      <c r="E23">
        <v>0.125</v>
      </c>
      <c r="F23">
        <v>0.125</v>
      </c>
    </row>
    <row r="24" spans="2:6">
      <c r="B24" t="s">
        <v>120</v>
      </c>
      <c r="C24" s="43">
        <f>C19*C23/2*11</f>
        <v>6063930.125</v>
      </c>
      <c r="D24" s="43">
        <f>D19*D23/2*11</f>
        <v>6063930.125</v>
      </c>
      <c r="F24" s="41">
        <f>SUM(D13:Q13)</f>
        <v>5568750.0000000009</v>
      </c>
    </row>
    <row r="25" spans="2:6">
      <c r="B25" t="s">
        <v>124</v>
      </c>
      <c r="C25" s="41">
        <f>SUM(D6:Q6)</f>
        <v>2212965.5405626856</v>
      </c>
      <c r="D25" s="41">
        <f>SUM(D9:Q9)</f>
        <v>2212965.5405626856</v>
      </c>
      <c r="F25" s="43">
        <f>SUM(D14:Q14)</f>
        <v>2032254.923783188</v>
      </c>
    </row>
    <row r="26" spans="2:6">
      <c r="B26" t="s">
        <v>125</v>
      </c>
      <c r="C26" s="41">
        <f>C19+C24+C25</f>
        <v>17097157.665562686</v>
      </c>
      <c r="D26" s="41">
        <f>Q7+D24+D25</f>
        <v>17343201.442770511</v>
      </c>
      <c r="E26" s="41">
        <f>Q11</f>
        <v>17183032.506986573</v>
      </c>
      <c r="F26" s="41">
        <f>SUM(Q12+F24+F25)</f>
        <v>17206095.818886403</v>
      </c>
    </row>
    <row r="27" spans="2:6">
      <c r="B27" t="s">
        <v>126</v>
      </c>
      <c r="C27" s="44">
        <f>2 * ( (C26/C19)^(1/11)-1)</f>
        <v>0.1240323440344766</v>
      </c>
      <c r="D27" s="44">
        <f>2 * ( (D26/D19)^(1/11)-1)</f>
        <v>0.1267931293178699</v>
      </c>
      <c r="E27" s="44">
        <f>2 * ( (E26/E19)^(1/11)-1)</f>
        <v>0.125</v>
      </c>
      <c r="F27" s="44">
        <f>2 * ( (F26/F19/F20*100)^(1/11)-1)</f>
        <v>0.12525913334029593</v>
      </c>
    </row>
    <row r="46" spans="1:1" ht="33.75">
      <c r="A46" s="31" t="s">
        <v>135</v>
      </c>
    </row>
    <row r="49" spans="2:39">
      <c r="B49" t="s">
        <v>137</v>
      </c>
      <c r="C49" s="26">
        <v>8820262</v>
      </c>
      <c r="D49" s="26">
        <v>10000000</v>
      </c>
    </row>
    <row r="50" spans="2:39">
      <c r="B50" t="s">
        <v>138</v>
      </c>
      <c r="C50">
        <v>100</v>
      </c>
      <c r="D50">
        <v>88.202650000000006</v>
      </c>
    </row>
    <row r="51" spans="2:39">
      <c r="B51" t="s">
        <v>132</v>
      </c>
      <c r="C51">
        <v>0.125</v>
      </c>
      <c r="D51">
        <v>0.10125000000000001</v>
      </c>
    </row>
    <row r="52" spans="2:39">
      <c r="B52" t="s">
        <v>139</v>
      </c>
      <c r="C52">
        <v>0.125</v>
      </c>
      <c r="D52">
        <v>0.125</v>
      </c>
    </row>
    <row r="53" spans="2:39">
      <c r="B53" t="s">
        <v>146</v>
      </c>
      <c r="C53">
        <v>15</v>
      </c>
      <c r="D53">
        <v>8</v>
      </c>
    </row>
    <row r="54" spans="2:39">
      <c r="B54" t="s">
        <v>148</v>
      </c>
      <c r="C54" s="26">
        <v>17183033</v>
      </c>
      <c r="D54" s="26">
        <v>17183033</v>
      </c>
    </row>
    <row r="56" spans="2:39">
      <c r="C56" t="s">
        <v>140</v>
      </c>
      <c r="E56" t="s">
        <v>141</v>
      </c>
      <c r="G56" t="s">
        <v>145</v>
      </c>
      <c r="I56" t="s">
        <v>147</v>
      </c>
      <c r="K56" t="s">
        <v>149</v>
      </c>
      <c r="O56" t="s">
        <v>143</v>
      </c>
      <c r="AB56" t="s">
        <v>144</v>
      </c>
    </row>
    <row r="57" spans="2:39">
      <c r="B57" t="s">
        <v>136</v>
      </c>
      <c r="C57">
        <v>1</v>
      </c>
      <c r="D57">
        <v>2</v>
      </c>
      <c r="E57">
        <v>1</v>
      </c>
      <c r="F57">
        <v>2</v>
      </c>
      <c r="G57">
        <v>1</v>
      </c>
      <c r="H57">
        <v>2</v>
      </c>
      <c r="I57">
        <v>1</v>
      </c>
      <c r="J57">
        <v>2</v>
      </c>
      <c r="K57">
        <v>1</v>
      </c>
      <c r="L57">
        <v>2</v>
      </c>
      <c r="O57" t="s">
        <v>142</v>
      </c>
      <c r="P57">
        <v>0.5</v>
      </c>
      <c r="Q57">
        <v>1</v>
      </c>
      <c r="R57">
        <v>1.5</v>
      </c>
      <c r="S57">
        <v>2</v>
      </c>
      <c r="T57">
        <v>2.5</v>
      </c>
      <c r="U57">
        <v>3</v>
      </c>
      <c r="V57">
        <v>3.5</v>
      </c>
      <c r="W57">
        <v>4</v>
      </c>
      <c r="X57">
        <v>4.5</v>
      </c>
      <c r="Y57">
        <v>5</v>
      </c>
      <c r="Z57">
        <v>5.5</v>
      </c>
      <c r="AB57" t="s">
        <v>142</v>
      </c>
      <c r="AC57">
        <v>0.5</v>
      </c>
      <c r="AD57">
        <v>1</v>
      </c>
      <c r="AE57">
        <v>1.5</v>
      </c>
      <c r="AF57">
        <v>2</v>
      </c>
      <c r="AG57">
        <v>2.5</v>
      </c>
      <c r="AH57">
        <v>3</v>
      </c>
      <c r="AI57">
        <v>3.5</v>
      </c>
      <c r="AJ57">
        <v>4</v>
      </c>
      <c r="AK57">
        <v>4.5</v>
      </c>
      <c r="AL57">
        <v>5</v>
      </c>
      <c r="AM57">
        <v>5.5</v>
      </c>
    </row>
    <row r="58" spans="2:39">
      <c r="B58">
        <v>0.16</v>
      </c>
      <c r="C58" s="43">
        <f>C$49*C$51/2*11</f>
        <v>6063930.125</v>
      </c>
      <c r="D58" s="43">
        <f>D$49*D$51/2*11</f>
        <v>5568750.0000000009</v>
      </c>
      <c r="E58" s="41">
        <f>SUM(P58:Z58)</f>
        <v>3112167.4089366319</v>
      </c>
      <c r="F58" s="41">
        <f>SUM(AC58:AM58)</f>
        <v>2858028.0282362043</v>
      </c>
      <c r="G58" s="40">
        <f>-PV($B58/2,(C$53-5.5)*2,C$49*C$51/2,C$49)</f>
        <v>7337902.4309706856</v>
      </c>
      <c r="H58" s="40">
        <f>-PV($B58/2,(D$53-5.5)*2,D$49*D$51/2,D$49)</f>
        <v>8827141.426608311</v>
      </c>
      <c r="I58" s="43">
        <f>C58+E58+G58</f>
        <v>16513999.964907316</v>
      </c>
      <c r="J58" s="43">
        <f>D58+F58+H58</f>
        <v>17253919.454844516</v>
      </c>
      <c r="K58" s="43">
        <f>I58-C$54</f>
        <v>-669033.03509268351</v>
      </c>
      <c r="L58" s="43">
        <f>J58-D$54</f>
        <v>70886.454844515771</v>
      </c>
      <c r="P58" s="40">
        <f>$C$49*$C$51/2 * (  (1+$B58/2)^((5.5-P$57)*2)  - 1)</f>
        <v>638876.38214345463</v>
      </c>
      <c r="Q58" s="40">
        <f t="shared" ref="Q58:Z73" si="6">$C$49*$C$51/2 * (  (1+$B58/2)^((5.5-Q$57)*2)  - 1)</f>
        <v>550717.6593920876</v>
      </c>
      <c r="R58" s="40">
        <f t="shared" si="6"/>
        <v>469089.21240008099</v>
      </c>
      <c r="S58" s="40">
        <f t="shared" si="6"/>
        <v>393507.31703711202</v>
      </c>
      <c r="T58" s="40">
        <f t="shared" si="6"/>
        <v>323524.08058991854</v>
      </c>
      <c r="U58" s="40">
        <f t="shared" si="6"/>
        <v>258724.78758325777</v>
      </c>
      <c r="V58" s="40">
        <f t="shared" si="6"/>
        <v>198725.44220672018</v>
      </c>
      <c r="W58" s="40">
        <f t="shared" si="6"/>
        <v>143170.49278400009</v>
      </c>
      <c r="X58" s="40">
        <f t="shared" si="6"/>
        <v>91730.724800000055</v>
      </c>
      <c r="Y58" s="40">
        <f t="shared" si="6"/>
        <v>44101.310000000041</v>
      </c>
      <c r="Z58" s="40">
        <f t="shared" si="6"/>
        <v>0</v>
      </c>
      <c r="AC58" s="40">
        <f>$D$49*$D$51/2 * (  (1+$B58/2)^((5.5-AC$57)*2)  - 1)</f>
        <v>586705.77986934886</v>
      </c>
      <c r="AD58" s="40">
        <f t="shared" ref="AD58:AM73" si="7">$D$49*$D$51/2 * (  (1+$B58/2)^((5.5-AD$57)*2)  - 1)</f>
        <v>505746.09247161931</v>
      </c>
      <c r="AE58" s="40">
        <f t="shared" si="7"/>
        <v>430783.41895520297</v>
      </c>
      <c r="AF58" s="40">
        <f t="shared" si="7"/>
        <v>361373.53606963239</v>
      </c>
      <c r="AG58" s="40">
        <f t="shared" si="7"/>
        <v>297105.12599040032</v>
      </c>
      <c r="AH58" s="40">
        <f t="shared" si="7"/>
        <v>237597.3388800002</v>
      </c>
      <c r="AI58" s="40">
        <f t="shared" si="7"/>
        <v>182497.53600000017</v>
      </c>
      <c r="AJ58" s="40">
        <f t="shared" si="7"/>
        <v>131479.2000000001</v>
      </c>
      <c r="AK58" s="40">
        <f t="shared" si="7"/>
        <v>84240.000000000058</v>
      </c>
      <c r="AL58" s="40">
        <f t="shared" si="7"/>
        <v>40500.000000000044</v>
      </c>
      <c r="AM58" s="40">
        <f t="shared" si="7"/>
        <v>0</v>
      </c>
    </row>
    <row r="59" spans="2:39">
      <c r="B59">
        <v>0.155</v>
      </c>
      <c r="C59" s="43">
        <f t="shared" ref="C59:D80" si="8">C$49*C$51/2*11</f>
        <v>6063930.125</v>
      </c>
      <c r="D59" s="43">
        <f t="shared" si="8"/>
        <v>5568750.0000000009</v>
      </c>
      <c r="E59" s="41">
        <f t="shared" ref="E59:E80" si="9">SUM(P59:Z59)</f>
        <v>2990715.8806826454</v>
      </c>
      <c r="F59" s="41">
        <f t="shared" ref="F59:F80" si="10">SUM(AC59:AM59)</f>
        <v>2746494.2235876252</v>
      </c>
      <c r="G59" s="40">
        <f t="shared" ref="G59:G80" si="11">-PV($B59/2,(C$53-5.5)*2,C$49*C$51/2,C$49)</f>
        <v>7526488.1231801817</v>
      </c>
      <c r="H59" s="40">
        <f t="shared" ref="H59:H80" si="12">-PV($B59/2,(D$53-5.5)*2,D$49*D$51/2,D$49)</f>
        <v>8919851.5005146619</v>
      </c>
      <c r="I59" s="43">
        <f t="shared" ref="I59:I80" si="13">C59+E59+G59</f>
        <v>16581134.128862828</v>
      </c>
      <c r="J59" s="43">
        <f t="shared" ref="J59:J80" si="14">D59+F59+H59</f>
        <v>17235095.724102288</v>
      </c>
      <c r="K59" s="43">
        <f t="shared" ref="K59:K80" si="15">I59-C$54</f>
        <v>-601898.87113717198</v>
      </c>
      <c r="L59" s="43">
        <f t="shared" ref="L59:L80" si="16">J59-D$54</f>
        <v>52062.724102288485</v>
      </c>
      <c r="P59" s="40">
        <f t="shared" ref="P59:Z80" si="17">$C$49*$C$51/2 * (  (1+$B59/2)^((5.5-P$57)*2)  - 1)</f>
        <v>611611.9919980549</v>
      </c>
      <c r="Q59" s="40">
        <f t="shared" si="6"/>
        <v>527971.08857128082</v>
      </c>
      <c r="R59" s="40">
        <f t="shared" si="6"/>
        <v>450346.12019376416</v>
      </c>
      <c r="S59" s="40">
        <f t="shared" si="6"/>
        <v>378304.38620070933</v>
      </c>
      <c r="T59" s="40">
        <f t="shared" si="6"/>
        <v>311444.30824891827</v>
      </c>
      <c r="U59" s="40">
        <f t="shared" si="6"/>
        <v>249393.19182034183</v>
      </c>
      <c r="V59" s="40">
        <f t="shared" si="6"/>
        <v>191805.14873117572</v>
      </c>
      <c r="W59" s="40">
        <f t="shared" si="6"/>
        <v>138359.16906605649</v>
      </c>
      <c r="X59" s="40">
        <f t="shared" si="6"/>
        <v>88757.331789843636</v>
      </c>
      <c r="Y59" s="40">
        <f t="shared" si="6"/>
        <v>42723.144062499945</v>
      </c>
      <c r="Z59" s="40">
        <f t="shared" si="6"/>
        <v>0</v>
      </c>
      <c r="AC59" s="40">
        <f t="shared" ref="AC59:AM80" si="18">$D$49*$D$51/2 * (  (1+$B59/2)^((5.5-AC$57)*2)  - 1)</f>
        <v>561667.79798426002</v>
      </c>
      <c r="AD59" s="40">
        <f t="shared" si="7"/>
        <v>484857.00508980063</v>
      </c>
      <c r="AE59" s="40">
        <f t="shared" si="7"/>
        <v>413570.8863942466</v>
      </c>
      <c r="AF59" s="40">
        <f t="shared" si="7"/>
        <v>347412.07553990412</v>
      </c>
      <c r="AG59" s="40">
        <f t="shared" si="7"/>
        <v>286011.78704399464</v>
      </c>
      <c r="AH59" s="40">
        <f t="shared" si="7"/>
        <v>229027.76059767487</v>
      </c>
      <c r="AI59" s="40">
        <f t="shared" si="7"/>
        <v>176142.35322290013</v>
      </c>
      <c r="AJ59" s="40">
        <f t="shared" si="7"/>
        <v>127060.76865234363</v>
      </c>
      <c r="AK59" s="40">
        <f t="shared" si="7"/>
        <v>81509.414062499913</v>
      </c>
      <c r="AL59" s="40">
        <f t="shared" si="7"/>
        <v>39234.374999999956</v>
      </c>
      <c r="AM59" s="40">
        <f t="shared" si="7"/>
        <v>0</v>
      </c>
    </row>
    <row r="60" spans="2:39">
      <c r="B60">
        <v>0.15</v>
      </c>
      <c r="C60" s="43">
        <f t="shared" si="8"/>
        <v>6063930.125</v>
      </c>
      <c r="D60" s="43">
        <f t="shared" si="8"/>
        <v>5568750.0000000009</v>
      </c>
      <c r="E60" s="41">
        <f t="shared" si="9"/>
        <v>2871060.9135034983</v>
      </c>
      <c r="F60" s="41">
        <f t="shared" si="10"/>
        <v>2636610.2729576896</v>
      </c>
      <c r="G60" s="40">
        <f t="shared" si="11"/>
        <v>7722241.0112416325</v>
      </c>
      <c r="H60" s="40">
        <f t="shared" si="12"/>
        <v>9013815.5551378783</v>
      </c>
      <c r="I60" s="43">
        <f t="shared" si="13"/>
        <v>16657232.049745131</v>
      </c>
      <c r="J60" s="43">
        <f t="shared" si="14"/>
        <v>17219175.82809557</v>
      </c>
      <c r="K60" s="43">
        <f t="shared" si="15"/>
        <v>-525800.95025486872</v>
      </c>
      <c r="L60" s="43">
        <f t="shared" si="16"/>
        <v>36142.828095570207</v>
      </c>
      <c r="P60" s="40">
        <f t="shared" si="17"/>
        <v>584911.02303512744</v>
      </c>
      <c r="Q60" s="40">
        <f t="shared" si="6"/>
        <v>505642.83247453737</v>
      </c>
      <c r="R60" s="40">
        <f t="shared" si="6"/>
        <v>431904.98079026729</v>
      </c>
      <c r="S60" s="40">
        <f t="shared" si="6"/>
        <v>363311.6303862952</v>
      </c>
      <c r="T60" s="40">
        <f t="shared" si="6"/>
        <v>299503.86256864667</v>
      </c>
      <c r="U60" s="40">
        <f t="shared" si="6"/>
        <v>240147.79948246208</v>
      </c>
      <c r="V60" s="40">
        <f t="shared" si="6"/>
        <v>184932.85707670893</v>
      </c>
      <c r="W60" s="40">
        <f t="shared" si="6"/>
        <v>133570.11995507806</v>
      </c>
      <c r="X60" s="40">
        <f t="shared" si="6"/>
        <v>85790.829609374952</v>
      </c>
      <c r="Y60" s="40">
        <f t="shared" si="6"/>
        <v>41344.978124999972</v>
      </c>
      <c r="Z60" s="40">
        <f t="shared" si="6"/>
        <v>0</v>
      </c>
      <c r="AC60" s="40">
        <f t="shared" si="18"/>
        <v>537147.22834588506</v>
      </c>
      <c r="AD60" s="40">
        <f t="shared" si="7"/>
        <v>464352.07287989324</v>
      </c>
      <c r="AE60" s="40">
        <f t="shared" si="7"/>
        <v>396635.64919059834</v>
      </c>
      <c r="AF60" s="40">
        <f t="shared" si="7"/>
        <v>333643.62715404504</v>
      </c>
      <c r="AG60" s="40">
        <f t="shared" si="7"/>
        <v>275046.39735259995</v>
      </c>
      <c r="AH60" s="40">
        <f t="shared" si="7"/>
        <v>220537.34637451169</v>
      </c>
      <c r="AI60" s="40">
        <f t="shared" si="7"/>
        <v>169831.25244140622</v>
      </c>
      <c r="AJ60" s="40">
        <f t="shared" si="7"/>
        <v>122662.79296874994</v>
      </c>
      <c r="AK60" s="40">
        <f t="shared" si="7"/>
        <v>78785.156249999956</v>
      </c>
      <c r="AL60" s="40">
        <f t="shared" si="7"/>
        <v>37968.749999999985</v>
      </c>
      <c r="AM60" s="40">
        <f t="shared" si="7"/>
        <v>0</v>
      </c>
    </row>
    <row r="61" spans="2:39">
      <c r="B61">
        <v>0.14499999999999999</v>
      </c>
      <c r="C61" s="43">
        <f t="shared" si="8"/>
        <v>6063930.125</v>
      </c>
      <c r="D61" s="43">
        <f t="shared" si="8"/>
        <v>5568750.0000000009</v>
      </c>
      <c r="E61" s="41">
        <f t="shared" si="9"/>
        <v>2753176.6197503582</v>
      </c>
      <c r="F61" s="41">
        <f t="shared" si="10"/>
        <v>2528352.4026812254</v>
      </c>
      <c r="G61" s="40">
        <f t="shared" si="11"/>
        <v>7925480.6015965855</v>
      </c>
      <c r="H61" s="40">
        <f t="shared" si="12"/>
        <v>9109053.7817602847</v>
      </c>
      <c r="I61" s="43">
        <f t="shared" si="13"/>
        <v>16742587.346346945</v>
      </c>
      <c r="J61" s="43">
        <f t="shared" si="14"/>
        <v>17206156.184441511</v>
      </c>
      <c r="K61" s="43">
        <f t="shared" si="15"/>
        <v>-440445.65365305543</v>
      </c>
      <c r="L61" s="43">
        <f t="shared" si="16"/>
        <v>23123.184441510588</v>
      </c>
      <c r="P61" s="40">
        <f t="shared" si="17"/>
        <v>558763.10191785637</v>
      </c>
      <c r="Q61" s="40">
        <f t="shared" si="6"/>
        <v>483726.14427072863</v>
      </c>
      <c r="R61" s="40">
        <f t="shared" si="6"/>
        <v>413761.61499601736</v>
      </c>
      <c r="S61" s="40">
        <f t="shared" si="6"/>
        <v>348526.62266528414</v>
      </c>
      <c r="T61" s="40">
        <f t="shared" si="6"/>
        <v>287701.45499094098</v>
      </c>
      <c r="U61" s="40">
        <f t="shared" si="6"/>
        <v>230988.01193794035</v>
      </c>
      <c r="V61" s="40">
        <f t="shared" si="6"/>
        <v>178108.34475565536</v>
      </c>
      <c r="W61" s="40">
        <f t="shared" si="6"/>
        <v>128803.29376984174</v>
      </c>
      <c r="X61" s="40">
        <f t="shared" si="6"/>
        <v>82831.218258593741</v>
      </c>
      <c r="Y61" s="40">
        <f t="shared" si="6"/>
        <v>39966.812187500007</v>
      </c>
      <c r="Z61" s="40">
        <f t="shared" si="6"/>
        <v>0</v>
      </c>
      <c r="AC61" s="40">
        <f t="shared" si="18"/>
        <v>513134.54470339284</v>
      </c>
      <c r="AD61" s="40">
        <f t="shared" si="7"/>
        <v>444225.09995654353</v>
      </c>
      <c r="AE61" s="40">
        <f t="shared" si="7"/>
        <v>379973.86942335061</v>
      </c>
      <c r="AF61" s="40">
        <f t="shared" si="7"/>
        <v>320065.96216629416</v>
      </c>
      <c r="AG61" s="40">
        <f t="shared" si="7"/>
        <v>264207.7735816263</v>
      </c>
      <c r="AH61" s="40">
        <f t="shared" si="7"/>
        <v>212125.54646305487</v>
      </c>
      <c r="AI61" s="40">
        <f t="shared" si="7"/>
        <v>163564.02933618167</v>
      </c>
      <c r="AJ61" s="40">
        <f t="shared" si="7"/>
        <v>118285.22548828121</v>
      </c>
      <c r="AK61" s="40">
        <f t="shared" si="7"/>
        <v>76067.2265625</v>
      </c>
      <c r="AL61" s="40">
        <f t="shared" si="7"/>
        <v>36703.125000000007</v>
      </c>
      <c r="AM61" s="40">
        <f t="shared" si="7"/>
        <v>0</v>
      </c>
    </row>
    <row r="62" spans="2:39">
      <c r="B62">
        <v>0.14000000000000001</v>
      </c>
      <c r="C62" s="43">
        <f t="shared" si="8"/>
        <v>6063930.125</v>
      </c>
      <c r="D62" s="43">
        <f t="shared" si="8"/>
        <v>5568750.0000000009</v>
      </c>
      <c r="E62" s="41">
        <f t="shared" si="9"/>
        <v>2637037.455800042</v>
      </c>
      <c r="F62" s="41">
        <f t="shared" si="10"/>
        <v>2421697.1550255925</v>
      </c>
      <c r="G62" s="40">
        <f t="shared" si="11"/>
        <v>8136542.0652505904</v>
      </c>
      <c r="H62" s="40">
        <f t="shared" si="12"/>
        <v>9205586.7467851527</v>
      </c>
      <c r="I62" s="43">
        <f t="shared" si="13"/>
        <v>16837509.646050632</v>
      </c>
      <c r="J62" s="43">
        <f t="shared" si="14"/>
        <v>17196033.901810747</v>
      </c>
      <c r="K62" s="43">
        <f t="shared" si="15"/>
        <v>-345523.353949368</v>
      </c>
      <c r="L62" s="43">
        <f t="shared" si="16"/>
        <v>13000.90181074664</v>
      </c>
      <c r="P62" s="40">
        <f t="shared" si="17"/>
        <v>533158.02280934865</v>
      </c>
      <c r="Q62" s="40">
        <f t="shared" si="6"/>
        <v>462214.37061621377</v>
      </c>
      <c r="R62" s="40">
        <f t="shared" si="6"/>
        <v>395911.89193104079</v>
      </c>
      <c r="S62" s="40">
        <f t="shared" si="6"/>
        <v>333946.95858041197</v>
      </c>
      <c r="T62" s="40">
        <f t="shared" si="6"/>
        <v>276035.8059162728</v>
      </c>
      <c r="U62" s="40">
        <f t="shared" si="6"/>
        <v>221913.23333296529</v>
      </c>
      <c r="V62" s="40">
        <f t="shared" si="6"/>
        <v>171331.38979716375</v>
      </c>
      <c r="W62" s="40">
        <f t="shared" si="6"/>
        <v>124058.63882912506</v>
      </c>
      <c r="X62" s="40">
        <f t="shared" si="6"/>
        <v>79878.497737500016</v>
      </c>
      <c r="Y62" s="40">
        <f t="shared" si="6"/>
        <v>38588.646250000034</v>
      </c>
      <c r="Z62" s="40">
        <f t="shared" si="6"/>
        <v>0</v>
      </c>
      <c r="AC62" s="40">
        <f t="shared" si="18"/>
        <v>489620.37462784263</v>
      </c>
      <c r="AD62" s="40">
        <f t="shared" si="7"/>
        <v>424469.97628770344</v>
      </c>
      <c r="AE62" s="40">
        <f t="shared" si="7"/>
        <v>363581.75353990967</v>
      </c>
      <c r="AF62" s="40">
        <f t="shared" si="7"/>
        <v>306676.87246720534</v>
      </c>
      <c r="AG62" s="40">
        <f t="shared" si="7"/>
        <v>253494.74062355631</v>
      </c>
      <c r="AH62" s="40">
        <f t="shared" si="7"/>
        <v>203791.8136668751</v>
      </c>
      <c r="AI62" s="40">
        <f t="shared" si="7"/>
        <v>157340.48006250002</v>
      </c>
      <c r="AJ62" s="40">
        <f t="shared" si="7"/>
        <v>113928.01875000006</v>
      </c>
      <c r="AK62" s="40">
        <f t="shared" si="7"/>
        <v>73355.625000000029</v>
      </c>
      <c r="AL62" s="40">
        <f t="shared" si="7"/>
        <v>35437.500000000036</v>
      </c>
      <c r="AM62" s="40">
        <f t="shared" si="7"/>
        <v>0</v>
      </c>
    </row>
    <row r="63" spans="2:39">
      <c r="B63">
        <v>0.13500000000000001</v>
      </c>
      <c r="C63" s="43">
        <f t="shared" si="8"/>
        <v>6063930.125</v>
      </c>
      <c r="D63" s="43">
        <f t="shared" si="8"/>
        <v>5568750.0000000009</v>
      </c>
      <c r="E63" s="41">
        <f t="shared" si="9"/>
        <v>2522618.2179969824</v>
      </c>
      <c r="F63" s="41">
        <f t="shared" si="10"/>
        <v>2316621.3844640395</v>
      </c>
      <c r="G63" s="40">
        <f t="shared" si="11"/>
        <v>8355777.0616431879</v>
      </c>
      <c r="H63" s="40">
        <f t="shared" si="12"/>
        <v>9303435.3996237591</v>
      </c>
      <c r="I63" s="43">
        <f t="shared" si="13"/>
        <v>16942325.404640172</v>
      </c>
      <c r="J63" s="43">
        <f t="shared" si="14"/>
        <v>17188806.784087799</v>
      </c>
      <c r="K63" s="43">
        <f t="shared" si="15"/>
        <v>-240707.59535982832</v>
      </c>
      <c r="L63" s="43">
        <f t="shared" si="16"/>
        <v>5773.7840877994895</v>
      </c>
      <c r="P63" s="40">
        <f t="shared" si="17"/>
        <v>508085.74504898879</v>
      </c>
      <c r="Q63" s="40">
        <f t="shared" si="6"/>
        <v>441100.95057282329</v>
      </c>
      <c r="R63" s="40">
        <f t="shared" si="6"/>
        <v>378351.72858109925</v>
      </c>
      <c r="S63" s="40">
        <f t="shared" si="6"/>
        <v>319570.25598932011</v>
      </c>
      <c r="T63" s="40">
        <f t="shared" si="6"/>
        <v>264505.64466212678</v>
      </c>
      <c r="U63" s="40">
        <f t="shared" si="6"/>
        <v>212922.87058513053</v>
      </c>
      <c r="V63" s="40">
        <f t="shared" si="6"/>
        <v>164601.77074719494</v>
      </c>
      <c r="W63" s="40">
        <f t="shared" si="6"/>
        <v>119336.10345170485</v>
      </c>
      <c r="X63" s="40">
        <f t="shared" si="6"/>
        <v>76932.668046093648</v>
      </c>
      <c r="Y63" s="40">
        <f t="shared" si="6"/>
        <v>37210.480312499938</v>
      </c>
      <c r="Z63" s="40">
        <f t="shared" si="6"/>
        <v>0</v>
      </c>
      <c r="AC63" s="40">
        <f t="shared" si="18"/>
        <v>466595.4973782876</v>
      </c>
      <c r="AD63" s="40">
        <f t="shared" si="7"/>
        <v>405080.67670097208</v>
      </c>
      <c r="AE63" s="40">
        <f t="shared" si="7"/>
        <v>347455.55194470461</v>
      </c>
      <c r="AF63" s="40">
        <f t="shared" si="7"/>
        <v>293474.17044000432</v>
      </c>
      <c r="AG63" s="40">
        <f t="shared" si="7"/>
        <v>242906.1315597232</v>
      </c>
      <c r="AH63" s="40">
        <f t="shared" si="7"/>
        <v>195535.60333463535</v>
      </c>
      <c r="AI63" s="40">
        <f t="shared" si="7"/>
        <v>151160.40125024394</v>
      </c>
      <c r="AJ63" s="40">
        <f t="shared" si="7"/>
        <v>109591.12529296856</v>
      </c>
      <c r="AK63" s="40">
        <f t="shared" si="7"/>
        <v>70650.351562499927</v>
      </c>
      <c r="AL63" s="40">
        <f t="shared" si="7"/>
        <v>34171.874999999949</v>
      </c>
      <c r="AM63" s="40">
        <f t="shared" si="7"/>
        <v>0</v>
      </c>
    </row>
    <row r="64" spans="2:39">
      <c r="B64">
        <v>0.13</v>
      </c>
      <c r="C64" s="43">
        <f t="shared" si="8"/>
        <v>6063930.125</v>
      </c>
      <c r="D64" s="43">
        <f t="shared" si="8"/>
        <v>5568750.0000000009</v>
      </c>
      <c r="E64" s="41">
        <f t="shared" si="9"/>
        <v>2409894.0386361638</v>
      </c>
      <c r="F64" s="41">
        <f t="shared" si="10"/>
        <v>2213102.253986665</v>
      </c>
      <c r="G64" s="40">
        <f t="shared" si="11"/>
        <v>8583554.6084481757</v>
      </c>
      <c r="H64" s="40">
        <f t="shared" si="12"/>
        <v>9402621.0807674956</v>
      </c>
      <c r="I64" s="43">
        <f t="shared" si="13"/>
        <v>17057378.77208434</v>
      </c>
      <c r="J64" s="43">
        <f t="shared" si="14"/>
        <v>17184473.334754162</v>
      </c>
      <c r="K64" s="43">
        <f t="shared" si="15"/>
        <v>-125654.22791565955</v>
      </c>
      <c r="L64" s="43">
        <f t="shared" si="16"/>
        <v>1440.3347541615367</v>
      </c>
      <c r="P64" s="40">
        <f t="shared" si="17"/>
        <v>483536.39085572772</v>
      </c>
      <c r="Q64" s="40">
        <f t="shared" si="6"/>
        <v>420379.4145358947</v>
      </c>
      <c r="R64" s="40">
        <f t="shared" si="6"/>
        <v>361077.08935295278</v>
      </c>
      <c r="S64" s="40">
        <f t="shared" si="6"/>
        <v>305394.15490887588</v>
      </c>
      <c r="T64" s="40">
        <f t="shared" si="6"/>
        <v>253109.70942147981</v>
      </c>
      <c r="U64" s="40">
        <f t="shared" si="6"/>
        <v>204016.33337697649</v>
      </c>
      <c r="V64" s="40">
        <f t="shared" si="6"/>
        <v>157919.2666685225</v>
      </c>
      <c r="W64" s="40">
        <f t="shared" si="6"/>
        <v>114635.63595635921</v>
      </c>
      <c r="X64" s="40">
        <f t="shared" si="6"/>
        <v>73993.729184374897</v>
      </c>
      <c r="Y64" s="40">
        <f t="shared" si="6"/>
        <v>35832.314374999973</v>
      </c>
      <c r="Z64" s="40">
        <f t="shared" si="6"/>
        <v>0</v>
      </c>
      <c r="AC64" s="40">
        <f t="shared" si="18"/>
        <v>444050.84179261286</v>
      </c>
      <c r="AD64" s="40">
        <f t="shared" si="7"/>
        <v>386051.25989916711</v>
      </c>
      <c r="AE64" s="40">
        <f t="shared" si="7"/>
        <v>331591.55859076726</v>
      </c>
      <c r="AF64" s="40">
        <f t="shared" si="7"/>
        <v>280455.68881762185</v>
      </c>
      <c r="AG64" s="40">
        <f t="shared" si="7"/>
        <v>232440.78762218024</v>
      </c>
      <c r="AH64" s="40">
        <f t="shared" si="7"/>
        <v>187356.37335415996</v>
      </c>
      <c r="AI64" s="40">
        <f t="shared" si="7"/>
        <v>145023.59000390605</v>
      </c>
      <c r="AJ64" s="40">
        <f t="shared" si="7"/>
        <v>105274.49765624986</v>
      </c>
      <c r="AK64" s="40">
        <f t="shared" si="7"/>
        <v>67951.406249999913</v>
      </c>
      <c r="AL64" s="40">
        <f t="shared" si="7"/>
        <v>32906.249999999978</v>
      </c>
      <c r="AM64" s="40">
        <f t="shared" si="7"/>
        <v>0</v>
      </c>
    </row>
    <row r="65" spans="2:39">
      <c r="B65">
        <v>0.125</v>
      </c>
      <c r="C65" s="43">
        <f t="shared" si="8"/>
        <v>6063930.125</v>
      </c>
      <c r="D65" s="43">
        <f t="shared" si="8"/>
        <v>5568750.0000000009</v>
      </c>
      <c r="E65" s="41">
        <f t="shared" si="9"/>
        <v>2298840.3819865729</v>
      </c>
      <c r="F65" s="41">
        <f t="shared" si="10"/>
        <v>2111117.2314485945</v>
      </c>
      <c r="G65" s="40">
        <f t="shared" si="11"/>
        <v>8820262</v>
      </c>
      <c r="H65" s="40">
        <f t="shared" si="12"/>
        <v>9503165.5300498568</v>
      </c>
      <c r="I65" s="43">
        <f t="shared" si="13"/>
        <v>17183032.506986573</v>
      </c>
      <c r="J65" s="43">
        <f t="shared" si="14"/>
        <v>17183032.761498451</v>
      </c>
      <c r="K65" s="43">
        <f t="shared" si="15"/>
        <v>-0.49301342666149139</v>
      </c>
      <c r="L65" s="43">
        <f t="shared" si="16"/>
        <v>-0.23850154876708984</v>
      </c>
      <c r="P65" s="40">
        <f t="shared" si="17"/>
        <v>459500.24305803369</v>
      </c>
      <c r="Q65" s="40">
        <f t="shared" si="6"/>
        <v>400043.383172267</v>
      </c>
      <c r="R65" s="40">
        <f t="shared" si="6"/>
        <v>344083.98563272192</v>
      </c>
      <c r="S65" s="40">
        <f t="shared" si="6"/>
        <v>291416.31736020884</v>
      </c>
      <c r="T65" s="40">
        <f t="shared" si="6"/>
        <v>241846.74722137302</v>
      </c>
      <c r="U65" s="40">
        <f t="shared" si="6"/>
        <v>195193.03414952755</v>
      </c>
      <c r="V65" s="40">
        <f t="shared" si="6"/>
        <v>151283.65714073181</v>
      </c>
      <c r="W65" s="40">
        <f t="shared" si="6"/>
        <v>109957.18466186523</v>
      </c>
      <c r="X65" s="40">
        <f t="shared" si="6"/>
        <v>71061.68115234375</v>
      </c>
      <c r="Y65" s="40">
        <f t="shared" si="6"/>
        <v>34454.1484375</v>
      </c>
      <c r="Z65" s="40">
        <f t="shared" si="6"/>
        <v>0</v>
      </c>
      <c r="AC65" s="40">
        <f t="shared" si="18"/>
        <v>421977.48420285853</v>
      </c>
      <c r="AD65" s="40">
        <f t="shared" si="7"/>
        <v>367375.8674850433</v>
      </c>
      <c r="AE65" s="40">
        <f t="shared" si="7"/>
        <v>315986.11057415843</v>
      </c>
      <c r="AF65" s="40">
        <f t="shared" si="7"/>
        <v>267619.28054038441</v>
      </c>
      <c r="AG65" s="40">
        <f t="shared" si="7"/>
        <v>222097.55815565589</v>
      </c>
      <c r="AH65" s="40">
        <f t="shared" si="7"/>
        <v>179253.58414649966</v>
      </c>
      <c r="AI65" s="40">
        <f t="shared" si="7"/>
        <v>138929.84390258792</v>
      </c>
      <c r="AJ65" s="40">
        <f t="shared" si="7"/>
        <v>100978.08837890626</v>
      </c>
      <c r="AK65" s="40">
        <f t="shared" si="7"/>
        <v>65258.789062500007</v>
      </c>
      <c r="AL65" s="40">
        <f t="shared" si="7"/>
        <v>31640.625000000004</v>
      </c>
      <c r="AM65" s="40">
        <f t="shared" si="7"/>
        <v>0</v>
      </c>
    </row>
    <row r="66" spans="2:39">
      <c r="B66">
        <v>0.12</v>
      </c>
      <c r="C66" s="43">
        <f t="shared" si="8"/>
        <v>6063930.125</v>
      </c>
      <c r="D66" s="43">
        <f t="shared" si="8"/>
        <v>5568750.0000000009</v>
      </c>
      <c r="E66" s="41">
        <f t="shared" si="9"/>
        <v>2189433.0403549308</v>
      </c>
      <c r="F66" s="41">
        <f t="shared" si="10"/>
        <v>2010644.0859551497</v>
      </c>
      <c r="G66" s="40">
        <f t="shared" si="11"/>
        <v>9066305.7772078272</v>
      </c>
      <c r="H66" s="40">
        <f t="shared" si="12"/>
        <v>9605090.8951032143</v>
      </c>
      <c r="I66" s="43">
        <f t="shared" si="13"/>
        <v>17319668.942562759</v>
      </c>
      <c r="J66" s="43">
        <f t="shared" si="14"/>
        <v>17184484.981058367</v>
      </c>
      <c r="K66" s="43">
        <f t="shared" si="15"/>
        <v>136635.94256275892</v>
      </c>
      <c r="L66" s="43">
        <f t="shared" si="16"/>
        <v>1451.9810583665967</v>
      </c>
      <c r="P66" s="40">
        <f t="shared" si="17"/>
        <v>435967.74285027949</v>
      </c>
      <c r="Q66" s="40">
        <f t="shared" si="6"/>
        <v>380086.56636818813</v>
      </c>
      <c r="R66" s="40">
        <f t="shared" si="6"/>
        <v>327368.47534734727</v>
      </c>
      <c r="S66" s="40">
        <f t="shared" si="6"/>
        <v>277634.42721447867</v>
      </c>
      <c r="T66" s="40">
        <f t="shared" si="6"/>
        <v>230715.51388158352</v>
      </c>
      <c r="U66" s="40">
        <f t="shared" si="6"/>
        <v>186452.38809583348</v>
      </c>
      <c r="V66" s="40">
        <f t="shared" si="6"/>
        <v>144694.72226022018</v>
      </c>
      <c r="W66" s="40">
        <f t="shared" si="6"/>
        <v>105300.69788700016</v>
      </c>
      <c r="X66" s="40">
        <f t="shared" si="6"/>
        <v>68136.52395000009</v>
      </c>
      <c r="Y66" s="40">
        <f t="shared" si="6"/>
        <v>33075.982500000027</v>
      </c>
      <c r="Z66" s="40">
        <f t="shared" si="6"/>
        <v>0</v>
      </c>
      <c r="AC66" s="40">
        <f t="shared" si="18"/>
        <v>400366.64637482021</v>
      </c>
      <c r="AD66" s="40">
        <f t="shared" si="7"/>
        <v>349048.72299511329</v>
      </c>
      <c r="AE66" s="40">
        <f t="shared" si="7"/>
        <v>300635.58773123898</v>
      </c>
      <c r="AF66" s="40">
        <f t="shared" si="7"/>
        <v>254962.81861437645</v>
      </c>
      <c r="AG66" s="40">
        <f t="shared" si="7"/>
        <v>211875.30057960033</v>
      </c>
      <c r="AH66" s="40">
        <f t="shared" si="7"/>
        <v>171226.69866000026</v>
      </c>
      <c r="AI66" s="40">
        <f t="shared" si="7"/>
        <v>132878.96100000018</v>
      </c>
      <c r="AJ66" s="40">
        <f t="shared" si="7"/>
        <v>96701.850000000166</v>
      </c>
      <c r="AK66" s="40">
        <f t="shared" si="7"/>
        <v>62572.500000000087</v>
      </c>
      <c r="AL66" s="40">
        <f t="shared" si="7"/>
        <v>30375.000000000029</v>
      </c>
      <c r="AM66" s="40">
        <f t="shared" si="7"/>
        <v>0</v>
      </c>
    </row>
    <row r="67" spans="2:39">
      <c r="B67">
        <v>0.115</v>
      </c>
      <c r="C67" s="43">
        <f t="shared" si="8"/>
        <v>6063930.125</v>
      </c>
      <c r="D67" s="43">
        <f t="shared" si="8"/>
        <v>5568750.0000000009</v>
      </c>
      <c r="E67" s="41">
        <f t="shared" si="9"/>
        <v>2081648.1301893345</v>
      </c>
      <c r="F67" s="41">
        <f t="shared" si="10"/>
        <v>1911660.8842836658</v>
      </c>
      <c r="G67" s="40">
        <f t="shared" si="11"/>
        <v>9322112.7519954424</v>
      </c>
      <c r="H67" s="40">
        <f t="shared" si="12"/>
        <v>9708419.740015449</v>
      </c>
      <c r="I67" s="43">
        <f t="shared" si="13"/>
        <v>17467691.007184777</v>
      </c>
      <c r="J67" s="43">
        <f t="shared" si="14"/>
        <v>17188830.624299116</v>
      </c>
      <c r="K67" s="43">
        <f t="shared" si="15"/>
        <v>284658.00718477741</v>
      </c>
      <c r="L67" s="43">
        <f t="shared" si="16"/>
        <v>5797.6242991164327</v>
      </c>
      <c r="P67" s="40">
        <f t="shared" si="17"/>
        <v>412929.48757530749</v>
      </c>
      <c r="Q67" s="40">
        <f t="shared" si="6"/>
        <v>360502.76218705182</v>
      </c>
      <c r="R67" s="40">
        <f t="shared" si="6"/>
        <v>310926.66252912697</v>
      </c>
      <c r="S67" s="40">
        <f t="shared" si="6"/>
        <v>264046.19003936346</v>
      </c>
      <c r="T67" s="40">
        <f t="shared" si="6"/>
        <v>219714.77397339328</v>
      </c>
      <c r="U67" s="40">
        <f t="shared" si="6"/>
        <v>177793.81315450891</v>
      </c>
      <c r="V67" s="40">
        <f t="shared" si="6"/>
        <v>138152.24264019745</v>
      </c>
      <c r="W67" s="40">
        <f t="shared" si="6"/>
        <v>100666.12395054122</v>
      </c>
      <c r="X67" s="40">
        <f t="shared" si="6"/>
        <v>65218.257577343902</v>
      </c>
      <c r="Y67" s="40">
        <f t="shared" si="6"/>
        <v>31697.816562500058</v>
      </c>
      <c r="Z67" s="40">
        <f t="shared" si="6"/>
        <v>0</v>
      </c>
      <c r="AC67" s="40">
        <f t="shared" si="18"/>
        <v>379209.69347168953</v>
      </c>
      <c r="AD67" s="40">
        <f t="shared" si="7"/>
        <v>331064.13094249583</v>
      </c>
      <c r="AE67" s="40">
        <f t="shared" si="7"/>
        <v>285536.41223876673</v>
      </c>
      <c r="AF67" s="40">
        <f t="shared" si="7"/>
        <v>242484.19597046485</v>
      </c>
      <c r="AG67" s="40">
        <f t="shared" si="7"/>
        <v>201772.8803503213</v>
      </c>
      <c r="AH67" s="40">
        <f t="shared" si="7"/>
        <v>163275.18236436995</v>
      </c>
      <c r="AI67" s="40">
        <f t="shared" si="7"/>
        <v>126870.73982446319</v>
      </c>
      <c r="AJ67" s="40">
        <f t="shared" si="7"/>
        <v>92445.735058593957</v>
      </c>
      <c r="AK67" s="40">
        <f t="shared" si="7"/>
        <v>59892.539062500146</v>
      </c>
      <c r="AL67" s="40">
        <f t="shared" si="7"/>
        <v>29109.375000000058</v>
      </c>
      <c r="AM67" s="40">
        <f t="shared" si="7"/>
        <v>0</v>
      </c>
    </row>
    <row r="68" spans="2:39">
      <c r="B68">
        <v>0.11</v>
      </c>
      <c r="C68" s="43">
        <f t="shared" si="8"/>
        <v>6063930.125</v>
      </c>
      <c r="D68" s="43">
        <f t="shared" si="8"/>
        <v>5568750.0000000009</v>
      </c>
      <c r="E68" s="41">
        <f t="shared" si="9"/>
        <v>1975462.0882224489</v>
      </c>
      <c r="F68" s="41">
        <f t="shared" si="10"/>
        <v>1814145.9873416277</v>
      </c>
      <c r="G68" s="40">
        <f t="shared" si="11"/>
        <v>9588131.0894929674</v>
      </c>
      <c r="H68" s="40">
        <f t="shared" si="12"/>
        <v>9813175.0541916657</v>
      </c>
      <c r="I68" s="43">
        <f t="shared" si="13"/>
        <v>17627523.302715417</v>
      </c>
      <c r="J68" s="43">
        <f t="shared" si="14"/>
        <v>17196071.041533295</v>
      </c>
      <c r="K68" s="43">
        <f t="shared" si="15"/>
        <v>444490.302715417</v>
      </c>
      <c r="L68" s="43">
        <f t="shared" si="16"/>
        <v>13038.041533295065</v>
      </c>
      <c r="P68" s="40">
        <f t="shared" si="17"/>
        <v>390376.22853292368</v>
      </c>
      <c r="Q68" s="40">
        <f t="shared" si="6"/>
        <v>341285.85583689448</v>
      </c>
      <c r="R68" s="40">
        <f t="shared" si="6"/>
        <v>294754.69688331231</v>
      </c>
      <c r="S68" s="40">
        <f t="shared" si="6"/>
        <v>250649.33294626759</v>
      </c>
      <c r="T68" s="40">
        <f t="shared" si="6"/>
        <v>208843.30077845274</v>
      </c>
      <c r="U68" s="40">
        <f t="shared" si="6"/>
        <v>169216.73000327277</v>
      </c>
      <c r="V68" s="40">
        <f t="shared" si="6"/>
        <v>131655.99941068512</v>
      </c>
      <c r="W68" s="40">
        <f t="shared" si="6"/>
        <v>96053.411171265514</v>
      </c>
      <c r="X68" s="40">
        <f t="shared" si="6"/>
        <v>62306.882034374961</v>
      </c>
      <c r="Y68" s="40">
        <f t="shared" si="6"/>
        <v>30319.650624999966</v>
      </c>
      <c r="Z68" s="40">
        <f t="shared" si="6"/>
        <v>0</v>
      </c>
      <c r="AC68" s="40">
        <f t="shared" si="18"/>
        <v>358498.13204150647</v>
      </c>
      <c r="AD68" s="40">
        <f t="shared" si="7"/>
        <v>313416.47586872656</v>
      </c>
      <c r="AE68" s="40">
        <f t="shared" si="7"/>
        <v>270685.04821680242</v>
      </c>
      <c r="AF68" s="40">
        <f t="shared" si="7"/>
        <v>230181.3253239833</v>
      </c>
      <c r="AG68" s="40">
        <f t="shared" si="7"/>
        <v>191789.17092320698</v>
      </c>
      <c r="AH68" s="40">
        <f t="shared" si="7"/>
        <v>155398.50324474595</v>
      </c>
      <c r="AI68" s="40">
        <f t="shared" si="7"/>
        <v>120904.97937890617</v>
      </c>
      <c r="AJ68" s="40">
        <f t="shared" si="7"/>
        <v>88209.69609374991</v>
      </c>
      <c r="AK68" s="40">
        <f t="shared" si="7"/>
        <v>57218.906249999971</v>
      </c>
      <c r="AL68" s="40">
        <f t="shared" si="7"/>
        <v>27843.749999999971</v>
      </c>
      <c r="AM68" s="40">
        <f t="shared" si="7"/>
        <v>0</v>
      </c>
    </row>
    <row r="69" spans="2:39">
      <c r="B69">
        <v>0.105</v>
      </c>
      <c r="C69" s="43">
        <f t="shared" si="8"/>
        <v>6063930.125</v>
      </c>
      <c r="D69" s="43">
        <f t="shared" si="8"/>
        <v>5568750.0000000009</v>
      </c>
      <c r="E69" s="41">
        <f t="shared" si="9"/>
        <v>1870851.6676540074</v>
      </c>
      <c r="F69" s="41">
        <f t="shared" si="10"/>
        <v>1718078.0466609108</v>
      </c>
      <c r="G69" s="40">
        <f t="shared" si="11"/>
        <v>9864831.4514064211</v>
      </c>
      <c r="H69" s="40">
        <f t="shared" si="12"/>
        <v>9919380.2614263408</v>
      </c>
      <c r="I69" s="43">
        <f t="shared" si="13"/>
        <v>17799613.244060427</v>
      </c>
      <c r="J69" s="43">
        <f t="shared" si="14"/>
        <v>17206208.308087252</v>
      </c>
      <c r="K69" s="43">
        <f t="shared" si="15"/>
        <v>616580.24406042695</v>
      </c>
      <c r="L69" s="43">
        <f t="shared" si="16"/>
        <v>23175.30808725208</v>
      </c>
      <c r="P69" s="40">
        <f t="shared" si="17"/>
        <v>368298.86881409533</v>
      </c>
      <c r="Q69" s="40">
        <f t="shared" si="6"/>
        <v>322429.81864759652</v>
      </c>
      <c r="R69" s="40">
        <f t="shared" si="6"/>
        <v>278848.77335876157</v>
      </c>
      <c r="S69" s="40">
        <f t="shared" si="6"/>
        <v>237441.60443825324</v>
      </c>
      <c r="T69" s="40">
        <f t="shared" si="6"/>
        <v>198099.87624774655</v>
      </c>
      <c r="U69" s="40">
        <f t="shared" si="6"/>
        <v>160720.56205249077</v>
      </c>
      <c r="V69" s="40">
        <f t="shared" si="6"/>
        <v>125205.77421851859</v>
      </c>
      <c r="W69" s="40">
        <f t="shared" si="6"/>
        <v>91462.507867951135</v>
      </c>
      <c r="X69" s="40">
        <f t="shared" si="6"/>
        <v>59402.397321093747</v>
      </c>
      <c r="Y69" s="40">
        <f t="shared" si="6"/>
        <v>28941.484687499997</v>
      </c>
      <c r="Z69" s="40">
        <f t="shared" si="6"/>
        <v>0</v>
      </c>
      <c r="AC69" s="40">
        <f t="shared" si="18"/>
        <v>338223.6080282164</v>
      </c>
      <c r="AD69" s="40">
        <f t="shared" si="7"/>
        <v>296100.22140448121</v>
      </c>
      <c r="AE69" s="40">
        <f t="shared" si="7"/>
        <v>256078.00133442393</v>
      </c>
      <c r="AF69" s="40">
        <f t="shared" si="7"/>
        <v>218052.13903508213</v>
      </c>
      <c r="AG69" s="40">
        <f t="shared" si="7"/>
        <v>181923.05371504239</v>
      </c>
      <c r="AH69" s="40">
        <f t="shared" si="7"/>
        <v>147596.13179576473</v>
      </c>
      <c r="AI69" s="40">
        <f t="shared" si="7"/>
        <v>114981.47914086914</v>
      </c>
      <c r="AJ69" s="40">
        <f t="shared" si="7"/>
        <v>83993.68564453123</v>
      </c>
      <c r="AK69" s="40">
        <f t="shared" si="7"/>
        <v>54551.601562500007</v>
      </c>
      <c r="AL69" s="40">
        <f t="shared" si="7"/>
        <v>26578.125</v>
      </c>
      <c r="AM69" s="40">
        <f t="shared" si="7"/>
        <v>0</v>
      </c>
    </row>
    <row r="70" spans="2:39">
      <c r="B70">
        <v>9.9999999999999895E-2</v>
      </c>
      <c r="C70" s="43">
        <f t="shared" si="8"/>
        <v>6063930.125</v>
      </c>
      <c r="D70" s="43">
        <f t="shared" si="8"/>
        <v>5568750.0000000009</v>
      </c>
      <c r="E70" s="41">
        <f t="shared" si="9"/>
        <v>1767793.9343721396</v>
      </c>
      <c r="F70" s="41">
        <f t="shared" si="10"/>
        <v>1623436.0009276744</v>
      </c>
      <c r="G70" s="40">
        <f t="shared" si="11"/>
        <v>10152708.204204109</v>
      </c>
      <c r="H70" s="40">
        <f t="shared" si="12"/>
        <v>10027059.229191445</v>
      </c>
      <c r="I70" s="43">
        <f t="shared" si="13"/>
        <v>17984432.263576247</v>
      </c>
      <c r="J70" s="43">
        <f t="shared" si="14"/>
        <v>17219245.23011912</v>
      </c>
      <c r="K70" s="43">
        <f t="shared" si="15"/>
        <v>801399.2635762468</v>
      </c>
      <c r="L70" s="43">
        <f t="shared" si="16"/>
        <v>36212.23011912033</v>
      </c>
      <c r="P70" s="40">
        <f t="shared" si="17"/>
        <v>346688.46116057812</v>
      </c>
      <c r="Q70" s="40">
        <f t="shared" si="6"/>
        <v>303928.70705769345</v>
      </c>
      <c r="R70" s="40">
        <f t="shared" si="6"/>
        <v>263205.13172161276</v>
      </c>
      <c r="S70" s="40">
        <f t="shared" si="6"/>
        <v>224420.77425867895</v>
      </c>
      <c r="T70" s="40">
        <f t="shared" si="6"/>
        <v>187483.29096064647</v>
      </c>
      <c r="U70" s="40">
        <f t="shared" si="6"/>
        <v>152304.73543871101</v>
      </c>
      <c r="V70" s="40">
        <f t="shared" si="6"/>
        <v>118801.34922734376</v>
      </c>
      <c r="W70" s="40">
        <f t="shared" si="6"/>
        <v>86893.362359375067</v>
      </c>
      <c r="X70" s="40">
        <f t="shared" si="6"/>
        <v>56504.803437500021</v>
      </c>
      <c r="Y70" s="40">
        <f t="shared" si="6"/>
        <v>27563.318750000024</v>
      </c>
      <c r="Z70" s="40">
        <f t="shared" si="6"/>
        <v>0</v>
      </c>
      <c r="AC70" s="40">
        <f t="shared" si="18"/>
        <v>318377.90480607981</v>
      </c>
      <c r="AD70" s="40">
        <f t="shared" si="7"/>
        <v>279109.90933912364</v>
      </c>
      <c r="AE70" s="40">
        <f t="shared" si="7"/>
        <v>241711.81841821296</v>
      </c>
      <c r="AF70" s="40">
        <f t="shared" si="7"/>
        <v>206094.5889697267</v>
      </c>
      <c r="AG70" s="40">
        <f t="shared" si="7"/>
        <v>172173.41806640624</v>
      </c>
      <c r="AH70" s="40">
        <f t="shared" si="7"/>
        <v>139867.54101562509</v>
      </c>
      <c r="AI70" s="40">
        <f t="shared" si="7"/>
        <v>109100.03906250001</v>
      </c>
      <c r="AJ70" s="40">
        <f t="shared" si="7"/>
        <v>79797.656250000073</v>
      </c>
      <c r="AK70" s="40">
        <f t="shared" si="7"/>
        <v>51890.625000000022</v>
      </c>
      <c r="AL70" s="40">
        <f t="shared" si="7"/>
        <v>25312.500000000025</v>
      </c>
      <c r="AM70" s="40">
        <f t="shared" si="7"/>
        <v>0</v>
      </c>
    </row>
    <row r="71" spans="2:39">
      <c r="B71">
        <v>9.4999999999999904E-2</v>
      </c>
      <c r="C71" s="43">
        <f t="shared" si="8"/>
        <v>6063930.125</v>
      </c>
      <c r="D71" s="43">
        <f t="shared" si="8"/>
        <v>5568750.0000000009</v>
      </c>
      <c r="E71" s="41">
        <f t="shared" si="9"/>
        <v>1666266.2632133907</v>
      </c>
      <c r="F71" s="41">
        <f t="shared" si="10"/>
        <v>1530199.0725477845</v>
      </c>
      <c r="G71" s="40">
        <f t="shared" si="11"/>
        <v>10452280.695985584</v>
      </c>
      <c r="H71" s="40">
        <f t="shared" si="12"/>
        <v>10136236.278146166</v>
      </c>
      <c r="I71" s="43">
        <f t="shared" si="13"/>
        <v>18182477.084198974</v>
      </c>
      <c r="J71" s="43">
        <f t="shared" si="14"/>
        <v>17235185.350693952</v>
      </c>
      <c r="K71" s="43">
        <f t="shared" si="15"/>
        <v>999444.08419897407</v>
      </c>
      <c r="L71" s="43">
        <f t="shared" si="16"/>
        <v>52152.350693952292</v>
      </c>
      <c r="P71" s="40">
        <f t="shared" si="17"/>
        <v>325536.20584977145</v>
      </c>
      <c r="Q71" s="40">
        <f t="shared" si="6"/>
        <v>285776.66161076032</v>
      </c>
      <c r="R71" s="40">
        <f t="shared" si="6"/>
        <v>247820.05613199086</v>
      </c>
      <c r="S71" s="40">
        <f t="shared" si="6"/>
        <v>211584.63324056406</v>
      </c>
      <c r="T71" s="40">
        <f t="shared" si="6"/>
        <v>176992.34408407076</v>
      </c>
      <c r="U71" s="40">
        <f t="shared" si="6"/>
        <v>143968.67901820605</v>
      </c>
      <c r="V71" s="40">
        <f t="shared" si="6"/>
        <v>112442.50711761919</v>
      </c>
      <c r="W71" s="40">
        <f t="shared" si="6"/>
        <v>82345.92296431429</v>
      </c>
      <c r="X71" s="40">
        <f t="shared" si="6"/>
        <v>53614.10038359365</v>
      </c>
      <c r="Y71" s="40">
        <f t="shared" si="6"/>
        <v>26185.152812499931</v>
      </c>
      <c r="Z71" s="40">
        <f t="shared" si="6"/>
        <v>0</v>
      </c>
      <c r="AC71" s="40">
        <f t="shared" si="18"/>
        <v>298952.94123724999</v>
      </c>
      <c r="AD71" s="40">
        <f t="shared" si="7"/>
        <v>262440.15869904531</v>
      </c>
      <c r="AE71" s="40">
        <f t="shared" si="7"/>
        <v>227583.08706352784</v>
      </c>
      <c r="AF71" s="40">
        <f t="shared" si="7"/>
        <v>194306.64636136309</v>
      </c>
      <c r="AG71" s="40">
        <f t="shared" si="7"/>
        <v>162539.16120416531</v>
      </c>
      <c r="AH71" s="40">
        <f t="shared" si="7"/>
        <v>132212.20640015785</v>
      </c>
      <c r="AI71" s="40">
        <f t="shared" si="7"/>
        <v>103260.45957055647</v>
      </c>
      <c r="AJ71" s="40">
        <f t="shared" si="7"/>
        <v>75621.56044921861</v>
      </c>
      <c r="AK71" s="40">
        <f t="shared" si="7"/>
        <v>49235.976562499913</v>
      </c>
      <c r="AL71" s="40">
        <f t="shared" si="7"/>
        <v>24046.874999999938</v>
      </c>
      <c r="AM71" s="40">
        <f t="shared" si="7"/>
        <v>0</v>
      </c>
    </row>
    <row r="72" spans="2:39">
      <c r="B72">
        <v>8.99999999999999E-2</v>
      </c>
      <c r="C72" s="43">
        <f t="shared" si="8"/>
        <v>6063930.125</v>
      </c>
      <c r="D72" s="43">
        <f t="shared" si="8"/>
        <v>5568750.0000000009</v>
      </c>
      <c r="E72" s="41">
        <f t="shared" si="9"/>
        <v>1566246.3342609897</v>
      </c>
      <c r="F72" s="41">
        <f t="shared" si="10"/>
        <v>1438346.7642473679</v>
      </c>
      <c r="G72" s="40">
        <f t="shared" si="11"/>
        <v>10764094.606140684</v>
      </c>
      <c r="H72" s="40">
        <f t="shared" si="12"/>
        <v>10246936.191874146</v>
      </c>
      <c r="I72" s="43">
        <f t="shared" si="13"/>
        <v>18394271.065401673</v>
      </c>
      <c r="J72" s="43">
        <f t="shared" si="14"/>
        <v>17254032.956121515</v>
      </c>
      <c r="K72" s="43">
        <f t="shared" si="15"/>
        <v>1211238.0654016733</v>
      </c>
      <c r="L72" s="43">
        <f t="shared" si="16"/>
        <v>70999.956121515483</v>
      </c>
      <c r="P72" s="40">
        <f t="shared" si="17"/>
        <v>304833.44860453944</v>
      </c>
      <c r="Q72" s="40">
        <f t="shared" si="6"/>
        <v>267967.90596128191</v>
      </c>
      <c r="R72" s="40">
        <f t="shared" si="6"/>
        <v>232689.87472371478</v>
      </c>
      <c r="S72" s="40">
        <f t="shared" si="6"/>
        <v>198930.99315666509</v>
      </c>
      <c r="T72" s="40">
        <f t="shared" si="6"/>
        <v>166625.84333173689</v>
      </c>
      <c r="U72" s="40">
        <f t="shared" si="6"/>
        <v>135711.82436051394</v>
      </c>
      <c r="V72" s="40">
        <f t="shared" si="6"/>
        <v>106129.0310866162</v>
      </c>
      <c r="W72" s="40">
        <f t="shared" si="6"/>
        <v>77820.138001546773</v>
      </c>
      <c r="X72" s="40">
        <f t="shared" si="6"/>
        <v>50730.28815937489</v>
      </c>
      <c r="Y72" s="40">
        <f t="shared" si="6"/>
        <v>24806.986874999962</v>
      </c>
      <c r="Z72" s="40">
        <f t="shared" si="6"/>
        <v>0</v>
      </c>
      <c r="AC72" s="40">
        <f t="shared" si="18"/>
        <v>279940.76975227828</v>
      </c>
      <c r="AD72" s="40">
        <f t="shared" si="7"/>
        <v>246085.66483471621</v>
      </c>
      <c r="AE72" s="40">
        <f t="shared" si="7"/>
        <v>213688.43524853227</v>
      </c>
      <c r="AF72" s="40">
        <f t="shared" si="7"/>
        <v>182686.30167323686</v>
      </c>
      <c r="AG72" s="40">
        <f t="shared" si="7"/>
        <v>153019.18820405434</v>
      </c>
      <c r="AH72" s="40">
        <f t="shared" si="7"/>
        <v>124629.60593689427</v>
      </c>
      <c r="AI72" s="40">
        <f t="shared" si="7"/>
        <v>97462.541566405998</v>
      </c>
      <c r="AJ72" s="40">
        <f t="shared" si="7"/>
        <v>71465.350781249916</v>
      </c>
      <c r="AK72" s="40">
        <f t="shared" si="7"/>
        <v>46587.656249999905</v>
      </c>
      <c r="AL72" s="40">
        <f t="shared" si="7"/>
        <v>22781.249999999967</v>
      </c>
      <c r="AM72" s="40">
        <f t="shared" si="7"/>
        <v>0</v>
      </c>
    </row>
    <row r="73" spans="2:39">
      <c r="B73">
        <v>8.4999999999999895E-2</v>
      </c>
      <c r="C73" s="43">
        <f t="shared" si="8"/>
        <v>6063930.125</v>
      </c>
      <c r="D73" s="43">
        <f t="shared" si="8"/>
        <v>5568750.0000000009</v>
      </c>
      <c r="E73" s="41">
        <f t="shared" si="9"/>
        <v>1467712.1291810586</v>
      </c>
      <c r="F73" s="41">
        <f t="shared" si="10"/>
        <v>1347858.8557082061</v>
      </c>
      <c r="G73" s="40">
        <f t="shared" si="11"/>
        <v>11088723.372163173</v>
      </c>
      <c r="H73" s="40">
        <f t="shared" si="12"/>
        <v>10359184.226854162</v>
      </c>
      <c r="I73" s="43">
        <f t="shared" si="13"/>
        <v>18620365.626344234</v>
      </c>
      <c r="J73" s="43">
        <f t="shared" si="14"/>
        <v>17275793.082562368</v>
      </c>
      <c r="K73" s="43">
        <f t="shared" si="15"/>
        <v>1437332.6263442338</v>
      </c>
      <c r="L73" s="43">
        <f t="shared" si="16"/>
        <v>92760.082562368363</v>
      </c>
      <c r="P73" s="40">
        <f t="shared" si="17"/>
        <v>284571.6785277648</v>
      </c>
      <c r="Q73" s="40">
        <f t="shared" si="6"/>
        <v>250496.74588994231</v>
      </c>
      <c r="R73" s="40">
        <f t="shared" si="6"/>
        <v>217810.95918699502</v>
      </c>
      <c r="S73" s="40">
        <f t="shared" si="6"/>
        <v>186457.68657025901</v>
      </c>
      <c r="T73" s="40">
        <f t="shared" si="6"/>
        <v>156382.60492350982</v>
      </c>
      <c r="U73" s="40">
        <f t="shared" si="6"/>
        <v>127533.60574197589</v>
      </c>
      <c r="V73" s="40">
        <f t="shared" si="6"/>
        <v>99860.704848418129</v>
      </c>
      <c r="W73" s="40">
        <f t="shared" si="6"/>
        <v>73315.955789849613</v>
      </c>
      <c r="X73" s="40">
        <f t="shared" si="6"/>
        <v>47853.366764843733</v>
      </c>
      <c r="Y73" s="40">
        <f t="shared" si="6"/>
        <v>23428.82093749999</v>
      </c>
      <c r="Z73" s="40">
        <f t="shared" si="6"/>
        <v>0</v>
      </c>
      <c r="AC73" s="40">
        <f t="shared" si="18"/>
        <v>261333.574453332</v>
      </c>
      <c r="AD73" s="40">
        <f t="shared" si="7"/>
        <v>230041.19851638569</v>
      </c>
      <c r="AE73" s="40">
        <f t="shared" si="7"/>
        <v>200024.53095096946</v>
      </c>
      <c r="AF73" s="40">
        <f t="shared" si="7"/>
        <v>171231.56446136162</v>
      </c>
      <c r="AG73" s="40">
        <f t="shared" si="7"/>
        <v>143612.41195334442</v>
      </c>
      <c r="AH73" s="40">
        <f t="shared" si="7"/>
        <v>117119.22009913139</v>
      </c>
      <c r="AI73" s="40">
        <f t="shared" si="7"/>
        <v>91706.086426025329</v>
      </c>
      <c r="AJ73" s="40">
        <f t="shared" si="7"/>
        <v>67328.979785156262</v>
      </c>
      <c r="AK73" s="40">
        <f t="shared" si="7"/>
        <v>43945.664062499993</v>
      </c>
      <c r="AL73" s="40">
        <f t="shared" si="7"/>
        <v>21515.624999999993</v>
      </c>
      <c r="AM73" s="40">
        <f t="shared" si="7"/>
        <v>0</v>
      </c>
    </row>
    <row r="74" spans="2:39">
      <c r="B74">
        <v>7.9999999999999905E-2</v>
      </c>
      <c r="C74" s="43">
        <f t="shared" si="8"/>
        <v>6063930.125</v>
      </c>
      <c r="D74" s="43">
        <f t="shared" si="8"/>
        <v>5568750.0000000009</v>
      </c>
      <c r="E74" s="41">
        <f t="shared" si="9"/>
        <v>1370641.9275964701</v>
      </c>
      <c r="F74" s="41">
        <f t="shared" si="10"/>
        <v>1258715.4002377037</v>
      </c>
      <c r="G74" s="40">
        <f t="shared" si="11"/>
        <v>11426769.698257957</v>
      </c>
      <c r="H74" s="40">
        <f t="shared" si="12"/>
        <v>10473006.122670475</v>
      </c>
      <c r="I74" s="43">
        <f t="shared" si="13"/>
        <v>18861341.750854425</v>
      </c>
      <c r="J74" s="43">
        <f t="shared" si="14"/>
        <v>17300471.522908181</v>
      </c>
      <c r="K74" s="43">
        <f t="shared" si="15"/>
        <v>1678308.7508544251</v>
      </c>
      <c r="L74" s="43">
        <f t="shared" si="16"/>
        <v>117438.52290818095</v>
      </c>
      <c r="P74" s="40">
        <f t="shared" si="17"/>
        <v>264742.52606140298</v>
      </c>
      <c r="Q74" s="40">
        <f t="shared" si="17"/>
        <v>233357.56832827211</v>
      </c>
      <c r="R74" s="40">
        <f t="shared" si="17"/>
        <v>203179.72435410775</v>
      </c>
      <c r="S74" s="40">
        <f t="shared" si="17"/>
        <v>174162.56668664192</v>
      </c>
      <c r="T74" s="40">
        <f t="shared" si="17"/>
        <v>146261.45354484807</v>
      </c>
      <c r="U74" s="40">
        <f t="shared" si="17"/>
        <v>119433.460139277</v>
      </c>
      <c r="V74" s="40">
        <f t="shared" si="17"/>
        <v>93637.312633920112</v>
      </c>
      <c r="W74" s="40">
        <f t="shared" si="17"/>
        <v>68833.324648000053</v>
      </c>
      <c r="X74" s="40">
        <f t="shared" si="17"/>
        <v>44983.336200000063</v>
      </c>
      <c r="Y74" s="40">
        <f t="shared" si="17"/>
        <v>22050.655000000021</v>
      </c>
      <c r="Z74" s="40">
        <f t="shared" si="17"/>
        <v>0</v>
      </c>
      <c r="AC74" s="40">
        <f t="shared" si="18"/>
        <v>243123.66923991198</v>
      </c>
      <c r="AD74" s="40">
        <f t="shared" si="18"/>
        <v>214301.6050383769</v>
      </c>
      <c r="AE74" s="40">
        <f t="shared" si="18"/>
        <v>186588.08176767002</v>
      </c>
      <c r="AF74" s="40">
        <f t="shared" si="18"/>
        <v>159940.46323814415</v>
      </c>
      <c r="AG74" s="40">
        <f t="shared" si="18"/>
        <v>134317.75311360019</v>
      </c>
      <c r="AH74" s="40">
        <f t="shared" si="18"/>
        <v>109680.53184000019</v>
      </c>
      <c r="AI74" s="40">
        <f t="shared" si="18"/>
        <v>85990.896000000124</v>
      </c>
      <c r="AJ74" s="40">
        <f t="shared" si="18"/>
        <v>63212.400000000052</v>
      </c>
      <c r="AK74" s="40">
        <f t="shared" si="18"/>
        <v>41310.000000000065</v>
      </c>
      <c r="AL74" s="40">
        <f t="shared" si="18"/>
        <v>20250.000000000022</v>
      </c>
      <c r="AM74" s="40">
        <f t="shared" si="18"/>
        <v>0</v>
      </c>
    </row>
    <row r="75" spans="2:39">
      <c r="B75">
        <v>7.49999999999999E-2</v>
      </c>
      <c r="C75" s="43">
        <f t="shared" si="8"/>
        <v>6063930.125</v>
      </c>
      <c r="D75" s="43">
        <f t="shared" si="8"/>
        <v>5568750.0000000009</v>
      </c>
      <c r="E75" s="41">
        <f t="shared" si="9"/>
        <v>1275014.3034980444</v>
      </c>
      <c r="F75" s="41">
        <f t="shared" si="10"/>
        <v>1170896.7214731446</v>
      </c>
      <c r="G75" s="40">
        <f t="shared" si="11"/>
        <v>11778867.150672985</v>
      </c>
      <c r="H75" s="40">
        <f t="shared" si="12"/>
        <v>10588428.112469213</v>
      </c>
      <c r="I75" s="43">
        <f t="shared" si="13"/>
        <v>19117811.579171032</v>
      </c>
      <c r="J75" s="43">
        <f t="shared" si="14"/>
        <v>17328074.833942357</v>
      </c>
      <c r="K75" s="43">
        <f t="shared" si="15"/>
        <v>1934778.5791710317</v>
      </c>
      <c r="L75" s="43">
        <f t="shared" si="16"/>
        <v>145041.83394235745</v>
      </c>
      <c r="P75" s="40">
        <f t="shared" si="17"/>
        <v>245337.76096980815</v>
      </c>
      <c r="Q75" s="40">
        <f t="shared" si="17"/>
        <v>216544.84039258622</v>
      </c>
      <c r="R75" s="40">
        <f t="shared" si="17"/>
        <v>188792.627788035</v>
      </c>
      <c r="S75" s="40">
        <f t="shared" si="17"/>
        <v>162043.50720533496</v>
      </c>
      <c r="T75" s="40">
        <f t="shared" si="17"/>
        <v>136261.22230634713</v>
      </c>
      <c r="U75" s="40">
        <f t="shared" si="17"/>
        <v>111410.82722298513</v>
      </c>
      <c r="V75" s="40">
        <f t="shared" si="17"/>
        <v>87458.63919082917</v>
      </c>
      <c r="W75" s="40">
        <f t="shared" si="17"/>
        <v>64372.19289477518</v>
      </c>
      <c r="X75" s="40">
        <f t="shared" si="17"/>
        <v>42120.196464843633</v>
      </c>
      <c r="Y75" s="40">
        <f t="shared" si="17"/>
        <v>20672.489062499928</v>
      </c>
      <c r="Z75" s="40">
        <f t="shared" si="17"/>
        <v>0</v>
      </c>
      <c r="AC75" s="40">
        <f t="shared" si="18"/>
        <v>225303.49595686002</v>
      </c>
      <c r="AD75" s="40">
        <f t="shared" si="18"/>
        <v>198861.80333191334</v>
      </c>
      <c r="AE75" s="40">
        <f t="shared" si="18"/>
        <v>173375.83453678401</v>
      </c>
      <c r="AF75" s="40">
        <f t="shared" si="18"/>
        <v>148811.0453366593</v>
      </c>
      <c r="AG75" s="40">
        <f t="shared" si="18"/>
        <v>125134.14008352721</v>
      </c>
      <c r="AH75" s="40">
        <f t="shared" si="18"/>
        <v>102313.0265865322</v>
      </c>
      <c r="AI75" s="40">
        <f t="shared" si="18"/>
        <v>80316.772613525129</v>
      </c>
      <c r="AJ75" s="40">
        <f t="shared" si="18"/>
        <v>59115.563964843568</v>
      </c>
      <c r="AK75" s="40">
        <f t="shared" si="18"/>
        <v>38680.664062499898</v>
      </c>
      <c r="AL75" s="40">
        <f t="shared" si="18"/>
        <v>18984.374999999935</v>
      </c>
      <c r="AM75" s="40">
        <f t="shared" si="18"/>
        <v>0</v>
      </c>
    </row>
    <row r="76" spans="2:39">
      <c r="B76">
        <v>6.9999999999999896E-2</v>
      </c>
      <c r="C76" s="43">
        <f t="shared" si="8"/>
        <v>6063930.125</v>
      </c>
      <c r="D76" s="43">
        <f t="shared" si="8"/>
        <v>5568750.0000000009</v>
      </c>
      <c r="E76" s="41">
        <f t="shared" si="9"/>
        <v>1180808.1216927751</v>
      </c>
      <c r="F76" s="41">
        <f t="shared" si="10"/>
        <v>1084383.4101199578</v>
      </c>
      <c r="G76" s="40">
        <f t="shared" si="11"/>
        <v>12145681.844998227</v>
      </c>
      <c r="H76" s="40">
        <f t="shared" si="12"/>
        <v>10705476.933667306</v>
      </c>
      <c r="I76" s="43">
        <f t="shared" si="13"/>
        <v>19390420.091691002</v>
      </c>
      <c r="J76" s="43">
        <f t="shared" si="14"/>
        <v>17358610.343787264</v>
      </c>
      <c r="K76" s="43">
        <f t="shared" si="15"/>
        <v>2207387.0916910022</v>
      </c>
      <c r="L76" s="43">
        <f t="shared" si="16"/>
        <v>175577.34378726408</v>
      </c>
      <c r="P76" s="40">
        <f t="shared" si="17"/>
        <v>226349.29034709811</v>
      </c>
      <c r="Q76" s="40">
        <f t="shared" si="17"/>
        <v>200053.10842714799</v>
      </c>
      <c r="R76" s="40">
        <f t="shared" si="17"/>
        <v>174646.16937405613</v>
      </c>
      <c r="S76" s="40">
        <f t="shared" si="17"/>
        <v>150098.40217300123</v>
      </c>
      <c r="T76" s="40">
        <f t="shared" si="17"/>
        <v>126380.75270338288</v>
      </c>
      <c r="U76" s="40">
        <f t="shared" si="17"/>
        <v>103465.14935109453</v>
      </c>
      <c r="V76" s="40">
        <f t="shared" si="17"/>
        <v>81324.469783666311</v>
      </c>
      <c r="W76" s="40">
        <f t="shared" si="17"/>
        <v>59932.508848952981</v>
      </c>
      <c r="X76" s="40">
        <f t="shared" si="17"/>
        <v>39263.94755937493</v>
      </c>
      <c r="Y76" s="40">
        <f t="shared" si="17"/>
        <v>19294.323124999955</v>
      </c>
      <c r="Z76" s="40">
        <f t="shared" si="17"/>
        <v>0</v>
      </c>
      <c r="AC76" s="40">
        <f t="shared" si="18"/>
        <v>207865.62256444251</v>
      </c>
      <c r="AD76" s="40">
        <f t="shared" si="18"/>
        <v>183716.78508641792</v>
      </c>
      <c r="AE76" s="40">
        <f t="shared" si="18"/>
        <v>160384.57496272275</v>
      </c>
      <c r="AF76" s="40">
        <f t="shared" si="18"/>
        <v>137841.37677557766</v>
      </c>
      <c r="AG76" s="40">
        <f t="shared" si="18"/>
        <v>116060.50896191082</v>
      </c>
      <c r="AH76" s="40">
        <f t="shared" si="18"/>
        <v>95016.192233730224</v>
      </c>
      <c r="AI76" s="40">
        <f t="shared" si="18"/>
        <v>74683.519066406094</v>
      </c>
      <c r="AJ76" s="40">
        <f t="shared" si="18"/>
        <v>55038.424218749875</v>
      </c>
      <c r="AK76" s="40">
        <f t="shared" si="18"/>
        <v>36057.656249999942</v>
      </c>
      <c r="AL76" s="40">
        <f t="shared" si="18"/>
        <v>17718.74999999996</v>
      </c>
      <c r="AM76" s="40">
        <f t="shared" si="18"/>
        <v>0</v>
      </c>
    </row>
    <row r="77" spans="2:39">
      <c r="B77">
        <v>6.4999999999999905E-2</v>
      </c>
      <c r="C77" s="43">
        <f t="shared" si="8"/>
        <v>6063930.125</v>
      </c>
      <c r="D77" s="43">
        <f t="shared" si="8"/>
        <v>5568750.0000000009</v>
      </c>
      <c r="E77" s="41">
        <f t="shared" si="9"/>
        <v>1088002.5342886809</v>
      </c>
      <c r="F77" s="41">
        <f t="shared" si="10"/>
        <v>999156.32072361524</v>
      </c>
      <c r="G77" s="40">
        <f t="shared" si="11"/>
        <v>12527914.231006054</v>
      </c>
      <c r="H77" s="40">
        <f t="shared" si="12"/>
        <v>10824179.838920711</v>
      </c>
      <c r="I77" s="43">
        <f t="shared" si="13"/>
        <v>19679846.890294734</v>
      </c>
      <c r="J77" s="43">
        <f t="shared" si="14"/>
        <v>17392086.159644328</v>
      </c>
      <c r="K77" s="43">
        <f t="shared" si="15"/>
        <v>2496813.8902947344</v>
      </c>
      <c r="L77" s="43">
        <f t="shared" si="16"/>
        <v>209053.15964432806</v>
      </c>
      <c r="P77" s="40">
        <f t="shared" si="17"/>
        <v>207769.15664831191</v>
      </c>
      <c r="Q77" s="40">
        <f t="shared" si="17"/>
        <v>183876.99705647648</v>
      </c>
      <c r="R77" s="40">
        <f t="shared" si="17"/>
        <v>160736.89091426291</v>
      </c>
      <c r="S77" s="40">
        <f t="shared" si="17"/>
        <v>138325.16583705842</v>
      </c>
      <c r="T77" s="40">
        <f t="shared" si="17"/>
        <v>116618.8945758435</v>
      </c>
      <c r="U77" s="40">
        <f t="shared" si="17"/>
        <v>95595.871562560351</v>
      </c>
      <c r="V77" s="40">
        <f t="shared" si="17"/>
        <v>75234.590193763084</v>
      </c>
      <c r="W77" s="40">
        <f t="shared" si="17"/>
        <v>55514.220829310434</v>
      </c>
      <c r="X77" s="40">
        <f t="shared" si="17"/>
        <v>36414.589483593707</v>
      </c>
      <c r="Y77" s="40">
        <f t="shared" si="17"/>
        <v>17916.157187499986</v>
      </c>
      <c r="Z77" s="40">
        <f t="shared" si="17"/>
        <v>0</v>
      </c>
      <c r="AC77" s="40">
        <f t="shared" si="18"/>
        <v>190802.74133028323</v>
      </c>
      <c r="AD77" s="40">
        <f t="shared" si="18"/>
        <v>168861.61387920898</v>
      </c>
      <c r="AE77" s="40">
        <f t="shared" si="18"/>
        <v>147611.12724378592</v>
      </c>
      <c r="AF77" s="40">
        <f t="shared" si="18"/>
        <v>127029.54212473205</v>
      </c>
      <c r="AG77" s="40">
        <f t="shared" si="18"/>
        <v>107095.80351063635</v>
      </c>
      <c r="AH77" s="40">
        <f t="shared" si="18"/>
        <v>87789.519138630902</v>
      </c>
      <c r="AI77" s="40">
        <f t="shared" si="18"/>
        <v>69090.93863305659</v>
      </c>
      <c r="AJ77" s="40">
        <f t="shared" si="18"/>
        <v>50980.933300781151</v>
      </c>
      <c r="AK77" s="40">
        <f t="shared" si="18"/>
        <v>33440.976562499964</v>
      </c>
      <c r="AL77" s="40">
        <f t="shared" si="18"/>
        <v>16453.124999999989</v>
      </c>
      <c r="AM77" s="40">
        <f t="shared" si="18"/>
        <v>0</v>
      </c>
    </row>
    <row r="78" spans="2:39">
      <c r="B78">
        <v>0.06</v>
      </c>
      <c r="C78" s="43">
        <f t="shared" si="8"/>
        <v>6063930.125</v>
      </c>
      <c r="D78" s="43">
        <f t="shared" si="8"/>
        <v>5568750.0000000009</v>
      </c>
      <c r="E78" s="41">
        <f t="shared" si="9"/>
        <v>996576.97721612407</v>
      </c>
      <c r="F78" s="41">
        <f t="shared" si="10"/>
        <v>915196.56847501872</v>
      </c>
      <c r="G78" s="40">
        <f t="shared" si="11"/>
        <v>12926300.980961446</v>
      </c>
      <c r="H78" s="40">
        <f t="shared" si="12"/>
        <v>10944564.607358871</v>
      </c>
      <c r="I78" s="43">
        <f t="shared" si="13"/>
        <v>19986808.08317757</v>
      </c>
      <c r="J78" s="43">
        <f t="shared" si="14"/>
        <v>17428511.175833888</v>
      </c>
      <c r="K78" s="43">
        <f t="shared" si="15"/>
        <v>2803775.0831775703</v>
      </c>
      <c r="L78" s="43">
        <f t="shared" si="16"/>
        <v>245478.17583388835</v>
      </c>
      <c r="P78" s="40">
        <f t="shared" si="17"/>
        <v>189589.5357441589</v>
      </c>
      <c r="Q78" s="40">
        <f t="shared" si="17"/>
        <v>168011.2082467562</v>
      </c>
      <c r="R78" s="40">
        <f t="shared" si="17"/>
        <v>147061.37572500602</v>
      </c>
      <c r="S78" s="40">
        <f t="shared" si="17"/>
        <v>126721.73250000591</v>
      </c>
      <c r="T78" s="40">
        <f t="shared" si="17"/>
        <v>106974.50606796687</v>
      </c>
      <c r="U78" s="40">
        <f t="shared" si="17"/>
        <v>87802.441570841576</v>
      </c>
      <c r="V78" s="40">
        <f t="shared" si="17"/>
        <v>69188.786719263706</v>
      </c>
      <c r="W78" s="40">
        <f t="shared" si="17"/>
        <v>51117.277154625001</v>
      </c>
      <c r="X78" s="40">
        <f t="shared" si="17"/>
        <v>33572.122237499978</v>
      </c>
      <c r="Y78" s="40">
        <f t="shared" si="17"/>
        <v>16537.991250000014</v>
      </c>
      <c r="Z78" s="40">
        <f t="shared" si="17"/>
        <v>0</v>
      </c>
      <c r="AC78" s="40">
        <f t="shared" si="18"/>
        <v>174107.66704296166</v>
      </c>
      <c r="AD78" s="40">
        <f t="shared" si="18"/>
        <v>154291.42431355504</v>
      </c>
      <c r="AE78" s="40">
        <f t="shared" si="18"/>
        <v>135052.35370248058</v>
      </c>
      <c r="AF78" s="40">
        <f t="shared" si="18"/>
        <v>116373.64437134044</v>
      </c>
      <c r="AG78" s="40">
        <f t="shared" si="18"/>
        <v>98238.975117806214</v>
      </c>
      <c r="AH78" s="40">
        <f t="shared" si="18"/>
        <v>80632.500114374925</v>
      </c>
      <c r="AI78" s="40">
        <f t="shared" si="18"/>
        <v>63538.835062499966</v>
      </c>
      <c r="AJ78" s="40">
        <f t="shared" si="18"/>
        <v>46943.043750000004</v>
      </c>
      <c r="AK78" s="40">
        <f t="shared" si="18"/>
        <v>30830.624999999982</v>
      </c>
      <c r="AL78" s="40">
        <f t="shared" si="18"/>
        <v>15187.500000000015</v>
      </c>
      <c r="AM78" s="40">
        <f t="shared" si="18"/>
        <v>0</v>
      </c>
    </row>
    <row r="79" spans="2:39">
      <c r="B79">
        <v>5.5E-2</v>
      </c>
      <c r="C79" s="43">
        <f t="shared" si="8"/>
        <v>6063930.125</v>
      </c>
      <c r="D79" s="43">
        <f t="shared" si="8"/>
        <v>5568750.0000000009</v>
      </c>
      <c r="E79" s="41">
        <f t="shared" si="9"/>
        <v>906511.16678518499</v>
      </c>
      <c r="F79" s="41">
        <f t="shared" si="10"/>
        <v>832485.5260489994</v>
      </c>
      <c r="G79" s="40">
        <f t="shared" si="11"/>
        <v>13341616.987707561</v>
      </c>
      <c r="H79" s="40">
        <f t="shared" si="12"/>
        <v>11066659.556092579</v>
      </c>
      <c r="I79" s="43">
        <f t="shared" si="13"/>
        <v>20312058.279492747</v>
      </c>
      <c r="J79" s="43">
        <f t="shared" si="14"/>
        <v>17467895.082141578</v>
      </c>
      <c r="K79" s="43">
        <f t="shared" si="15"/>
        <v>3129025.279492747</v>
      </c>
      <c r="L79" s="43">
        <f t="shared" si="16"/>
        <v>284862.0821415782</v>
      </c>
      <c r="P79" s="40">
        <f t="shared" si="17"/>
        <v>171802.73499911721</v>
      </c>
      <c r="Q79" s="40">
        <f t="shared" si="17"/>
        <v>152450.52037626979</v>
      </c>
      <c r="R79" s="40">
        <f t="shared" si="17"/>
        <v>133616.24823724543</v>
      </c>
      <c r="S79" s="40">
        <f t="shared" si="17"/>
        <v>115286.0563744481</v>
      </c>
      <c r="T79" s="40">
        <f t="shared" si="17"/>
        <v>97446.45358827067</v>
      </c>
      <c r="U79" s="40">
        <f t="shared" si="17"/>
        <v>80084.309757441035</v>
      </c>
      <c r="V79" s="40">
        <f t="shared" si="17"/>
        <v>63186.846175125</v>
      </c>
      <c r="W79" s="40">
        <f t="shared" si="17"/>
        <v>46741.626143673922</v>
      </c>
      <c r="X79" s="40">
        <f t="shared" si="17"/>
        <v>30736.545821093845</v>
      </c>
      <c r="Y79" s="40">
        <f t="shared" si="17"/>
        <v>15159.825312500045</v>
      </c>
      <c r="Z79" s="40">
        <f t="shared" si="17"/>
        <v>0</v>
      </c>
      <c r="AC79" s="40">
        <f t="shared" si="18"/>
        <v>157773.33524705382</v>
      </c>
      <c r="AD79" s="40">
        <f t="shared" si="18"/>
        <v>140001.4211650159</v>
      </c>
      <c r="AE79" s="40">
        <f t="shared" si="18"/>
        <v>122705.15441850685</v>
      </c>
      <c r="AF79" s="40">
        <f t="shared" si="18"/>
        <v>105871.80478686799</v>
      </c>
      <c r="AG79" s="40">
        <f t="shared" si="18"/>
        <v>89488.98276094209</v>
      </c>
      <c r="AH79" s="40">
        <f t="shared" si="18"/>
        <v>73544.630424274525</v>
      </c>
      <c r="AI79" s="40">
        <f t="shared" si="18"/>
        <v>58027.012578369278</v>
      </c>
      <c r="AJ79" s="40">
        <f t="shared" si="18"/>
        <v>42924.708105468846</v>
      </c>
      <c r="AK79" s="40">
        <f t="shared" si="18"/>
        <v>28226.601562500091</v>
      </c>
      <c r="AL79" s="40">
        <f t="shared" si="18"/>
        <v>13921.875000000042</v>
      </c>
      <c r="AM79" s="40">
        <f t="shared" si="18"/>
        <v>0</v>
      </c>
    </row>
    <row r="80" spans="2:39">
      <c r="B80">
        <v>0.05</v>
      </c>
      <c r="C80" s="43">
        <f t="shared" si="8"/>
        <v>6063930.125</v>
      </c>
      <c r="D80" s="43">
        <f t="shared" si="8"/>
        <v>5568750.0000000009</v>
      </c>
      <c r="E80" s="41">
        <f t="shared" si="9"/>
        <v>817785.09627879015</v>
      </c>
      <c r="F80" s="41">
        <f t="shared" si="10"/>
        <v>751004.82047565025</v>
      </c>
      <c r="G80" s="40">
        <f t="shared" si="11"/>
        <v>13774677.479234559</v>
      </c>
      <c r="H80" s="40">
        <f t="shared" si="12"/>
        <v>11190493.552002449</v>
      </c>
      <c r="I80" s="43">
        <f t="shared" si="13"/>
        <v>20656392.700513348</v>
      </c>
      <c r="J80" s="43">
        <f t="shared" si="14"/>
        <v>17510248.372478098</v>
      </c>
      <c r="K80" s="43">
        <f t="shared" si="15"/>
        <v>3473359.700513348</v>
      </c>
      <c r="L80" s="43">
        <f t="shared" si="16"/>
        <v>327215.37247809768</v>
      </c>
      <c r="P80" s="40">
        <f t="shared" si="17"/>
        <v>154401.19137265306</v>
      </c>
      <c r="Q80" s="40">
        <f t="shared" si="17"/>
        <v>137189.78731478346</v>
      </c>
      <c r="R80" s="40">
        <f t="shared" si="17"/>
        <v>120398.17359978886</v>
      </c>
      <c r="S80" s="40">
        <f t="shared" si="17"/>
        <v>104016.11143881845</v>
      </c>
      <c r="T80" s="40">
        <f t="shared" si="17"/>
        <v>88033.611769578943</v>
      </c>
      <c r="U80" s="40">
        <f t="shared" si="17"/>
        <v>72440.929165442925</v>
      </c>
      <c r="V80" s="40">
        <f t="shared" si="17"/>
        <v>57228.555893115103</v>
      </c>
      <c r="W80" s="40">
        <f t="shared" si="17"/>
        <v>42387.216115234311</v>
      </c>
      <c r="X80" s="40">
        <f t="shared" si="17"/>
        <v>27907.860234374955</v>
      </c>
      <c r="Y80" s="40">
        <f t="shared" si="17"/>
        <v>13781.65937499995</v>
      </c>
      <c r="Z80" s="40">
        <f t="shared" si="17"/>
        <v>0</v>
      </c>
      <c r="AC80" s="40">
        <f t="shared" si="18"/>
        <v>141792.8004994058</v>
      </c>
      <c r="AD80" s="40">
        <f t="shared" si="18"/>
        <v>125986.87853600564</v>
      </c>
      <c r="AE80" s="40">
        <f t="shared" si="18"/>
        <v>110566.46686439586</v>
      </c>
      <c r="AF80" s="40">
        <f t="shared" si="18"/>
        <v>95522.162794532589</v>
      </c>
      <c r="AG80" s="40">
        <f t="shared" si="18"/>
        <v>80844.792970275666</v>
      </c>
      <c r="AH80" s="40">
        <f t="shared" si="18"/>
        <v>66525.407775878732</v>
      </c>
      <c r="AI80" s="40">
        <f t="shared" si="18"/>
        <v>52555.275878906134</v>
      </c>
      <c r="AJ80" s="40">
        <f t="shared" si="18"/>
        <v>38925.878906249942</v>
      </c>
      <c r="AK80" s="40">
        <f t="shared" si="18"/>
        <v>25628.906249999964</v>
      </c>
      <c r="AL80" s="40">
        <f t="shared" si="18"/>
        <v>12656.249999999956</v>
      </c>
      <c r="AM80" s="40">
        <f t="shared" si="18"/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3"/>
  <sheetViews>
    <sheetView tabSelected="1" zoomScale="90" zoomScaleNormal="90" workbookViewId="0">
      <selection activeCell="I17" sqref="I17"/>
    </sheetView>
  </sheetViews>
  <sheetFormatPr defaultRowHeight="15"/>
  <cols>
    <col min="3" max="9" width="10.85546875" bestFit="1" customWidth="1"/>
    <col min="10" max="10" width="14" bestFit="1" customWidth="1"/>
  </cols>
  <sheetData>
    <row r="2" spans="2:10" ht="33.75">
      <c r="B2" s="31" t="s">
        <v>150</v>
      </c>
    </row>
    <row r="4" spans="2:10"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</row>
    <row r="5" spans="2:10">
      <c r="C5" t="s">
        <v>151</v>
      </c>
      <c r="D5" s="40">
        <f>C13/(1+D6/2)</f>
        <v>1913875.5980861245</v>
      </c>
      <c r="E5" s="40">
        <f>(C12-D12)/(1+E6/2)</f>
        <v>1858131.6486273052</v>
      </c>
      <c r="F5" s="41">
        <f>(C11-SUM(D11:E11))/(1+F6/2)</f>
        <v>1752954.3854974576</v>
      </c>
      <c r="G5" s="40">
        <f>(C10-SUM(D10:F10))/(1+G6/2)</f>
        <v>1689594.5884312845</v>
      </c>
      <c r="H5" s="40">
        <f>(C9-SUM(D9:G9))/(1+H6/2)</f>
        <v>1624610.1811839277</v>
      </c>
      <c r="I5" s="40">
        <f>(C8-SUM(D8:H8))/(1+I6/2)</f>
        <v>1554650.8910850983</v>
      </c>
    </row>
    <row r="6" spans="2:10">
      <c r="C6" t="s">
        <v>121</v>
      </c>
      <c r="D6">
        <v>0.09</v>
      </c>
      <c r="E6">
        <v>0.06</v>
      </c>
      <c r="F6">
        <v>0.12</v>
      </c>
      <c r="G6">
        <v>7.4999999999999997E-2</v>
      </c>
      <c r="H6">
        <v>0.08</v>
      </c>
      <c r="I6">
        <v>0.09</v>
      </c>
    </row>
    <row r="7" spans="2:10">
      <c r="B7" t="s">
        <v>142</v>
      </c>
      <c r="C7" t="s">
        <v>152</v>
      </c>
    </row>
    <row r="8" spans="2:10">
      <c r="B8">
        <v>1</v>
      </c>
      <c r="C8" s="26">
        <v>2000000</v>
      </c>
      <c r="D8" s="43">
        <f>$D$5*$D$6/2</f>
        <v>86124.401913875598</v>
      </c>
      <c r="E8" s="43">
        <f>E$5*E$6/2</f>
        <v>55743.949458819152</v>
      </c>
      <c r="F8" s="43">
        <f>F$5*F$6/2</f>
        <v>105177.26312984744</v>
      </c>
      <c r="G8" s="43">
        <f>G$5*G$6/2</f>
        <v>63359.797066173167</v>
      </c>
      <c r="H8" s="43">
        <f>H$5*H$6/2</f>
        <v>64984.407247357107</v>
      </c>
      <c r="I8" s="43">
        <f>I5*(1+I6/2)</f>
        <v>1624610.1811839277</v>
      </c>
      <c r="J8" s="43">
        <f>SUM(D8:I8)</f>
        <v>2000000.0000000002</v>
      </c>
    </row>
    <row r="9" spans="2:10">
      <c r="B9">
        <v>2</v>
      </c>
      <c r="C9" s="26">
        <v>2000000</v>
      </c>
      <c r="D9" s="43">
        <f t="shared" ref="D9:D12" si="0">$D$5*$D$6/2</f>
        <v>86124.401913875598</v>
      </c>
      <c r="E9" s="43">
        <f t="shared" ref="E9:F11" si="1">E$5*E$6/2</f>
        <v>55743.949458819152</v>
      </c>
      <c r="F9" s="43">
        <f t="shared" si="1"/>
        <v>105177.26312984744</v>
      </c>
      <c r="G9" s="43">
        <f>G$5*G$6/2</f>
        <v>63359.797066173167</v>
      </c>
      <c r="H9" s="40">
        <f>H5*(1+H6/2)</f>
        <v>1689594.5884312848</v>
      </c>
      <c r="J9" s="43">
        <f t="shared" ref="J9:J13" si="2">SUM(D9:I9)</f>
        <v>2000000</v>
      </c>
    </row>
    <row r="10" spans="2:10">
      <c r="B10">
        <v>3</v>
      </c>
      <c r="C10" s="26">
        <v>2000000</v>
      </c>
      <c r="D10" s="43">
        <f t="shared" si="0"/>
        <v>86124.401913875598</v>
      </c>
      <c r="E10" s="43">
        <f t="shared" si="1"/>
        <v>55743.949458819152</v>
      </c>
      <c r="F10" s="43">
        <f t="shared" si="1"/>
        <v>105177.26312984744</v>
      </c>
      <c r="G10" s="40">
        <f>G5*(1+G6/2)</f>
        <v>1752954.3854974578</v>
      </c>
      <c r="J10" s="43">
        <f t="shared" si="2"/>
        <v>2000000</v>
      </c>
    </row>
    <row r="11" spans="2:10">
      <c r="B11">
        <v>4</v>
      </c>
      <c r="C11" s="26">
        <v>2000000</v>
      </c>
      <c r="D11" s="43">
        <f t="shared" si="0"/>
        <v>86124.401913875598</v>
      </c>
      <c r="E11" s="43">
        <f t="shared" si="1"/>
        <v>55743.949458819152</v>
      </c>
      <c r="F11" s="40">
        <f>F5*(1+F6/2)</f>
        <v>1858131.6486273052</v>
      </c>
      <c r="J11" s="43">
        <f t="shared" si="2"/>
        <v>2000000</v>
      </c>
    </row>
    <row r="12" spans="2:10">
      <c r="B12">
        <v>5</v>
      </c>
      <c r="C12" s="26">
        <v>2000000</v>
      </c>
      <c r="D12" s="43">
        <f t="shared" si="0"/>
        <v>86124.401913875598</v>
      </c>
      <c r="E12" s="43">
        <f>E5*(1+E6/2)</f>
        <v>1913875.5980861243</v>
      </c>
      <c r="J12" s="43">
        <f t="shared" si="2"/>
        <v>2000000</v>
      </c>
    </row>
    <row r="13" spans="2:10">
      <c r="B13">
        <v>6</v>
      </c>
      <c r="C13" s="26">
        <v>2000000</v>
      </c>
      <c r="D13" s="40">
        <f>D5*(1+D6/2)</f>
        <v>2000000</v>
      </c>
      <c r="J13" s="43">
        <f t="shared" si="2"/>
        <v>2000000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22-6</vt:lpstr>
      <vt:lpstr>exhibit 23-1,2</vt:lpstr>
      <vt:lpstr>exhibit 23-3</vt:lpstr>
      <vt:lpstr>single immunization</vt:lpstr>
      <vt:lpstr>cash flow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Jai Choi</cp:lastModifiedBy>
  <dcterms:created xsi:type="dcterms:W3CDTF">2023-01-09T01:48:13Z</dcterms:created>
  <dcterms:modified xsi:type="dcterms:W3CDTF">2024-04-17T02:04:55Z</dcterms:modified>
</cp:coreProperties>
</file>