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max\Downloads\"/>
    </mc:Choice>
  </mc:AlternateContent>
  <bookViews>
    <workbookView xWindow="0" yWindow="0" windowWidth="28800" windowHeight="10785" activeTab="4"/>
  </bookViews>
  <sheets>
    <sheet name="q1" sheetId="6" r:id="rId1"/>
    <sheet name="q2" sheetId="7" r:id="rId2"/>
    <sheet name="q3" sheetId="3" r:id="rId3"/>
    <sheet name="q4" sheetId="4" r:id="rId4"/>
    <sheet name="q5" sheetId="5" r:id="rId5"/>
  </sheets>
  <definedNames>
    <definedName name="_xlnm._FilterDatabase" localSheetId="3" hidden="1">'q4'!$A$10:$B$10</definedName>
  </definedNames>
  <calcPr calcId="162913"/>
</workbook>
</file>

<file path=xl/calcChain.xml><?xml version="1.0" encoding="utf-8"?>
<calcChain xmlns="http://schemas.openxmlformats.org/spreadsheetml/2006/main">
  <c r="D25" i="7" l="1"/>
  <c r="D24" i="7"/>
  <c r="B24" i="7"/>
  <c r="C18" i="7"/>
  <c r="C20" i="7" s="1"/>
  <c r="C17" i="7"/>
  <c r="D12" i="7"/>
  <c r="E14" i="7" s="1"/>
  <c r="D11" i="7"/>
  <c r="D10" i="7"/>
  <c r="D9" i="7"/>
  <c r="C4" i="7"/>
  <c r="B4" i="6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C14" i="5"/>
  <c r="D14" i="5" s="1"/>
  <c r="C15" i="5" s="1"/>
  <c r="I13" i="5"/>
  <c r="E13" i="5"/>
  <c r="B13" i="5"/>
  <c r="J13" i="5" s="1"/>
  <c r="B31" i="4"/>
  <c r="E30" i="4"/>
  <c r="C30" i="4"/>
  <c r="E29" i="4"/>
  <c r="C29" i="4"/>
  <c r="I28" i="4"/>
  <c r="E28" i="4"/>
  <c r="C28" i="4"/>
  <c r="D28" i="4" s="1"/>
  <c r="E27" i="4"/>
  <c r="C27" i="4"/>
  <c r="D27" i="4" s="1"/>
  <c r="E26" i="4"/>
  <c r="C26" i="4"/>
  <c r="D26" i="4" s="1"/>
  <c r="E25" i="4"/>
  <c r="C25" i="4"/>
  <c r="D25" i="4" s="1"/>
  <c r="E24" i="4"/>
  <c r="C24" i="4"/>
  <c r="E23" i="4"/>
  <c r="C23" i="4"/>
  <c r="E22" i="4"/>
  <c r="C22" i="4"/>
  <c r="E21" i="4"/>
  <c r="C21" i="4"/>
  <c r="E20" i="4"/>
  <c r="C20" i="4"/>
  <c r="E19" i="4"/>
  <c r="C19" i="4"/>
  <c r="D19" i="4" s="1"/>
  <c r="E18" i="4"/>
  <c r="C18" i="4"/>
  <c r="D18" i="4" s="1"/>
  <c r="E17" i="4"/>
  <c r="C17" i="4"/>
  <c r="D17" i="4" s="1"/>
  <c r="E16" i="4"/>
  <c r="C16" i="4"/>
  <c r="E15" i="4"/>
  <c r="C15" i="4"/>
  <c r="E14" i="4"/>
  <c r="C14" i="4"/>
  <c r="E13" i="4"/>
  <c r="C13" i="4"/>
  <c r="E12" i="4"/>
  <c r="C12" i="4"/>
  <c r="E11" i="4"/>
  <c r="C11" i="4"/>
  <c r="A24" i="3"/>
  <c r="A23" i="3" s="1"/>
  <c r="B23" i="3" s="1"/>
  <c r="B17" i="3"/>
  <c r="B19" i="3" s="1"/>
  <c r="C6" i="3"/>
  <c r="D29" i="4" l="1"/>
  <c r="D13" i="4"/>
  <c r="D11" i="4"/>
  <c r="D21" i="4"/>
  <c r="D22" i="4"/>
  <c r="D14" i="4"/>
  <c r="D20" i="4"/>
  <c r="E31" i="4"/>
  <c r="I27" i="4" s="1"/>
  <c r="D12" i="4"/>
  <c r="D15" i="4"/>
  <c r="D24" i="4"/>
  <c r="A25" i="3"/>
  <c r="B25" i="3" s="1"/>
  <c r="B24" i="3"/>
  <c r="B5" i="6"/>
  <c r="B6" i="6" s="1"/>
  <c r="D15" i="5"/>
  <c r="C16" i="5" s="1"/>
  <c r="E15" i="5"/>
  <c r="K13" i="5"/>
  <c r="B14" i="5" s="1"/>
  <c r="J14" i="5" s="1"/>
  <c r="D30" i="4"/>
  <c r="E14" i="5"/>
  <c r="D16" i="4"/>
  <c r="D23" i="4"/>
  <c r="C10" i="3" l="1"/>
  <c r="C23" i="3"/>
  <c r="B7" i="6"/>
  <c r="K14" i="5"/>
  <c r="B15" i="5" s="1"/>
  <c r="J15" i="5" s="1"/>
  <c r="D16" i="5"/>
  <c r="C17" i="5" s="1"/>
  <c r="E16" i="5"/>
  <c r="K15" i="5" l="1"/>
  <c r="B16" i="5" s="1"/>
  <c r="J16" i="5" s="1"/>
  <c r="K16" i="5"/>
  <c r="B17" i="5" s="1"/>
  <c r="J17" i="5" s="1"/>
  <c r="K17" i="5" s="1"/>
  <c r="B18" i="5" s="1"/>
  <c r="J18" i="5" s="1"/>
  <c r="E17" i="5"/>
  <c r="D17" i="5"/>
  <c r="C18" i="5" s="1"/>
  <c r="K18" i="5" l="1"/>
  <c r="B19" i="5" s="1"/>
  <c r="J19" i="5" s="1"/>
  <c r="E18" i="5"/>
  <c r="D18" i="5"/>
  <c r="C19" i="5" s="1"/>
  <c r="K19" i="5" l="1"/>
  <c r="B20" i="5" s="1"/>
  <c r="J20" i="5" s="1"/>
  <c r="E19" i="5"/>
  <c r="D19" i="5"/>
  <c r="C20" i="5" s="1"/>
  <c r="K20" i="5" l="1"/>
  <c r="B21" i="5" s="1"/>
  <c r="J21" i="5" s="1"/>
  <c r="K21" i="5" s="1"/>
  <c r="B22" i="5" s="1"/>
  <c r="J22" i="5" s="1"/>
  <c r="K22" i="5" s="1"/>
  <c r="B23" i="5" s="1"/>
  <c r="J23" i="5" s="1"/>
  <c r="K23" i="5" s="1"/>
  <c r="B24" i="5" s="1"/>
  <c r="J24" i="5" s="1"/>
  <c r="K24" i="5" s="1"/>
  <c r="B25" i="5" s="1"/>
  <c r="J25" i="5" s="1"/>
  <c r="K25" i="5" s="1"/>
  <c r="B26" i="5" s="1"/>
  <c r="J26" i="5" s="1"/>
  <c r="K26" i="5" s="1"/>
  <c r="B27" i="5" s="1"/>
  <c r="J27" i="5" s="1"/>
  <c r="K27" i="5" s="1"/>
  <c r="B28" i="5" s="1"/>
  <c r="J28" i="5" s="1"/>
  <c r="K28" i="5" s="1"/>
  <c r="B29" i="5" s="1"/>
  <c r="J29" i="5" s="1"/>
  <c r="K29" i="5"/>
  <c r="B30" i="5" s="1"/>
  <c r="J30" i="5" s="1"/>
  <c r="K30" i="5" s="1"/>
  <c r="B31" i="5" s="1"/>
  <c r="J31" i="5" s="1"/>
  <c r="K31" i="5" s="1"/>
  <c r="B32" i="5" s="1"/>
  <c r="J32" i="5" s="1"/>
  <c r="K32" i="5" s="1"/>
  <c r="B33" i="5" s="1"/>
  <c r="J33" i="5" s="1"/>
  <c r="K33" i="5" s="1"/>
  <c r="B34" i="5" s="1"/>
  <c r="J34" i="5" s="1"/>
  <c r="K34" i="5" s="1"/>
  <c r="B35" i="5" s="1"/>
  <c r="J35" i="5" s="1"/>
  <c r="K35" i="5" s="1"/>
  <c r="B36" i="5" s="1"/>
  <c r="J36" i="5" s="1"/>
  <c r="K36" i="5" s="1"/>
  <c r="B37" i="5" s="1"/>
  <c r="J37" i="5" s="1"/>
  <c r="K37" i="5" s="1"/>
  <c r="B38" i="5" s="1"/>
  <c r="J38" i="5" s="1"/>
  <c r="K38" i="5" s="1"/>
  <c r="B39" i="5" s="1"/>
  <c r="J39" i="5" s="1"/>
  <c r="K39" i="5" s="1"/>
  <c r="B40" i="5" s="1"/>
  <c r="J40" i="5" s="1"/>
  <c r="K40" i="5" s="1"/>
  <c r="B41" i="5" s="1"/>
  <c r="J41" i="5" s="1"/>
  <c r="K41" i="5" s="1"/>
  <c r="B42" i="5" s="1"/>
  <c r="J42" i="5" s="1"/>
  <c r="K42" i="5" s="1"/>
  <c r="B43" i="5" s="1"/>
  <c r="J43" i="5" s="1"/>
  <c r="K43" i="5" s="1"/>
  <c r="D20" i="5"/>
  <c r="C21" i="5" s="1"/>
  <c r="E20" i="5"/>
  <c r="E21" i="5" l="1"/>
  <c r="D21" i="5"/>
  <c r="C22" i="5" s="1"/>
  <c r="E22" i="5" l="1"/>
  <c r="D22" i="5"/>
  <c r="C23" i="5" s="1"/>
  <c r="E23" i="5" l="1"/>
  <c r="D23" i="5"/>
  <c r="C24" i="5" s="1"/>
  <c r="E24" i="5" l="1"/>
  <c r="D24" i="5"/>
  <c r="C25" i="5" s="1"/>
  <c r="E25" i="5" l="1"/>
  <c r="D25" i="5"/>
  <c r="C26" i="5" s="1"/>
  <c r="E26" i="5" l="1"/>
  <c r="D26" i="5"/>
  <c r="C27" i="5" s="1"/>
  <c r="E27" i="5" l="1"/>
  <c r="D27" i="5"/>
  <c r="C28" i="5" s="1"/>
  <c r="E28" i="5" l="1"/>
  <c r="D28" i="5"/>
  <c r="C29" i="5" s="1"/>
  <c r="E29" i="5" l="1"/>
  <c r="D29" i="5"/>
  <c r="C30" i="5" s="1"/>
  <c r="E30" i="5" l="1"/>
  <c r="D30" i="5"/>
  <c r="C31" i="5" s="1"/>
  <c r="D31" i="5" l="1"/>
  <c r="C32" i="5" s="1"/>
  <c r="E31" i="5"/>
  <c r="E32" i="5" l="1"/>
  <c r="D32" i="5"/>
  <c r="C33" i="5" s="1"/>
  <c r="E33" i="5" l="1"/>
  <c r="D33" i="5"/>
  <c r="C34" i="5" s="1"/>
  <c r="D34" i="5" l="1"/>
  <c r="C35" i="5" s="1"/>
  <c r="E34" i="5"/>
  <c r="D35" i="5" l="1"/>
  <c r="C36" i="5" s="1"/>
  <c r="E35" i="5"/>
  <c r="E36" i="5" l="1"/>
  <c r="D36" i="5"/>
  <c r="C37" i="5" s="1"/>
  <c r="D37" i="5" l="1"/>
  <c r="C38" i="5" s="1"/>
  <c r="E37" i="5"/>
  <c r="E38" i="5" l="1"/>
  <c r="D38" i="5"/>
  <c r="C39" i="5" s="1"/>
  <c r="D39" i="5" l="1"/>
  <c r="C40" i="5" s="1"/>
  <c r="E39" i="5"/>
  <c r="D40" i="5" l="1"/>
  <c r="C41" i="5" s="1"/>
  <c r="E40" i="5"/>
  <c r="E41" i="5" l="1"/>
  <c r="D41" i="5"/>
  <c r="C42" i="5" s="1"/>
  <c r="E42" i="5" l="1"/>
  <c r="D42" i="5"/>
  <c r="C43" i="5" s="1"/>
  <c r="E43" i="5" l="1"/>
  <c r="D43" i="5"/>
</calcChain>
</file>

<file path=xl/sharedStrings.xml><?xml version="1.0" encoding="utf-8"?>
<sst xmlns="http://schemas.openxmlformats.org/spreadsheetml/2006/main" count="77" uniqueCount="76">
  <si>
    <t>값</t>
  </si>
  <si>
    <t>계</t>
  </si>
  <si>
    <t>듀레이션 계산</t>
  </si>
  <si>
    <t>YTM</t>
  </si>
  <si>
    <t>가격</t>
  </si>
  <si>
    <t>듀레이션</t>
  </si>
  <si>
    <t>rate(%)</t>
  </si>
  <si>
    <t>billions</t>
  </si>
  <si>
    <t>누적 거래량</t>
  </si>
  <si>
    <t>누적 비중</t>
  </si>
  <si>
    <t>rate*volume</t>
  </si>
  <si>
    <t>volume weighted mean</t>
  </si>
  <si>
    <t>volume weighted median</t>
  </si>
  <si>
    <t>-</t>
  </si>
  <si>
    <t>notional</t>
  </si>
  <si>
    <t>balance</t>
  </si>
  <si>
    <t>시작일</t>
  </si>
  <si>
    <t>끝일</t>
  </si>
  <si>
    <t>mon(1), …, sun(7)</t>
  </si>
  <si>
    <t>holiday</t>
  </si>
  <si>
    <t>sofr</t>
  </si>
  <si>
    <t xml:space="preserve">calender day 수 </t>
  </si>
  <si>
    <t>이자율</t>
  </si>
  <si>
    <t>이자</t>
  </si>
  <si>
    <t>누적 이자</t>
  </si>
  <si>
    <t>columbus day</t>
  </si>
  <si>
    <t>Q1</t>
    <phoneticPr fontId="8" type="noConversion"/>
  </si>
  <si>
    <t>t</t>
    <phoneticPr fontId="8" type="noConversion"/>
  </si>
  <si>
    <t>d(t) 값</t>
    <phoneticPr fontId="8" type="noConversion"/>
  </si>
  <si>
    <t>계산 과정</t>
    <phoneticPr fontId="8" type="noConversion"/>
  </si>
  <si>
    <t>96.8=100*d(1)</t>
    <phoneticPr fontId="8" type="noConversion"/>
  </si>
  <si>
    <t>99.56=2.875*d(0.5)+102.875*d(1)</t>
    <phoneticPr fontId="8" type="noConversion"/>
  </si>
  <si>
    <t>100.86=3.75*d(0.5)+3.75*d(1)+103.75*d(1.5)</t>
    <phoneticPr fontId="8" type="noConversion"/>
  </si>
  <si>
    <t>101.22=3.75*d(0.5)+3.75*d(1)+3.75*d(1.5)+103.75*d(2)</t>
    <phoneticPr fontId="8" type="noConversion"/>
  </si>
  <si>
    <t>Q2</t>
    <phoneticPr fontId="8" type="noConversion"/>
  </si>
  <si>
    <t>만기</t>
    <phoneticPr fontId="8" type="noConversion"/>
  </si>
  <si>
    <t>yield</t>
    <phoneticPr fontId="8" type="noConversion"/>
  </si>
  <si>
    <t>F =</t>
    <phoneticPr fontId="8" type="noConversion"/>
  </si>
  <si>
    <t>(a)</t>
    <phoneticPr fontId="8" type="noConversion"/>
  </si>
  <si>
    <t>3-year-zcb = F * d(3) =</t>
    <phoneticPr fontId="8" type="noConversion"/>
  </si>
  <si>
    <t>(b)</t>
    <phoneticPr fontId="8" type="noConversion"/>
  </si>
  <si>
    <t>coupon per quarter = 4% / 4 * F = 1</t>
    <phoneticPr fontId="8" type="noConversion"/>
  </si>
  <si>
    <t>payment dates : 0.25, 0.5, 0.75, 1.0</t>
    <phoneticPr fontId="8" type="noConversion"/>
  </si>
  <si>
    <t>maturity</t>
    <phoneticPr fontId="8" type="noConversion"/>
  </si>
  <si>
    <t>e^(-m*yld)</t>
    <phoneticPr fontId="8" type="noConversion"/>
  </si>
  <si>
    <t>P =</t>
    <phoneticPr fontId="8" type="noConversion"/>
  </si>
  <si>
    <t>(c )</t>
    <phoneticPr fontId="8" type="noConversion"/>
  </si>
  <si>
    <t xml:space="preserve">s = </t>
    <phoneticPr fontId="8" type="noConversion"/>
  </si>
  <si>
    <t>accrual</t>
    <phoneticPr fontId="8" type="noConversion"/>
  </si>
  <si>
    <t>PV</t>
    <phoneticPr fontId="8" type="noConversion"/>
  </si>
  <si>
    <t>answer =</t>
    <phoneticPr fontId="8" type="noConversion"/>
  </si>
  <si>
    <t>c</t>
    <phoneticPr fontId="8" type="noConversion"/>
  </si>
  <si>
    <t>반기당 지급하는 현금 흐름</t>
    <phoneticPr fontId="8" type="noConversion"/>
  </si>
  <si>
    <t>* fixed pay 채권에다가 spread들의 현재가치와 같다고 놓을 수 있다. 따라서, 100+sum of PV(spreads_t)으로 계산하면 된다. 문제에서, spread도 연 단위로 표현되어 있으므로 2로 나누어주어 반기 단위로 표현해주어야 한다.</t>
    <phoneticPr fontId="8" type="noConversion"/>
  </si>
  <si>
    <t>spread들의 현재가치 합</t>
    <phoneticPr fontId="8" type="noConversion"/>
  </si>
  <si>
    <t>Q4</t>
    <phoneticPr fontId="7" type="noConversion"/>
  </si>
  <si>
    <r>
      <t>Q</t>
    </r>
    <r>
      <rPr>
        <sz val="11"/>
        <rFont val="맑은 고딕"/>
        <family val="3"/>
        <charset val="129"/>
        <scheme val="minor"/>
      </rPr>
      <t>5</t>
    </r>
    <phoneticPr fontId="7" type="noConversion"/>
  </si>
  <si>
    <t>항목</t>
  </si>
  <si>
    <t>할인계수 d(t)</t>
  </si>
  <si>
    <t>d(t) = exp(-R(t)*t / 100)</t>
  </si>
  <si>
    <t>시장가격 확인</t>
  </si>
  <si>
    <t>P = Σ[현금흐름*d(t)]</t>
  </si>
  <si>
    <t>YTM 방정식</t>
  </si>
  <si>
    <t>97.3492 = 1/(1+y/4)^1 + 1/(1+y/4)^2 + 1/(1+y/4)^3 + 101/(1+y/4)^4</t>
  </si>
  <si>
    <t>YTM 결과</t>
  </si>
  <si>
    <t>YTM(%) = y*100</t>
  </si>
  <si>
    <t>유효 듀레이션</t>
  </si>
  <si>
    <t>D_eff = (P(-) - P(+)) / (2 * P * 0.0001)</t>
  </si>
  <si>
    <t>d(0.25)=0.9844 d(0.50)=0.9686 d(0.75)=0.9528 d(1.00)=0.9371</t>
    <phoneticPr fontId="7" type="noConversion"/>
  </si>
  <si>
    <r>
      <t>Q</t>
    </r>
    <r>
      <rPr>
        <sz val="11"/>
        <rFont val="맑은 고딕"/>
        <family val="3"/>
        <charset val="129"/>
        <scheme val="minor"/>
      </rPr>
      <t>3</t>
    </r>
    <phoneticPr fontId="7" type="noConversion"/>
  </si>
  <si>
    <t>계산</t>
    <phoneticPr fontId="7" type="noConversion"/>
  </si>
  <si>
    <t>계산식</t>
    <phoneticPr fontId="7" type="noConversion"/>
  </si>
  <si>
    <t>차이</t>
    <phoneticPr fontId="7" type="noConversion"/>
  </si>
  <si>
    <t>YTM</t>
    <phoneticPr fontId="7" type="noConversion"/>
  </si>
  <si>
    <t>YTM 수식</t>
    <phoneticPr fontId="7" type="noConversion"/>
  </si>
  <si>
    <t>PV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</si>
</sst>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7" formatCode="0.0000_ "/>
    <numFmt numFmtId="178" formatCode="0.00000_);[Red]\(0.00000\)"/>
    <numFmt numFmtId="179" formatCode="_-* #,##0_-;\-* #,##0_-;_-* &quot;-&quot;_-;_-@"/>
    <numFmt numFmtId="180" formatCode="_-* #,##0.00_-;\-* #,##0.00_-;_-* &quot;-&quot;??_-;_-@"/>
    <numFmt numFmtId="181" formatCode="0.0000"/>
  </numFmts>
  <fonts count="11">
    <font>
      <sz val="1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name val="Malgun Gothic"/>
      <family val="3"/>
      <charset val="129"/>
    </font>
    <font>
      <sz val="11"/>
      <name val="맑은 고딕"/>
      <family val="3"/>
      <charset val="129"/>
    </font>
    <font>
      <sz val="11"/>
      <name val="Malgun Gothic"/>
      <family val="3"/>
      <charset val="129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1" fillId="0" borderId="25">
      <alignment vertical="center"/>
    </xf>
  </cellStyleXfs>
  <cellXfs count="72"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80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80" fontId="2" fillId="2" borderId="25" xfId="0" applyNumberFormat="1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1" fillId="0" borderId="25" xfId="2">
      <alignment vertical="center"/>
    </xf>
    <xf numFmtId="0" fontId="1" fillId="0" borderId="26" xfId="2" applyBorder="1" applyAlignment="1">
      <alignment horizontal="center" vertical="center"/>
    </xf>
    <xf numFmtId="0" fontId="1" fillId="0" borderId="27" xfId="2" applyBorder="1" applyAlignment="1">
      <alignment horizontal="center" vertical="center"/>
    </xf>
    <xf numFmtId="0" fontId="1" fillId="0" borderId="28" xfId="2" applyBorder="1" applyAlignment="1">
      <alignment horizontal="center" vertical="center"/>
    </xf>
    <xf numFmtId="0" fontId="1" fillId="0" borderId="29" xfId="2" applyBorder="1" applyAlignment="1">
      <alignment horizontal="center" vertical="center"/>
    </xf>
    <xf numFmtId="181" fontId="1" fillId="0" borderId="30" xfId="2" applyNumberFormat="1" applyBorder="1" applyAlignment="1">
      <alignment horizontal="center" vertical="center"/>
    </xf>
    <xf numFmtId="0" fontId="1" fillId="0" borderId="31" xfId="2" applyBorder="1" applyAlignment="1">
      <alignment horizontal="left" vertical="center"/>
    </xf>
    <xf numFmtId="0" fontId="1" fillId="0" borderId="32" xfId="2" applyBorder="1" applyAlignment="1">
      <alignment horizontal="center" vertical="center"/>
    </xf>
    <xf numFmtId="181" fontId="1" fillId="0" borderId="33" xfId="2" applyNumberFormat="1" applyBorder="1" applyAlignment="1">
      <alignment horizontal="center" vertical="center"/>
    </xf>
    <xf numFmtId="0" fontId="1" fillId="0" borderId="34" xfId="2" applyBorder="1" applyAlignment="1">
      <alignment horizontal="left" vertical="center"/>
    </xf>
    <xf numFmtId="0" fontId="9" fillId="0" borderId="25" xfId="2" applyFont="1" applyAlignment="1">
      <alignment horizontal="right" vertical="center" wrapText="1"/>
    </xf>
    <xf numFmtId="9" fontId="1" fillId="0" borderId="25" xfId="2" applyNumberFormat="1">
      <alignment vertical="center"/>
    </xf>
    <xf numFmtId="0" fontId="1" fillId="0" borderId="25" xfId="2" applyAlignment="1">
      <alignment horizontal="right" vertical="center" wrapText="1"/>
    </xf>
    <xf numFmtId="10" fontId="1" fillId="0" borderId="25" xfId="2" applyNumberFormat="1">
      <alignment vertical="center"/>
    </xf>
    <xf numFmtId="181" fontId="1" fillId="0" borderId="25" xfId="2" applyNumberFormat="1">
      <alignment vertical="center"/>
    </xf>
    <xf numFmtId="0" fontId="2" fillId="0" borderId="2" xfId="2" applyFont="1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1" fillId="0" borderId="30" xfId="2" applyBorder="1" applyAlignment="1">
      <alignment horizontal="left" vertical="center"/>
    </xf>
    <xf numFmtId="0" fontId="1" fillId="0" borderId="30" xfId="2" applyBorder="1" applyAlignment="1">
      <alignment horizontal="center" vertical="center"/>
    </xf>
    <xf numFmtId="0" fontId="1" fillId="0" borderId="35" xfId="2" applyBorder="1" applyAlignment="1">
      <alignment horizontal="left" vertical="center" wrapText="1"/>
    </xf>
    <xf numFmtId="0" fontId="1" fillId="0" borderId="36" xfId="2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0" fontId="5" fillId="0" borderId="0" xfId="0" applyNumberFormat="1" applyFont="1" applyAlignment="1">
      <alignment vertical="center" wrapText="1"/>
    </xf>
    <xf numFmtId="0" fontId="0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Border="1"/>
    <xf numFmtId="0" fontId="2" fillId="0" borderId="30" xfId="0" applyFont="1" applyBorder="1" applyAlignment="1">
      <alignment vertical="center"/>
    </xf>
    <xf numFmtId="0" fontId="6" fillId="3" borderId="1" xfId="1" applyBorder="1" applyAlignment="1">
      <alignment horizontal="center" vertical="center"/>
    </xf>
    <xf numFmtId="0" fontId="6" fillId="3" borderId="2" xfId="1" applyBorder="1" applyAlignment="1">
      <alignment horizontal="center" vertical="center"/>
    </xf>
  </cellXfs>
  <cellStyles count="3">
    <cellStyle name="좋음" xfId="1" builtinId="2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누적 비중</c:v>
          </c:tx>
          <c:marker>
            <c:symbol val="none"/>
          </c:marker>
          <c:xVal>
            <c:numRef>
              <c:f>'q4'!$A$11:$A$30</c:f>
              <c:numCache>
                <c:formatCode>General</c:formatCode>
                <c:ptCount val="20"/>
                <c:pt idx="0">
                  <c:v>4.3</c:v>
                </c:pt>
                <c:pt idx="1">
                  <c:v>4.3099999999999996</c:v>
                </c:pt>
                <c:pt idx="2">
                  <c:v>4.32</c:v>
                </c:pt>
                <c:pt idx="3">
                  <c:v>4.33</c:v>
                </c:pt>
                <c:pt idx="4">
                  <c:v>4.34</c:v>
                </c:pt>
                <c:pt idx="5">
                  <c:v>4.3499999999999996</c:v>
                </c:pt>
                <c:pt idx="6">
                  <c:v>4.3600000000000003</c:v>
                </c:pt>
                <c:pt idx="7">
                  <c:v>4.37</c:v>
                </c:pt>
                <c:pt idx="8">
                  <c:v>4.38</c:v>
                </c:pt>
                <c:pt idx="9">
                  <c:v>4.3900000000000103</c:v>
                </c:pt>
                <c:pt idx="10">
                  <c:v>4.4000000000000101</c:v>
                </c:pt>
                <c:pt idx="11">
                  <c:v>4.4100000000000099</c:v>
                </c:pt>
                <c:pt idx="12">
                  <c:v>4.4200000000000097</c:v>
                </c:pt>
                <c:pt idx="13">
                  <c:v>4.4300000000000104</c:v>
                </c:pt>
                <c:pt idx="14">
                  <c:v>4.4400000000000102</c:v>
                </c:pt>
                <c:pt idx="15">
                  <c:v>4.4500000000000099</c:v>
                </c:pt>
                <c:pt idx="16">
                  <c:v>4.4600000000000097</c:v>
                </c:pt>
                <c:pt idx="17">
                  <c:v>4.4700000000000104</c:v>
                </c:pt>
                <c:pt idx="18">
                  <c:v>4.4800000000000102</c:v>
                </c:pt>
                <c:pt idx="19">
                  <c:v>4.49</c:v>
                </c:pt>
              </c:numCache>
            </c:numRef>
          </c:xVal>
          <c:yVal>
            <c:numRef>
              <c:f>'q4'!$D$11:$D$30</c:f>
              <c:numCache>
                <c:formatCode>General</c:formatCode>
                <c:ptCount val="20"/>
                <c:pt idx="0">
                  <c:v>0.40124659135177249</c:v>
                </c:pt>
                <c:pt idx="1">
                  <c:v>1.4998052201012853</c:v>
                </c:pt>
                <c:pt idx="2">
                  <c:v>5.2006232956758849</c:v>
                </c:pt>
                <c:pt idx="3">
                  <c:v>11.901051811453057</c:v>
                </c:pt>
                <c:pt idx="4">
                  <c:v>19.801324503311253</c:v>
                </c:pt>
                <c:pt idx="5">
                  <c:v>29.902610050642771</c:v>
                </c:pt>
                <c:pt idx="6">
                  <c:v>42.30229840280483</c:v>
                </c:pt>
                <c:pt idx="7">
                  <c:v>50.003895597974292</c:v>
                </c:pt>
                <c:pt idx="8">
                  <c:v>63.502142578885859</c:v>
                </c:pt>
                <c:pt idx="9">
                  <c:v>71.503700818075572</c:v>
                </c:pt>
                <c:pt idx="10">
                  <c:v>75.901830931047925</c:v>
                </c:pt>
                <c:pt idx="11">
                  <c:v>80.701207635372029</c:v>
                </c:pt>
                <c:pt idx="12">
                  <c:v>84.701986754966882</c:v>
                </c:pt>
                <c:pt idx="13">
                  <c:v>88.30151928320997</c:v>
                </c:pt>
                <c:pt idx="14">
                  <c:v>91.901051811453058</c:v>
                </c:pt>
                <c:pt idx="15">
                  <c:v>95.099337748344354</c:v>
                </c:pt>
                <c:pt idx="16">
                  <c:v>97.499026100506413</c:v>
                </c:pt>
                <c:pt idx="17">
                  <c:v>99.400077911959485</c:v>
                </c:pt>
                <c:pt idx="18">
                  <c:v>99.801324503311264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1-4841-AD1D-8A7735D6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20652"/>
        <c:axId val="1390637411"/>
      </c:scatterChart>
      <c:valAx>
        <c:axId val="1309720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390637411"/>
        <c:crosses val="autoZero"/>
        <c:crossBetween val="midCat"/>
      </c:valAx>
      <c:valAx>
        <c:axId val="1390637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3097206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123825</xdr:rowOff>
    </xdr:from>
    <xdr:ext cx="5257800" cy="2600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B21" sqref="B21"/>
    </sheetView>
  </sheetViews>
  <sheetFormatPr defaultRowHeight="16.5"/>
  <cols>
    <col min="1" max="1" width="13.875" style="36" bestFit="1" customWidth="1"/>
    <col min="2" max="2" width="12.75" style="36" bestFit="1" customWidth="1"/>
    <col min="3" max="3" width="49.75" style="36" bestFit="1" customWidth="1"/>
    <col min="4" max="16384" width="9" style="36"/>
  </cols>
  <sheetData>
    <row r="1" spans="1:3">
      <c r="A1" s="36" t="s">
        <v>26</v>
      </c>
    </row>
    <row r="2" spans="1:3" ht="17.25" thickBot="1"/>
    <row r="3" spans="1:3">
      <c r="A3" s="37" t="s">
        <v>27</v>
      </c>
      <c r="B3" s="38" t="s">
        <v>28</v>
      </c>
      <c r="C3" s="39" t="s">
        <v>29</v>
      </c>
    </row>
    <row r="4" spans="1:3">
      <c r="A4" s="40">
        <v>0.5</v>
      </c>
      <c r="B4" s="41">
        <f>96.8/100</f>
        <v>0.96799999999999997</v>
      </c>
      <c r="C4" s="42" t="s">
        <v>30</v>
      </c>
    </row>
    <row r="5" spans="1:3">
      <c r="A5" s="40">
        <v>1</v>
      </c>
      <c r="B5" s="41">
        <f>(99.56-2.875*B4)/102.875</f>
        <v>0.94072417982989065</v>
      </c>
      <c r="C5" s="42" t="s">
        <v>31</v>
      </c>
    </row>
    <row r="6" spans="1:3">
      <c r="A6" s="40">
        <v>1.5</v>
      </c>
      <c r="B6" s="41">
        <f>(100.86-(3.75*B4+3.75*B5))/103.75</f>
        <v>0.90315454771699188</v>
      </c>
      <c r="C6" s="42" t="s">
        <v>32</v>
      </c>
    </row>
    <row r="7" spans="1:3" ht="17.25" thickBot="1">
      <c r="A7" s="43">
        <v>2</v>
      </c>
      <c r="B7" s="44">
        <f>(101.22-(3.75*B4+3.75*B5+3.75*B6))/103.75</f>
        <v>0.87398028695613683</v>
      </c>
      <c r="C7" s="45" t="s">
        <v>33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30" zoomScaleNormal="130" workbookViewId="0">
      <selection activeCell="E11" sqref="E11"/>
    </sheetView>
  </sheetViews>
  <sheetFormatPr defaultRowHeight="16.5"/>
  <cols>
    <col min="1" max="2" width="9" style="36"/>
    <col min="3" max="3" width="25.5" style="36" bestFit="1" customWidth="1"/>
    <col min="4" max="4" width="9" style="36"/>
    <col min="5" max="5" width="50.25" style="36" customWidth="1"/>
    <col min="6" max="16384" width="9" style="36"/>
  </cols>
  <sheetData>
    <row r="1" spans="1:9">
      <c r="A1" s="36" t="s">
        <v>34</v>
      </c>
      <c r="F1" s="46" t="s">
        <v>35</v>
      </c>
      <c r="G1" s="46" t="s">
        <v>36</v>
      </c>
      <c r="I1" s="47">
        <v>0.01</v>
      </c>
    </row>
    <row r="2" spans="1:9">
      <c r="B2" s="36" t="s">
        <v>37</v>
      </c>
      <c r="C2" s="36">
        <v>100</v>
      </c>
      <c r="F2" s="48">
        <v>0.25</v>
      </c>
      <c r="G2" s="49">
        <v>6.3299999999999995E-2</v>
      </c>
    </row>
    <row r="3" spans="1:9">
      <c r="A3" s="36" t="s">
        <v>38</v>
      </c>
      <c r="B3" s="36" t="s">
        <v>39</v>
      </c>
      <c r="F3" s="48">
        <v>0.5</v>
      </c>
      <c r="G3" s="49">
        <v>6.4899999999999999E-2</v>
      </c>
    </row>
    <row r="4" spans="1:9">
      <c r="C4" s="36">
        <f>C2*EXP(-G13 * 3)</f>
        <v>81.472878521642798</v>
      </c>
      <c r="F4" s="48">
        <v>0.75</v>
      </c>
      <c r="G4" s="49">
        <v>6.6200000000000009E-2</v>
      </c>
    </row>
    <row r="5" spans="1:9">
      <c r="F5" s="48">
        <v>1</v>
      </c>
      <c r="G5" s="49">
        <v>6.7100000000000007E-2</v>
      </c>
    </row>
    <row r="6" spans="1:9">
      <c r="A6" s="36" t="s">
        <v>40</v>
      </c>
      <c r="B6" s="36" t="s">
        <v>41</v>
      </c>
      <c r="F6" s="48">
        <v>1.25</v>
      </c>
      <c r="G6" s="49">
        <v>6.7900000000000002E-2</v>
      </c>
      <c r="H6" s="46"/>
    </row>
    <row r="7" spans="1:9">
      <c r="B7" s="36" t="s">
        <v>42</v>
      </c>
      <c r="F7" s="48">
        <v>1.5</v>
      </c>
      <c r="G7" s="49">
        <v>6.8400000000000002E-2</v>
      </c>
      <c r="H7" s="48"/>
    </row>
    <row r="8" spans="1:9">
      <c r="B8" s="36" t="s">
        <v>43</v>
      </c>
      <c r="C8" s="36" t="s">
        <v>36</v>
      </c>
      <c r="D8" s="36" t="s">
        <v>44</v>
      </c>
      <c r="F8" s="48">
        <v>1.75</v>
      </c>
      <c r="G8" s="49">
        <v>6.8699999999999997E-2</v>
      </c>
      <c r="H8" s="48"/>
    </row>
    <row r="9" spans="1:9">
      <c r="B9" s="48">
        <v>0.25</v>
      </c>
      <c r="C9" s="49">
        <v>6.3299999999999995E-2</v>
      </c>
      <c r="D9" s="36">
        <f>EXP(- B9*C9)</f>
        <v>0.98429955740662345</v>
      </c>
      <c r="F9" s="48">
        <v>2</v>
      </c>
      <c r="G9" s="49">
        <v>6.88E-2</v>
      </c>
      <c r="H9" s="48"/>
    </row>
    <row r="10" spans="1:9">
      <c r="B10" s="48">
        <v>0.5</v>
      </c>
      <c r="C10" s="49">
        <v>6.4899999999999999E-2</v>
      </c>
      <c r="D10" s="36">
        <f t="shared" ref="D10:D12" si="0">EXP(- B10*C10)</f>
        <v>0.96807085216384581</v>
      </c>
      <c r="F10" s="48">
        <v>2.25</v>
      </c>
      <c r="G10" s="49">
        <v>6.8900000000000003E-2</v>
      </c>
      <c r="H10" s="48"/>
    </row>
    <row r="11" spans="1:9">
      <c r="B11" s="48">
        <v>0.75</v>
      </c>
      <c r="C11" s="49">
        <v>6.6200000000000009E-2</v>
      </c>
      <c r="D11" s="36">
        <f t="shared" si="0"/>
        <v>0.95156241306888945</v>
      </c>
      <c r="F11" s="48">
        <v>2.5</v>
      </c>
      <c r="G11" s="49">
        <v>6.88E-2</v>
      </c>
      <c r="H11" s="48"/>
    </row>
    <row r="12" spans="1:9">
      <c r="B12" s="48">
        <v>1</v>
      </c>
      <c r="C12" s="49">
        <v>6.7100000000000007E-2</v>
      </c>
      <c r="D12" s="36">
        <f t="shared" si="0"/>
        <v>0.93510168649246306</v>
      </c>
      <c r="F12" s="48">
        <v>2.75</v>
      </c>
      <c r="G12" s="49">
        <v>6.8600000000000008E-2</v>
      </c>
      <c r="H12" s="48"/>
    </row>
    <row r="13" spans="1:9">
      <c r="F13" s="48">
        <v>3</v>
      </c>
      <c r="G13" s="49">
        <v>6.83E-2</v>
      </c>
    </row>
    <row r="14" spans="1:9">
      <c r="D14" s="36" t="s">
        <v>45</v>
      </c>
      <c r="E14" s="50">
        <f>1*SUM(D9:D12)+C2*D12</f>
        <v>97.349203158378131</v>
      </c>
    </row>
    <row r="16" spans="1:9">
      <c r="A16" s="36" t="s">
        <v>46</v>
      </c>
      <c r="B16" s="36" t="s">
        <v>47</v>
      </c>
      <c r="C16" s="36">
        <v>3.5000000000000001E-3</v>
      </c>
    </row>
    <row r="17" spans="1:5">
      <c r="B17" s="36" t="s">
        <v>48</v>
      </c>
      <c r="C17" s="51">
        <f>0.0035/2*100</f>
        <v>0.17500000000000002</v>
      </c>
    </row>
    <row r="18" spans="1:5">
      <c r="B18" s="36" t="s">
        <v>49</v>
      </c>
      <c r="C18" s="51">
        <f>0.175*(EXP(-0.5*0.0649)+EXP(-1*0.0671)+EXP(-1.5*0.0684)+EXP(-2*0.0688)+EXP(-2.5*0.0688)+EXP(-3*0.0683))</f>
        <v>0.93341772902203213</v>
      </c>
    </row>
    <row r="20" spans="1:5">
      <c r="B20" s="36" t="s">
        <v>50</v>
      </c>
      <c r="C20" s="36">
        <f>C2+C18</f>
        <v>100.93341772902203</v>
      </c>
    </row>
    <row r="24" spans="1:5" ht="35.450000000000003" customHeight="1">
      <c r="A24" s="52" t="s">
        <v>51</v>
      </c>
      <c r="B24" s="52">
        <f>100+D25</f>
        <v>100.93341772902203</v>
      </c>
      <c r="C24" s="53" t="s">
        <v>52</v>
      </c>
      <c r="D24" s="54">
        <f>0.0035/2*100</f>
        <v>0.17500000000000002</v>
      </c>
      <c r="E24" s="55" t="s">
        <v>53</v>
      </c>
    </row>
    <row r="25" spans="1:5" ht="35.450000000000003" customHeight="1">
      <c r="A25" s="52"/>
      <c r="B25" s="52"/>
      <c r="C25" s="53" t="s">
        <v>54</v>
      </c>
      <c r="D25" s="54">
        <f>0.175*(EXP(-0.5*0.0649)+EXP(-1*0.0671)+EXP(-1.5*0.0684)+EXP(-2*0.0688)+EXP(-2.5*0.0688)+EXP(-3*0.0683))</f>
        <v>0.93341772902203213</v>
      </c>
      <c r="E25" s="56"/>
    </row>
  </sheetData>
  <mergeCells count="3">
    <mergeCell ref="A24:A25"/>
    <mergeCell ref="B24:B25"/>
    <mergeCell ref="E24:E25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8" sqref="C8"/>
    </sheetView>
  </sheetViews>
  <sheetFormatPr defaultColWidth="14.375" defaultRowHeight="15" customHeight="1"/>
  <cols>
    <col min="1" max="1" width="22.75" customWidth="1"/>
    <col min="2" max="2" width="63" customWidth="1"/>
    <col min="3" max="3" width="16.375" customWidth="1"/>
    <col min="4" max="4" width="13.375" customWidth="1"/>
    <col min="5" max="10" width="8.75" customWidth="1"/>
  </cols>
  <sheetData>
    <row r="1" spans="1:4" ht="16.5" customHeight="1"/>
    <row r="2" spans="1:4" ht="16.5" customHeight="1">
      <c r="A2" s="57" t="s">
        <v>69</v>
      </c>
    </row>
    <row r="3" spans="1:4" ht="16.5" customHeight="1"/>
    <row r="4" spans="1:4" ht="16.5" customHeight="1">
      <c r="A4" s="58" t="s">
        <v>57</v>
      </c>
      <c r="B4" s="58" t="s">
        <v>71</v>
      </c>
      <c r="C4" s="58" t="s">
        <v>0</v>
      </c>
    </row>
    <row r="5" spans="1:4" ht="16.5" customHeight="1">
      <c r="A5" s="59" t="s">
        <v>58</v>
      </c>
      <c r="B5" s="59" t="s">
        <v>59</v>
      </c>
      <c r="C5" s="59" t="s">
        <v>68</v>
      </c>
    </row>
    <row r="6" spans="1:4" ht="16.5" customHeight="1">
      <c r="A6" s="59" t="s">
        <v>60</v>
      </c>
      <c r="B6" s="59" t="s">
        <v>61</v>
      </c>
      <c r="C6" s="59">
        <f>SUM(D15:D18)</f>
        <v>0</v>
      </c>
    </row>
    <row r="7" spans="1:4" ht="16.5" customHeight="1">
      <c r="A7" s="59" t="s">
        <v>62</v>
      </c>
      <c r="B7" s="59" t="s">
        <v>63</v>
      </c>
      <c r="C7" s="59"/>
    </row>
    <row r="8" spans="1:4" ht="16.5" customHeight="1">
      <c r="A8" s="59" t="s">
        <v>64</v>
      </c>
      <c r="B8" s="59" t="s">
        <v>65</v>
      </c>
      <c r="C8" s="60">
        <v>6.7066883567475893E-2</v>
      </c>
    </row>
    <row r="9" spans="1:4" ht="16.5" customHeight="1">
      <c r="A9" s="59"/>
      <c r="B9" s="59"/>
      <c r="C9" s="59"/>
    </row>
    <row r="10" spans="1:4" ht="16.5" customHeight="1">
      <c r="A10" s="59" t="s">
        <v>66</v>
      </c>
      <c r="B10" s="59" t="s">
        <v>67</v>
      </c>
      <c r="C10" s="59">
        <f>-1/B24*(B25-B23)/(A25-A23)</f>
        <v>0.98501513056979662</v>
      </c>
    </row>
    <row r="11" spans="1:4" ht="16.5" customHeight="1"/>
    <row r="12" spans="1:4" ht="16.5" customHeight="1"/>
    <row r="13" spans="1:4" ht="16.5" customHeight="1"/>
    <row r="14" spans="1:4" ht="16.5" customHeight="1">
      <c r="B14" s="61"/>
      <c r="C14" s="62"/>
      <c r="D14" s="63"/>
    </row>
    <row r="15" spans="1:4" ht="16.5" customHeight="1">
      <c r="A15" s="65" t="s">
        <v>70</v>
      </c>
      <c r="B15" s="66"/>
      <c r="C15" s="64"/>
      <c r="D15" s="64"/>
    </row>
    <row r="16" spans="1:4" ht="16.5" customHeight="1">
      <c r="A16" s="67" t="s">
        <v>73</v>
      </c>
      <c r="B16" s="68">
        <v>6.7066883567475907E-2</v>
      </c>
      <c r="C16" s="64"/>
      <c r="D16" s="64"/>
    </row>
    <row r="17" spans="1:4" ht="16.5" customHeight="1">
      <c r="A17" s="67" t="s">
        <v>74</v>
      </c>
      <c r="B17" s="69">
        <f>EXP(-0.25*B16)+EXP(-0.5*B16)+EXP(-0.75*B16)+101*EXP(-B16)</f>
        <v>97.349737651730379</v>
      </c>
      <c r="C17" s="64"/>
      <c r="D17" s="64"/>
    </row>
    <row r="18" spans="1:4" ht="16.5" customHeight="1">
      <c r="A18" s="67" t="s">
        <v>75</v>
      </c>
      <c r="B18" s="69">
        <v>97.349199999999996</v>
      </c>
      <c r="C18" s="64"/>
      <c r="D18" s="64"/>
    </row>
    <row r="19" spans="1:4" ht="16.5" customHeight="1">
      <c r="A19" s="67" t="s">
        <v>72</v>
      </c>
      <c r="B19" s="69">
        <f>B17-B18</f>
        <v>5.3765173038300418E-4</v>
      </c>
      <c r="C19" s="64"/>
      <c r="D19" s="64"/>
    </row>
    <row r="20" spans="1:4" ht="16.5" customHeight="1" thickBot="1"/>
    <row r="21" spans="1:4" ht="16.5" customHeight="1">
      <c r="A21" s="28" t="s">
        <v>2</v>
      </c>
      <c r="B21" s="33"/>
      <c r="C21" s="29"/>
    </row>
    <row r="22" spans="1:4" ht="16.5" customHeight="1">
      <c r="A22" s="1" t="s">
        <v>3</v>
      </c>
      <c r="B22" s="2" t="s">
        <v>4</v>
      </c>
      <c r="C22" s="5" t="s">
        <v>5</v>
      </c>
    </row>
    <row r="23" spans="1:4" ht="16.5" customHeight="1">
      <c r="A23" s="7">
        <f>A24-0.0005</f>
        <v>6.6566883567475907E-2</v>
      </c>
      <c r="B23" s="2">
        <f t="shared" ref="B23:B25" si="0">EXP(-0.25*A23)+EXP(-0.5*A23)+EXP(-0.75*A23)+101*EXP(-1*A23)</f>
        <v>97.397695044817681</v>
      </c>
      <c r="C23" s="30">
        <f>-1/B24*(B25-B23)/(A25-A23)</f>
        <v>0.98501513056979662</v>
      </c>
    </row>
    <row r="24" spans="1:4" ht="16.5" customHeight="1">
      <c r="A24" s="7">
        <f>B16</f>
        <v>6.7066883567475907E-2</v>
      </c>
      <c r="B24" s="2">
        <f t="shared" si="0"/>
        <v>97.349737651730379</v>
      </c>
      <c r="C24" s="31"/>
    </row>
    <row r="25" spans="1:4" ht="16.5" customHeight="1" thickBot="1">
      <c r="A25" s="8">
        <f>A24+0.0005</f>
        <v>6.7566883567475908E-2</v>
      </c>
      <c r="B25" s="3">
        <f t="shared" si="0"/>
        <v>97.301804080273726</v>
      </c>
      <c r="C25" s="32"/>
    </row>
    <row r="26" spans="1:4" ht="16.5" customHeight="1"/>
    <row r="27" spans="1:4" ht="16.5" customHeight="1"/>
    <row r="28" spans="1:4" ht="16.5" customHeight="1"/>
    <row r="29" spans="1:4" ht="16.5" customHeight="1"/>
    <row r="30" spans="1:4" ht="16.5" customHeight="1"/>
    <row r="31" spans="1:4" ht="16.5" customHeight="1"/>
    <row r="32" spans="1: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4">
    <mergeCell ref="C14:D14"/>
    <mergeCell ref="A15:B15"/>
    <mergeCell ref="C23:C25"/>
    <mergeCell ref="A21:C21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10" workbookViewId="0">
      <selection activeCell="L13" sqref="L13"/>
    </sheetView>
  </sheetViews>
  <sheetFormatPr defaultColWidth="14.375" defaultRowHeight="15" customHeight="1"/>
  <cols>
    <col min="1" max="3" width="11.625" customWidth="1"/>
    <col min="4" max="4" width="12.75" customWidth="1"/>
    <col min="5" max="5" width="11.875" customWidth="1"/>
    <col min="6" max="7" width="8.75" customWidth="1"/>
    <col min="8" max="8" width="23.25" customWidth="1"/>
    <col min="9" max="9" width="12.625" customWidth="1"/>
    <col min="10" max="14" width="8.75" customWidth="1"/>
  </cols>
  <sheetData>
    <row r="1" spans="1:5" ht="16.5" customHeight="1">
      <c r="A1" s="9"/>
      <c r="B1" s="9"/>
    </row>
    <row r="2" spans="1:5" ht="16.5" customHeight="1">
      <c r="A2" s="9" t="s">
        <v>55</v>
      </c>
      <c r="B2" s="9"/>
    </row>
    <row r="3" spans="1:5" ht="16.5" customHeight="1">
      <c r="A3" s="9"/>
      <c r="B3" s="9"/>
    </row>
    <row r="4" spans="1:5" ht="16.5" customHeight="1">
      <c r="A4" s="9"/>
      <c r="B4" s="9"/>
    </row>
    <row r="5" spans="1:5" ht="16.5" customHeight="1">
      <c r="A5" s="9"/>
      <c r="B5" s="9"/>
    </row>
    <row r="6" spans="1:5" ht="16.5" customHeight="1">
      <c r="A6" s="9"/>
      <c r="B6" s="9"/>
    </row>
    <row r="7" spans="1:5" ht="16.5" customHeight="1">
      <c r="A7" s="9"/>
      <c r="B7" s="9"/>
    </row>
    <row r="8" spans="1:5" ht="16.5" customHeight="1">
      <c r="A8" s="9"/>
      <c r="B8" s="9"/>
    </row>
    <row r="9" spans="1:5" ht="16.5" customHeight="1">
      <c r="A9" s="9"/>
      <c r="B9" s="9"/>
    </row>
    <row r="10" spans="1:5" ht="16.5" customHeight="1">
      <c r="A10" s="10" t="s">
        <v>6</v>
      </c>
      <c r="B10" s="11" t="s">
        <v>7</v>
      </c>
      <c r="C10" s="11" t="s">
        <v>8</v>
      </c>
      <c r="D10" s="11" t="s">
        <v>9</v>
      </c>
      <c r="E10" s="12" t="s">
        <v>10</v>
      </c>
    </row>
    <row r="11" spans="1:5" ht="16.5" customHeight="1">
      <c r="A11" s="6">
        <v>4.3</v>
      </c>
      <c r="B11" s="13">
        <v>10.3</v>
      </c>
      <c r="C11" s="13">
        <f>B11</f>
        <v>10.3</v>
      </c>
      <c r="D11" s="13">
        <f t="shared" ref="D11:D30" si="0">C11/$C$30*100</f>
        <v>0.40124659135177249</v>
      </c>
      <c r="E11" s="14">
        <f t="shared" ref="E11:E30" si="1">A11*B11</f>
        <v>44.29</v>
      </c>
    </row>
    <row r="12" spans="1:5" ht="16.5" customHeight="1">
      <c r="A12" s="1">
        <v>4.3099999999999996</v>
      </c>
      <c r="B12" s="2">
        <v>28.2</v>
      </c>
      <c r="C12" s="2">
        <f t="shared" ref="C12:C30" si="2">SUM($B$11:B12)</f>
        <v>38.5</v>
      </c>
      <c r="D12" s="2">
        <f t="shared" si="0"/>
        <v>1.4998052201012853</v>
      </c>
      <c r="E12" s="5">
        <f t="shared" si="1"/>
        <v>121.54199999999999</v>
      </c>
    </row>
    <row r="13" spans="1:5" ht="16.5" customHeight="1">
      <c r="A13" s="1">
        <v>4.32</v>
      </c>
      <c r="B13" s="2">
        <v>95</v>
      </c>
      <c r="C13" s="2">
        <f t="shared" si="2"/>
        <v>133.5</v>
      </c>
      <c r="D13" s="2">
        <f t="shared" si="0"/>
        <v>5.2006232956758849</v>
      </c>
      <c r="E13" s="5">
        <f t="shared" si="1"/>
        <v>410.40000000000003</v>
      </c>
    </row>
    <row r="14" spans="1:5" ht="16.5" customHeight="1">
      <c r="A14" s="1">
        <v>4.33</v>
      </c>
      <c r="B14" s="2">
        <v>172</v>
      </c>
      <c r="C14" s="2">
        <f t="shared" si="2"/>
        <v>305.5</v>
      </c>
      <c r="D14" s="2">
        <f t="shared" si="0"/>
        <v>11.901051811453057</v>
      </c>
      <c r="E14" s="5">
        <f t="shared" si="1"/>
        <v>744.76</v>
      </c>
    </row>
    <row r="15" spans="1:5" ht="16.5" customHeight="1">
      <c r="A15" s="1">
        <v>4.34</v>
      </c>
      <c r="B15" s="2">
        <v>202.8</v>
      </c>
      <c r="C15" s="2">
        <f t="shared" si="2"/>
        <v>508.3</v>
      </c>
      <c r="D15" s="2">
        <f t="shared" si="0"/>
        <v>19.801324503311253</v>
      </c>
      <c r="E15" s="5">
        <f t="shared" si="1"/>
        <v>880.15200000000004</v>
      </c>
    </row>
    <row r="16" spans="1:5" ht="16.5" customHeight="1">
      <c r="A16" s="1">
        <v>4.3499999999999996</v>
      </c>
      <c r="B16" s="2">
        <v>259.3</v>
      </c>
      <c r="C16" s="2">
        <f t="shared" si="2"/>
        <v>767.6</v>
      </c>
      <c r="D16" s="2">
        <f t="shared" si="0"/>
        <v>29.902610050642771</v>
      </c>
      <c r="E16" s="5">
        <f t="shared" si="1"/>
        <v>1127.9549999999999</v>
      </c>
    </row>
    <row r="17" spans="1:9" ht="16.5" customHeight="1">
      <c r="A17" s="1">
        <v>4.3600000000000003</v>
      </c>
      <c r="B17" s="2">
        <v>318.3</v>
      </c>
      <c r="C17" s="2">
        <f t="shared" si="2"/>
        <v>1085.9000000000001</v>
      </c>
      <c r="D17" s="2">
        <f t="shared" si="0"/>
        <v>42.30229840280483</v>
      </c>
      <c r="E17" s="5">
        <f t="shared" si="1"/>
        <v>1387.7880000000002</v>
      </c>
    </row>
    <row r="18" spans="1:9" ht="16.5" customHeight="1">
      <c r="A18" s="70">
        <v>4.37</v>
      </c>
      <c r="B18" s="71">
        <v>197.7</v>
      </c>
      <c r="C18" s="71">
        <f t="shared" si="2"/>
        <v>1283.6000000000001</v>
      </c>
      <c r="D18" s="71">
        <f t="shared" si="0"/>
        <v>50.003895597974292</v>
      </c>
      <c r="E18" s="5">
        <f t="shared" si="1"/>
        <v>863.94899999999996</v>
      </c>
    </row>
    <row r="19" spans="1:9" ht="16.5" customHeight="1">
      <c r="A19" s="1">
        <v>4.38</v>
      </c>
      <c r="B19" s="2">
        <v>346.5</v>
      </c>
      <c r="C19" s="2">
        <f t="shared" si="2"/>
        <v>1630.1000000000001</v>
      </c>
      <c r="D19" s="2">
        <f t="shared" si="0"/>
        <v>63.502142578885859</v>
      </c>
      <c r="E19" s="5">
        <f t="shared" si="1"/>
        <v>1517.67</v>
      </c>
    </row>
    <row r="20" spans="1:9" ht="16.5" customHeight="1">
      <c r="A20" s="1">
        <v>4.3900000000000103</v>
      </c>
      <c r="B20" s="2">
        <v>205.4</v>
      </c>
      <c r="C20" s="2">
        <f t="shared" si="2"/>
        <v>1835.5000000000002</v>
      </c>
      <c r="D20" s="2">
        <f t="shared" si="0"/>
        <v>71.503700818075572</v>
      </c>
      <c r="E20" s="5">
        <f t="shared" si="1"/>
        <v>901.70600000000218</v>
      </c>
    </row>
    <row r="21" spans="1:9" ht="16.5" customHeight="1">
      <c r="A21" s="1">
        <v>4.4000000000000101</v>
      </c>
      <c r="B21" s="2">
        <v>112.9</v>
      </c>
      <c r="C21" s="2">
        <f t="shared" si="2"/>
        <v>1948.4000000000003</v>
      </c>
      <c r="D21" s="2">
        <f t="shared" si="0"/>
        <v>75.901830931047925</v>
      </c>
      <c r="E21" s="5">
        <f t="shared" si="1"/>
        <v>496.76000000000118</v>
      </c>
    </row>
    <row r="22" spans="1:9" ht="16.5" customHeight="1">
      <c r="A22" s="1">
        <v>4.4100000000000099</v>
      </c>
      <c r="B22" s="2">
        <v>123.2</v>
      </c>
      <c r="C22" s="2">
        <f t="shared" si="2"/>
        <v>2071.6000000000004</v>
      </c>
      <c r="D22" s="2">
        <f t="shared" si="0"/>
        <v>80.701207635372029</v>
      </c>
      <c r="E22" s="5">
        <f t="shared" si="1"/>
        <v>543.31200000000126</v>
      </c>
    </row>
    <row r="23" spans="1:9" ht="16.5" customHeight="1">
      <c r="A23" s="1">
        <v>4.4200000000000097</v>
      </c>
      <c r="B23" s="2">
        <v>102.7</v>
      </c>
      <c r="C23" s="2">
        <f t="shared" si="2"/>
        <v>2174.3000000000002</v>
      </c>
      <c r="D23" s="2">
        <f t="shared" si="0"/>
        <v>84.701986754966882</v>
      </c>
      <c r="E23" s="5">
        <f t="shared" si="1"/>
        <v>453.93400000000099</v>
      </c>
    </row>
    <row r="24" spans="1:9" ht="16.5" customHeight="1">
      <c r="A24" s="1">
        <v>4.4300000000000104</v>
      </c>
      <c r="B24" s="2">
        <v>92.4</v>
      </c>
      <c r="C24" s="2">
        <f t="shared" si="2"/>
        <v>2266.7000000000003</v>
      </c>
      <c r="D24" s="2">
        <f t="shared" si="0"/>
        <v>88.30151928320997</v>
      </c>
      <c r="E24" s="5">
        <f t="shared" si="1"/>
        <v>409.33200000000096</v>
      </c>
    </row>
    <row r="25" spans="1:9" ht="16.5" customHeight="1">
      <c r="A25" s="1">
        <v>4.4400000000000102</v>
      </c>
      <c r="B25" s="2">
        <v>92.4</v>
      </c>
      <c r="C25" s="2">
        <f t="shared" si="2"/>
        <v>2359.1000000000004</v>
      </c>
      <c r="D25" s="2">
        <f t="shared" si="0"/>
        <v>91.901051811453058</v>
      </c>
      <c r="E25" s="5">
        <f t="shared" si="1"/>
        <v>410.25600000000094</v>
      </c>
    </row>
    <row r="26" spans="1:9" ht="16.5" customHeight="1">
      <c r="A26" s="1">
        <v>4.4500000000000099</v>
      </c>
      <c r="B26" s="2">
        <v>82.1</v>
      </c>
      <c r="C26" s="2">
        <f t="shared" si="2"/>
        <v>2441.2000000000003</v>
      </c>
      <c r="D26" s="2">
        <f t="shared" si="0"/>
        <v>95.099337748344354</v>
      </c>
      <c r="E26" s="5">
        <f t="shared" si="1"/>
        <v>365.34500000000077</v>
      </c>
    </row>
    <row r="27" spans="1:9" ht="16.5" customHeight="1">
      <c r="A27" s="1">
        <v>4.4600000000000097</v>
      </c>
      <c r="B27" s="2">
        <v>61.6</v>
      </c>
      <c r="C27" s="2">
        <f t="shared" si="2"/>
        <v>2502.8000000000002</v>
      </c>
      <c r="D27" s="2">
        <f t="shared" si="0"/>
        <v>97.499026100506413</v>
      </c>
      <c r="E27" s="5">
        <f t="shared" si="1"/>
        <v>274.73600000000062</v>
      </c>
      <c r="H27" s="4" t="s">
        <v>11</v>
      </c>
      <c r="I27" s="15">
        <f>E31/B31</f>
        <v>4.3790673938449585</v>
      </c>
    </row>
    <row r="28" spans="1:9" ht="16.5" customHeight="1">
      <c r="A28" s="1">
        <v>4.4700000000000104</v>
      </c>
      <c r="B28" s="2">
        <v>48.8</v>
      </c>
      <c r="C28" s="2">
        <f t="shared" si="2"/>
        <v>2551.6000000000004</v>
      </c>
      <c r="D28" s="2">
        <f t="shared" si="0"/>
        <v>99.400077911959485</v>
      </c>
      <c r="E28" s="5">
        <f t="shared" si="1"/>
        <v>218.13600000000051</v>
      </c>
      <c r="H28" s="4" t="s">
        <v>12</v>
      </c>
      <c r="I28" s="4">
        <f>A18</f>
        <v>4.37</v>
      </c>
    </row>
    <row r="29" spans="1:9" ht="16.5" customHeight="1">
      <c r="A29" s="1">
        <v>4.4800000000000102</v>
      </c>
      <c r="B29" s="2">
        <v>10.3</v>
      </c>
      <c r="C29" s="2">
        <f t="shared" si="2"/>
        <v>2561.9000000000005</v>
      </c>
      <c r="D29" s="2">
        <f t="shared" si="0"/>
        <v>99.801324503311264</v>
      </c>
      <c r="E29" s="5">
        <f t="shared" si="1"/>
        <v>46.144000000000105</v>
      </c>
    </row>
    <row r="30" spans="1:9" ht="16.5" customHeight="1">
      <c r="A30" s="16">
        <v>4.49</v>
      </c>
      <c r="B30" s="17">
        <v>5.0999999999999996</v>
      </c>
      <c r="C30" s="17">
        <f t="shared" si="2"/>
        <v>2567.0000000000005</v>
      </c>
      <c r="D30" s="17">
        <f t="shared" si="0"/>
        <v>100</v>
      </c>
      <c r="E30" s="18">
        <f t="shared" si="1"/>
        <v>22.899000000000001</v>
      </c>
    </row>
    <row r="31" spans="1:9" ht="16.5" customHeight="1">
      <c r="A31" s="19" t="s">
        <v>1</v>
      </c>
      <c r="B31" s="20">
        <f>SUM(B11:B30)</f>
        <v>2567.0000000000005</v>
      </c>
      <c r="C31" s="34" t="s">
        <v>13</v>
      </c>
      <c r="D31" s="35"/>
      <c r="E31" s="21">
        <f>SUM(E11:E30)</f>
        <v>11241.06600000001</v>
      </c>
    </row>
    <row r="32" spans="1:9" ht="16.5" customHeight="1">
      <c r="A32" s="9"/>
      <c r="B32" s="9"/>
    </row>
    <row r="33" spans="1:2" ht="16.5" customHeight="1">
      <c r="A33" s="9"/>
      <c r="B33" s="9"/>
    </row>
    <row r="34" spans="1:2" ht="16.5" customHeight="1">
      <c r="A34" s="9"/>
      <c r="B34" s="9"/>
    </row>
    <row r="35" spans="1:2" ht="16.5" customHeight="1">
      <c r="A35" s="9"/>
      <c r="B35" s="9"/>
    </row>
    <row r="36" spans="1:2" ht="16.5" customHeight="1">
      <c r="A36" s="9"/>
      <c r="B36" s="9"/>
    </row>
    <row r="37" spans="1:2" ht="16.5" customHeight="1">
      <c r="A37" s="9"/>
      <c r="B37" s="9"/>
    </row>
    <row r="38" spans="1:2" ht="16.5" customHeight="1">
      <c r="A38" s="9"/>
      <c r="B38" s="9"/>
    </row>
    <row r="39" spans="1:2" ht="16.5" customHeight="1">
      <c r="A39" s="9"/>
      <c r="B39" s="9"/>
    </row>
    <row r="40" spans="1:2" ht="16.5" customHeight="1">
      <c r="A40" s="9"/>
      <c r="B40" s="9"/>
    </row>
    <row r="41" spans="1:2" ht="16.5" customHeight="1">
      <c r="A41" s="9"/>
      <c r="B41" s="9"/>
    </row>
    <row r="42" spans="1:2" ht="16.5" customHeight="1">
      <c r="A42" s="9"/>
      <c r="B42" s="9"/>
    </row>
    <row r="43" spans="1:2" ht="16.5" customHeight="1">
      <c r="A43" s="9"/>
      <c r="B43" s="9"/>
    </row>
    <row r="44" spans="1:2" ht="16.5" customHeight="1">
      <c r="A44" s="9"/>
      <c r="B44" s="9"/>
    </row>
    <row r="45" spans="1:2" ht="16.5" customHeight="1">
      <c r="A45" s="9"/>
      <c r="B45" s="9"/>
    </row>
    <row r="46" spans="1:2" ht="16.5" customHeight="1">
      <c r="A46" s="9"/>
      <c r="B46" s="9"/>
    </row>
    <row r="47" spans="1:2" ht="16.5" customHeight="1">
      <c r="A47" s="9"/>
      <c r="B47" s="9"/>
    </row>
    <row r="48" spans="1:2" ht="16.5" customHeight="1">
      <c r="A48" s="9"/>
      <c r="B48" s="9"/>
    </row>
    <row r="49" spans="1:2" ht="16.5" customHeight="1">
      <c r="A49" s="9"/>
      <c r="B49" s="9"/>
    </row>
    <row r="50" spans="1:2" ht="16.5" customHeight="1">
      <c r="A50" s="9"/>
      <c r="B50" s="9"/>
    </row>
    <row r="51" spans="1:2" ht="16.5" customHeight="1">
      <c r="A51" s="9"/>
      <c r="B51" s="9"/>
    </row>
    <row r="52" spans="1:2" ht="16.5" customHeight="1">
      <c r="A52" s="9"/>
      <c r="B52" s="9"/>
    </row>
    <row r="53" spans="1:2" ht="16.5" customHeight="1">
      <c r="A53" s="9"/>
      <c r="B53" s="9"/>
    </row>
    <row r="54" spans="1:2" ht="16.5" customHeight="1">
      <c r="A54" s="9"/>
      <c r="B54" s="9"/>
    </row>
    <row r="55" spans="1:2" ht="16.5" customHeight="1">
      <c r="A55" s="9"/>
      <c r="B55" s="9"/>
    </row>
    <row r="56" spans="1:2" ht="16.5" customHeight="1">
      <c r="A56" s="9"/>
      <c r="B56" s="9"/>
    </row>
    <row r="57" spans="1:2" ht="16.5" customHeight="1">
      <c r="A57" s="9"/>
      <c r="B57" s="9"/>
    </row>
    <row r="58" spans="1:2" ht="16.5" customHeight="1">
      <c r="A58" s="9"/>
      <c r="B58" s="9"/>
    </row>
    <row r="59" spans="1:2" ht="16.5" customHeight="1">
      <c r="A59" s="9"/>
      <c r="B59" s="9"/>
    </row>
    <row r="60" spans="1:2" ht="16.5" customHeight="1">
      <c r="A60" s="9"/>
      <c r="B60" s="9"/>
    </row>
    <row r="61" spans="1:2" ht="16.5" customHeight="1">
      <c r="A61" s="9"/>
      <c r="B61" s="9"/>
    </row>
    <row r="62" spans="1:2" ht="16.5" customHeight="1">
      <c r="A62" s="9"/>
      <c r="B62" s="9"/>
    </row>
    <row r="63" spans="1:2" ht="16.5" customHeight="1">
      <c r="A63" s="9"/>
      <c r="B63" s="9"/>
    </row>
    <row r="64" spans="1:2" ht="16.5" customHeight="1">
      <c r="A64" s="9"/>
      <c r="B64" s="9"/>
    </row>
    <row r="65" spans="1:2" ht="16.5" customHeight="1">
      <c r="A65" s="9"/>
      <c r="B65" s="9"/>
    </row>
    <row r="66" spans="1:2" ht="16.5" customHeight="1">
      <c r="A66" s="9"/>
      <c r="B66" s="9"/>
    </row>
    <row r="67" spans="1:2" ht="16.5" customHeight="1">
      <c r="A67" s="9"/>
      <c r="B67" s="9"/>
    </row>
    <row r="68" spans="1:2" ht="16.5" customHeight="1">
      <c r="A68" s="9"/>
      <c r="B68" s="9"/>
    </row>
    <row r="69" spans="1:2" ht="16.5" customHeight="1">
      <c r="A69" s="9"/>
      <c r="B69" s="9"/>
    </row>
    <row r="70" spans="1:2" ht="16.5" customHeight="1">
      <c r="A70" s="9"/>
      <c r="B70" s="9"/>
    </row>
    <row r="71" spans="1:2" ht="16.5" customHeight="1">
      <c r="A71" s="9"/>
      <c r="B71" s="9"/>
    </row>
    <row r="72" spans="1:2" ht="16.5" customHeight="1">
      <c r="A72" s="9"/>
      <c r="B72" s="9"/>
    </row>
    <row r="73" spans="1:2" ht="16.5" customHeight="1">
      <c r="A73" s="9"/>
      <c r="B73" s="9"/>
    </row>
    <row r="74" spans="1:2" ht="16.5" customHeight="1">
      <c r="A74" s="9"/>
      <c r="B74" s="9"/>
    </row>
    <row r="75" spans="1:2" ht="16.5" customHeight="1">
      <c r="A75" s="9"/>
      <c r="B75" s="9"/>
    </row>
    <row r="76" spans="1:2" ht="16.5" customHeight="1">
      <c r="A76" s="9"/>
      <c r="B76" s="9"/>
    </row>
    <row r="77" spans="1:2" ht="16.5" customHeight="1">
      <c r="A77" s="9"/>
      <c r="B77" s="9"/>
    </row>
    <row r="78" spans="1:2" ht="16.5" customHeight="1">
      <c r="A78" s="9"/>
      <c r="B78" s="9"/>
    </row>
    <row r="79" spans="1:2" ht="16.5" customHeight="1">
      <c r="A79" s="9"/>
      <c r="B79" s="9"/>
    </row>
    <row r="80" spans="1:2" ht="16.5" customHeight="1">
      <c r="A80" s="9"/>
      <c r="B80" s="9"/>
    </row>
    <row r="81" spans="1:2" ht="16.5" customHeight="1">
      <c r="A81" s="9"/>
      <c r="B81" s="9"/>
    </row>
    <row r="82" spans="1:2" ht="16.5" customHeight="1">
      <c r="A82" s="9"/>
      <c r="B82" s="9"/>
    </row>
    <row r="83" spans="1:2" ht="16.5" customHeight="1">
      <c r="A83" s="9"/>
      <c r="B83" s="9"/>
    </row>
    <row r="84" spans="1:2" ht="16.5" customHeight="1">
      <c r="A84" s="9"/>
      <c r="B84" s="9"/>
    </row>
    <row r="85" spans="1:2" ht="16.5" customHeight="1">
      <c r="A85" s="9"/>
      <c r="B85" s="9"/>
    </row>
    <row r="86" spans="1:2" ht="16.5" customHeight="1">
      <c r="A86" s="9"/>
      <c r="B86" s="9"/>
    </row>
    <row r="87" spans="1:2" ht="16.5" customHeight="1">
      <c r="A87" s="9"/>
      <c r="B87" s="9"/>
    </row>
    <row r="88" spans="1:2" ht="16.5" customHeight="1">
      <c r="A88" s="9"/>
      <c r="B88" s="9"/>
    </row>
    <row r="89" spans="1:2" ht="16.5" customHeight="1">
      <c r="A89" s="9"/>
      <c r="B89" s="9"/>
    </row>
    <row r="90" spans="1:2" ht="16.5" customHeight="1">
      <c r="A90" s="9"/>
      <c r="B90" s="9"/>
    </row>
    <row r="91" spans="1:2" ht="16.5" customHeight="1">
      <c r="A91" s="9"/>
      <c r="B91" s="9"/>
    </row>
    <row r="92" spans="1:2" ht="16.5" customHeight="1">
      <c r="A92" s="9"/>
      <c r="B92" s="9"/>
    </row>
    <row r="93" spans="1:2" ht="16.5" customHeight="1">
      <c r="A93" s="9"/>
      <c r="B93" s="9"/>
    </row>
    <row r="94" spans="1:2" ht="16.5" customHeight="1">
      <c r="A94" s="9"/>
      <c r="B94" s="9"/>
    </row>
    <row r="95" spans="1:2" ht="16.5" customHeight="1">
      <c r="A95" s="9"/>
      <c r="B95" s="9"/>
    </row>
    <row r="96" spans="1:2" ht="16.5" customHeight="1">
      <c r="A96" s="9"/>
      <c r="B96" s="9"/>
    </row>
    <row r="97" spans="1:2" ht="16.5" customHeight="1">
      <c r="A97" s="9"/>
      <c r="B97" s="9"/>
    </row>
    <row r="98" spans="1:2" ht="16.5" customHeight="1">
      <c r="A98" s="9"/>
      <c r="B98" s="9"/>
    </row>
    <row r="99" spans="1:2" ht="16.5" customHeight="1">
      <c r="A99" s="9"/>
      <c r="B99" s="9"/>
    </row>
    <row r="100" spans="1:2" ht="16.5" customHeight="1">
      <c r="A100" s="9"/>
      <c r="B100" s="9"/>
    </row>
  </sheetData>
  <autoFilter ref="A10:B10">
    <sortState ref="A10:B10">
      <sortCondition ref="A10"/>
    </sortState>
  </autoFilter>
  <mergeCells count="1">
    <mergeCell ref="C31:D31"/>
  </mergeCells>
  <phoneticPr fontId="7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J8" sqref="J8"/>
    </sheetView>
  </sheetViews>
  <sheetFormatPr defaultColWidth="14.375" defaultRowHeight="15" customHeight="1"/>
  <cols>
    <col min="1" max="2" width="12.625" customWidth="1"/>
    <col min="3" max="4" width="11.625" customWidth="1"/>
    <col min="5" max="5" width="16.875" customWidth="1"/>
    <col min="6" max="6" width="13.75" customWidth="1"/>
    <col min="7" max="7" width="5.875" customWidth="1"/>
    <col min="8" max="8" width="16.125" customWidth="1"/>
    <col min="9" max="9" width="13.375" customWidth="1"/>
    <col min="10" max="10" width="10.25" customWidth="1"/>
    <col min="11" max="11" width="11.375" customWidth="1"/>
  </cols>
  <sheetData>
    <row r="1" spans="1:11" ht="16.5" customHeight="1"/>
    <row r="2" spans="1:11" ht="16.5" customHeight="1">
      <c r="A2" s="57" t="s">
        <v>56</v>
      </c>
    </row>
    <row r="3" spans="1:11" ht="16.5" customHeight="1"/>
    <row r="4" spans="1:11" ht="16.5" customHeight="1"/>
    <row r="5" spans="1:11" ht="16.5" customHeight="1"/>
    <row r="6" spans="1:11" ht="16.5" customHeight="1"/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>
      <c r="A12" s="9" t="s">
        <v>14</v>
      </c>
      <c r="B12" s="9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  <c r="H12" s="9" t="s">
        <v>21</v>
      </c>
      <c r="I12" t="s">
        <v>22</v>
      </c>
      <c r="J12" s="9" t="s">
        <v>23</v>
      </c>
      <c r="K12" s="9" t="s">
        <v>24</v>
      </c>
    </row>
    <row r="13" spans="1:11" ht="16.5" customHeight="1">
      <c r="A13" s="22">
        <v>10000000</v>
      </c>
      <c r="B13" s="22">
        <f>A13</f>
        <v>10000000</v>
      </c>
      <c r="C13" s="23">
        <v>43738</v>
      </c>
      <c r="D13" s="23">
        <v>43739</v>
      </c>
      <c r="E13" s="9">
        <f t="shared" ref="E13:E43" si="0">WEEKDAY(C13,2)</f>
        <v>1</v>
      </c>
      <c r="F13" s="9"/>
      <c r="G13" s="9">
        <v>2.35</v>
      </c>
      <c r="H13" s="24">
        <v>1</v>
      </c>
      <c r="I13">
        <f t="shared" ref="I13:I43" si="1">G13/100*H13/360</f>
        <v>6.5277777777777776E-5</v>
      </c>
      <c r="J13" s="25">
        <f t="shared" ref="J13:J43" si="2">B13*I13</f>
        <v>652.77777777777771</v>
      </c>
      <c r="K13" s="25">
        <f>SUM($J$13)</f>
        <v>652.77777777777771</v>
      </c>
    </row>
    <row r="14" spans="1:11" ht="16.5" customHeight="1">
      <c r="A14" s="22">
        <v>10000000</v>
      </c>
      <c r="B14" s="22">
        <f t="shared" ref="B14:B43" si="3">A14+K13</f>
        <v>10000652.777777778</v>
      </c>
      <c r="C14" s="23">
        <f t="shared" ref="C14:C43" si="4">D13</f>
        <v>43739</v>
      </c>
      <c r="D14" s="23">
        <f t="shared" ref="D14:D43" si="5">C14+1</f>
        <v>43740</v>
      </c>
      <c r="E14" s="9">
        <f t="shared" si="0"/>
        <v>2</v>
      </c>
      <c r="F14" s="9"/>
      <c r="G14" s="9">
        <v>1.88</v>
      </c>
      <c r="H14">
        <v>1</v>
      </c>
      <c r="I14">
        <f t="shared" si="1"/>
        <v>5.2222222222222214E-5</v>
      </c>
      <c r="J14" s="25">
        <f t="shared" si="2"/>
        <v>522.25631172839496</v>
      </c>
      <c r="K14" s="25">
        <f t="shared" ref="K14:K43" si="6">SUM($J$13:J14)</f>
        <v>1175.0340895061727</v>
      </c>
    </row>
    <row r="15" spans="1:11" ht="16.5" customHeight="1">
      <c r="A15" s="22">
        <v>10000000</v>
      </c>
      <c r="B15" s="22">
        <f t="shared" si="3"/>
        <v>10001175.034089506</v>
      </c>
      <c r="C15" s="23">
        <f t="shared" si="4"/>
        <v>43740</v>
      </c>
      <c r="D15" s="23">
        <f t="shared" si="5"/>
        <v>43741</v>
      </c>
      <c r="E15" s="9">
        <f t="shared" si="0"/>
        <v>3</v>
      </c>
      <c r="F15" s="9"/>
      <c r="G15" s="9">
        <v>1.85</v>
      </c>
      <c r="H15">
        <v>1</v>
      </c>
      <c r="I15">
        <f t="shared" si="1"/>
        <v>5.1388888888888896E-5</v>
      </c>
      <c r="J15" s="25">
        <f t="shared" si="2"/>
        <v>513.9492725851552</v>
      </c>
      <c r="K15" s="25">
        <f t="shared" si="6"/>
        <v>1688.9833620913278</v>
      </c>
    </row>
    <row r="16" spans="1:11" ht="16.5" customHeight="1">
      <c r="A16" s="22">
        <v>10000000</v>
      </c>
      <c r="B16" s="22">
        <f t="shared" si="3"/>
        <v>10001688.983362092</v>
      </c>
      <c r="C16" s="23">
        <f t="shared" si="4"/>
        <v>43741</v>
      </c>
      <c r="D16" s="23">
        <f t="shared" si="5"/>
        <v>43742</v>
      </c>
      <c r="E16" s="9">
        <f t="shared" si="0"/>
        <v>4</v>
      </c>
      <c r="F16" s="9"/>
      <c r="G16" s="9">
        <v>1.84</v>
      </c>
      <c r="H16">
        <v>1</v>
      </c>
      <c r="I16">
        <f t="shared" si="1"/>
        <v>5.1111111111111108E-5</v>
      </c>
      <c r="J16" s="25">
        <f t="shared" si="2"/>
        <v>511.19743692739576</v>
      </c>
      <c r="K16" s="25">
        <f t="shared" si="6"/>
        <v>2200.1807990187235</v>
      </c>
    </row>
    <row r="17" spans="1:11" ht="16.5" customHeight="1">
      <c r="A17" s="22">
        <v>10000000</v>
      </c>
      <c r="B17" s="22">
        <f t="shared" si="3"/>
        <v>10002200.180799019</v>
      </c>
      <c r="C17" s="23">
        <f t="shared" si="4"/>
        <v>43742</v>
      </c>
      <c r="D17" s="23">
        <f t="shared" si="5"/>
        <v>43743</v>
      </c>
      <c r="E17" s="9">
        <f t="shared" si="0"/>
        <v>5</v>
      </c>
      <c r="F17" s="9"/>
      <c r="G17" s="9">
        <v>1.82</v>
      </c>
      <c r="H17">
        <v>3</v>
      </c>
      <c r="I17">
        <f t="shared" si="1"/>
        <v>1.5166666666666668E-4</v>
      </c>
      <c r="J17" s="25">
        <f t="shared" si="2"/>
        <v>1517.0003607545179</v>
      </c>
      <c r="K17" s="25">
        <f t="shared" si="6"/>
        <v>3717.1811597732412</v>
      </c>
    </row>
    <row r="18" spans="1:11" ht="16.5" customHeight="1">
      <c r="A18" s="22">
        <v>10000000</v>
      </c>
      <c r="B18" s="22">
        <f t="shared" si="3"/>
        <v>10003717.181159774</v>
      </c>
      <c r="C18" s="23">
        <f t="shared" si="4"/>
        <v>43743</v>
      </c>
      <c r="D18" s="23">
        <f t="shared" si="5"/>
        <v>43744</v>
      </c>
      <c r="E18" s="9">
        <f t="shared" si="0"/>
        <v>6</v>
      </c>
      <c r="F18" s="9"/>
      <c r="G18" s="9"/>
      <c r="H18">
        <v>0</v>
      </c>
      <c r="I18">
        <f t="shared" si="1"/>
        <v>0</v>
      </c>
      <c r="J18" s="25">
        <f t="shared" si="2"/>
        <v>0</v>
      </c>
      <c r="K18" s="25">
        <f t="shared" si="6"/>
        <v>3717.1811597732412</v>
      </c>
    </row>
    <row r="19" spans="1:11" ht="16.5" customHeight="1">
      <c r="A19" s="22">
        <v>10000000</v>
      </c>
      <c r="B19" s="22">
        <f t="shared" si="3"/>
        <v>10003717.181159774</v>
      </c>
      <c r="C19" s="23">
        <f t="shared" si="4"/>
        <v>43744</v>
      </c>
      <c r="D19" s="23">
        <f t="shared" si="5"/>
        <v>43745</v>
      </c>
      <c r="E19" s="9">
        <f t="shared" si="0"/>
        <v>7</v>
      </c>
      <c r="F19" s="9"/>
      <c r="G19" s="9"/>
      <c r="H19">
        <v>0</v>
      </c>
      <c r="I19">
        <f t="shared" si="1"/>
        <v>0</v>
      </c>
      <c r="J19" s="25">
        <f t="shared" si="2"/>
        <v>0</v>
      </c>
      <c r="K19" s="25">
        <f t="shared" si="6"/>
        <v>3717.1811597732412</v>
      </c>
    </row>
    <row r="20" spans="1:11" ht="16.5" customHeight="1">
      <c r="A20" s="22">
        <v>10000000</v>
      </c>
      <c r="B20" s="22">
        <f t="shared" si="3"/>
        <v>10003717.181159774</v>
      </c>
      <c r="C20" s="23">
        <f t="shared" si="4"/>
        <v>43745</v>
      </c>
      <c r="D20" s="23">
        <f t="shared" si="5"/>
        <v>43746</v>
      </c>
      <c r="E20" s="9">
        <f t="shared" si="0"/>
        <v>1</v>
      </c>
      <c r="F20" s="9"/>
      <c r="G20" s="9">
        <v>1.83</v>
      </c>
      <c r="H20">
        <v>1</v>
      </c>
      <c r="I20">
        <f t="shared" si="1"/>
        <v>5.0833333333333333E-5</v>
      </c>
      <c r="J20" s="25">
        <f t="shared" si="2"/>
        <v>508.52229004228849</v>
      </c>
      <c r="K20" s="25">
        <f t="shared" si="6"/>
        <v>4225.7034498155299</v>
      </c>
    </row>
    <row r="21" spans="1:11" ht="16.5" customHeight="1">
      <c r="A21" s="22">
        <v>10000000</v>
      </c>
      <c r="B21" s="22">
        <f t="shared" si="3"/>
        <v>10004225.703449816</v>
      </c>
      <c r="C21" s="23">
        <f t="shared" si="4"/>
        <v>43746</v>
      </c>
      <c r="D21" s="23">
        <f t="shared" si="5"/>
        <v>43747</v>
      </c>
      <c r="E21" s="9">
        <f t="shared" si="0"/>
        <v>2</v>
      </c>
      <c r="F21" s="9"/>
      <c r="G21" s="9">
        <v>1.85</v>
      </c>
      <c r="H21">
        <v>1</v>
      </c>
      <c r="I21">
        <f t="shared" si="1"/>
        <v>5.1388888888888896E-5</v>
      </c>
      <c r="J21" s="25">
        <f t="shared" si="2"/>
        <v>514.10604309394898</v>
      </c>
      <c r="K21" s="25">
        <f t="shared" si="6"/>
        <v>4739.8094929094786</v>
      </c>
    </row>
    <row r="22" spans="1:11" ht="16.5" customHeight="1">
      <c r="A22" s="22">
        <v>10000000</v>
      </c>
      <c r="B22" s="22">
        <f t="shared" si="3"/>
        <v>10004739.80949291</v>
      </c>
      <c r="C22" s="23">
        <f t="shared" si="4"/>
        <v>43747</v>
      </c>
      <c r="D22" s="23">
        <f t="shared" si="5"/>
        <v>43748</v>
      </c>
      <c r="E22" s="9">
        <f t="shared" si="0"/>
        <v>3</v>
      </c>
      <c r="F22" s="9"/>
      <c r="G22" s="9">
        <v>1.85</v>
      </c>
      <c r="H22">
        <v>1</v>
      </c>
      <c r="I22">
        <f t="shared" si="1"/>
        <v>5.1388888888888896E-5</v>
      </c>
      <c r="J22" s="25">
        <f t="shared" si="2"/>
        <v>514.13246243227468</v>
      </c>
      <c r="K22" s="25">
        <f t="shared" si="6"/>
        <v>5253.9419553417538</v>
      </c>
    </row>
    <row r="23" spans="1:11" ht="16.5" customHeight="1">
      <c r="A23" s="22">
        <v>10000000</v>
      </c>
      <c r="B23" s="22">
        <f t="shared" si="3"/>
        <v>10005253.941955341</v>
      </c>
      <c r="C23" s="23">
        <f t="shared" si="4"/>
        <v>43748</v>
      </c>
      <c r="D23" s="23">
        <f t="shared" si="5"/>
        <v>43749</v>
      </c>
      <c r="E23" s="9">
        <f t="shared" si="0"/>
        <v>4</v>
      </c>
      <c r="F23" s="9"/>
      <c r="G23" s="9">
        <v>1.85</v>
      </c>
      <c r="H23">
        <v>1</v>
      </c>
      <c r="I23">
        <f t="shared" si="1"/>
        <v>5.1388888888888896E-5</v>
      </c>
      <c r="J23" s="25">
        <f t="shared" si="2"/>
        <v>514.15888312826064</v>
      </c>
      <c r="K23" s="25">
        <f t="shared" si="6"/>
        <v>5768.1008384700144</v>
      </c>
    </row>
    <row r="24" spans="1:11" ht="16.5" customHeight="1">
      <c r="A24" s="22">
        <v>10000000</v>
      </c>
      <c r="B24" s="22">
        <f t="shared" si="3"/>
        <v>10005768.100838469</v>
      </c>
      <c r="C24" s="23">
        <f t="shared" si="4"/>
        <v>43749</v>
      </c>
      <c r="D24" s="23">
        <f t="shared" si="5"/>
        <v>43750</v>
      </c>
      <c r="E24" s="9">
        <f t="shared" si="0"/>
        <v>5</v>
      </c>
      <c r="F24" s="9"/>
      <c r="G24" s="9">
        <v>1.85</v>
      </c>
      <c r="H24">
        <v>4</v>
      </c>
      <c r="I24">
        <f t="shared" si="1"/>
        <v>2.0555555555555559E-4</v>
      </c>
      <c r="J24" s="25">
        <f t="shared" si="2"/>
        <v>2056.7412207279081</v>
      </c>
      <c r="K24" s="25">
        <f t="shared" si="6"/>
        <v>7824.8420591979229</v>
      </c>
    </row>
    <row r="25" spans="1:11" ht="16.5" customHeight="1">
      <c r="A25" s="22">
        <v>10000000</v>
      </c>
      <c r="B25" s="22">
        <f t="shared" si="3"/>
        <v>10007824.842059199</v>
      </c>
      <c r="C25" s="23">
        <f t="shared" si="4"/>
        <v>43750</v>
      </c>
      <c r="D25" s="23">
        <f t="shared" si="5"/>
        <v>43751</v>
      </c>
      <c r="E25" s="9">
        <f t="shared" si="0"/>
        <v>6</v>
      </c>
      <c r="F25" s="9"/>
      <c r="G25" s="9"/>
      <c r="H25">
        <v>0</v>
      </c>
      <c r="I25">
        <f t="shared" si="1"/>
        <v>0</v>
      </c>
      <c r="J25" s="25">
        <f t="shared" si="2"/>
        <v>0</v>
      </c>
      <c r="K25" s="25">
        <f t="shared" si="6"/>
        <v>7824.8420591979229</v>
      </c>
    </row>
    <row r="26" spans="1:11" ht="16.5" customHeight="1">
      <c r="A26" s="22">
        <v>10000000</v>
      </c>
      <c r="B26" s="22">
        <f t="shared" si="3"/>
        <v>10007824.842059199</v>
      </c>
      <c r="C26" s="23">
        <f t="shared" si="4"/>
        <v>43751</v>
      </c>
      <c r="D26" s="23">
        <f t="shared" si="5"/>
        <v>43752</v>
      </c>
      <c r="E26" s="9">
        <f t="shared" si="0"/>
        <v>7</v>
      </c>
      <c r="F26" s="9"/>
      <c r="G26" s="9"/>
      <c r="H26">
        <v>0</v>
      </c>
      <c r="I26">
        <f t="shared" si="1"/>
        <v>0</v>
      </c>
      <c r="J26" s="25">
        <f t="shared" si="2"/>
        <v>0</v>
      </c>
      <c r="K26" s="25">
        <f t="shared" si="6"/>
        <v>7824.8420591979229</v>
      </c>
    </row>
    <row r="27" spans="1:11" ht="16.5" customHeight="1">
      <c r="A27" s="22">
        <v>10000000</v>
      </c>
      <c r="B27" s="22">
        <f t="shared" si="3"/>
        <v>10007824.842059199</v>
      </c>
      <c r="C27" s="23">
        <f t="shared" si="4"/>
        <v>43752</v>
      </c>
      <c r="D27" s="23">
        <f t="shared" si="5"/>
        <v>43753</v>
      </c>
      <c r="E27" s="9">
        <f t="shared" si="0"/>
        <v>1</v>
      </c>
      <c r="F27" s="9" t="s">
        <v>25</v>
      </c>
      <c r="G27" s="26"/>
      <c r="H27">
        <v>0</v>
      </c>
      <c r="I27">
        <f t="shared" si="1"/>
        <v>0</v>
      </c>
      <c r="J27" s="25">
        <f t="shared" si="2"/>
        <v>0</v>
      </c>
      <c r="K27" s="25">
        <f t="shared" si="6"/>
        <v>7824.8420591979229</v>
      </c>
    </row>
    <row r="28" spans="1:11" ht="16.5" customHeight="1">
      <c r="A28" s="22">
        <v>10000000</v>
      </c>
      <c r="B28" s="22">
        <f t="shared" si="3"/>
        <v>10007824.842059199</v>
      </c>
      <c r="C28" s="23">
        <f t="shared" si="4"/>
        <v>43753</v>
      </c>
      <c r="D28" s="23">
        <f t="shared" si="5"/>
        <v>43754</v>
      </c>
      <c r="E28" s="9">
        <f t="shared" si="0"/>
        <v>2</v>
      </c>
      <c r="F28" s="9"/>
      <c r="G28" s="9">
        <v>2</v>
      </c>
      <c r="H28">
        <v>1</v>
      </c>
      <c r="I28">
        <f t="shared" si="1"/>
        <v>5.5555555555555558E-5</v>
      </c>
      <c r="J28" s="25">
        <f t="shared" si="2"/>
        <v>555.99026900328886</v>
      </c>
      <c r="K28" s="25">
        <f t="shared" si="6"/>
        <v>8380.8323282012116</v>
      </c>
    </row>
    <row r="29" spans="1:11" ht="16.5" customHeight="1">
      <c r="A29" s="22">
        <v>10000000</v>
      </c>
      <c r="B29" s="22">
        <f t="shared" si="3"/>
        <v>10008380.8323282</v>
      </c>
      <c r="C29" s="23">
        <f t="shared" si="4"/>
        <v>43754</v>
      </c>
      <c r="D29" s="23">
        <f t="shared" si="5"/>
        <v>43755</v>
      </c>
      <c r="E29" s="9">
        <f t="shared" si="0"/>
        <v>3</v>
      </c>
      <c r="F29" s="9"/>
      <c r="G29" s="9">
        <v>2.0499999999999998</v>
      </c>
      <c r="H29">
        <v>1</v>
      </c>
      <c r="I29">
        <f t="shared" si="1"/>
        <v>5.6944444444444439E-5</v>
      </c>
      <c r="J29" s="25">
        <f t="shared" si="2"/>
        <v>569.9216862853558</v>
      </c>
      <c r="K29" s="25">
        <f t="shared" si="6"/>
        <v>8950.754014486567</v>
      </c>
    </row>
    <row r="30" spans="1:11" ht="16.5" customHeight="1">
      <c r="A30" s="22">
        <v>10000000</v>
      </c>
      <c r="B30" s="22">
        <f t="shared" si="3"/>
        <v>10008950.754014486</v>
      </c>
      <c r="C30" s="23">
        <f t="shared" si="4"/>
        <v>43755</v>
      </c>
      <c r="D30" s="23">
        <f t="shared" si="5"/>
        <v>43756</v>
      </c>
      <c r="E30" s="9">
        <f t="shared" si="0"/>
        <v>4</v>
      </c>
      <c r="F30" s="9"/>
      <c r="G30" s="9">
        <v>1.95</v>
      </c>
      <c r="H30">
        <v>1</v>
      </c>
      <c r="I30">
        <f t="shared" si="1"/>
        <v>5.4166666666666664E-5</v>
      </c>
      <c r="J30" s="25">
        <f t="shared" si="2"/>
        <v>542.15149917578469</v>
      </c>
      <c r="K30" s="25">
        <f t="shared" si="6"/>
        <v>9492.905513662352</v>
      </c>
    </row>
    <row r="31" spans="1:11" ht="16.5" customHeight="1">
      <c r="A31" s="22">
        <v>10000000</v>
      </c>
      <c r="B31" s="22">
        <f t="shared" si="3"/>
        <v>10009492.905513663</v>
      </c>
      <c r="C31" s="23">
        <f t="shared" si="4"/>
        <v>43756</v>
      </c>
      <c r="D31" s="23">
        <f t="shared" si="5"/>
        <v>43757</v>
      </c>
      <c r="E31" s="9">
        <f t="shared" si="0"/>
        <v>5</v>
      </c>
      <c r="F31" s="9"/>
      <c r="G31" s="9">
        <v>1.88</v>
      </c>
      <c r="H31">
        <v>3</v>
      </c>
      <c r="I31">
        <f t="shared" si="1"/>
        <v>1.5666666666666663E-4</v>
      </c>
      <c r="J31" s="25">
        <f t="shared" si="2"/>
        <v>1568.1538885304735</v>
      </c>
      <c r="K31" s="25">
        <f t="shared" si="6"/>
        <v>11061.059402192826</v>
      </c>
    </row>
    <row r="32" spans="1:11" ht="16.5" customHeight="1">
      <c r="A32" s="22">
        <v>10000000</v>
      </c>
      <c r="B32" s="22">
        <f t="shared" si="3"/>
        <v>10011061.059402192</v>
      </c>
      <c r="C32" s="23">
        <f t="shared" si="4"/>
        <v>43757</v>
      </c>
      <c r="D32" s="23">
        <f t="shared" si="5"/>
        <v>43758</v>
      </c>
      <c r="E32" s="9">
        <f t="shared" si="0"/>
        <v>6</v>
      </c>
      <c r="F32" s="9"/>
      <c r="G32" s="9"/>
      <c r="H32">
        <v>0</v>
      </c>
      <c r="I32">
        <f t="shared" si="1"/>
        <v>0</v>
      </c>
      <c r="J32" s="25">
        <f t="shared" si="2"/>
        <v>0</v>
      </c>
      <c r="K32" s="25">
        <f t="shared" si="6"/>
        <v>11061.059402192826</v>
      </c>
    </row>
    <row r="33" spans="1:11" ht="16.5" customHeight="1">
      <c r="A33" s="22">
        <v>10000000</v>
      </c>
      <c r="B33" s="22">
        <f t="shared" si="3"/>
        <v>10011061.059402192</v>
      </c>
      <c r="C33" s="23">
        <f t="shared" si="4"/>
        <v>43758</v>
      </c>
      <c r="D33" s="23">
        <f t="shared" si="5"/>
        <v>43759</v>
      </c>
      <c r="E33" s="9">
        <f t="shared" si="0"/>
        <v>7</v>
      </c>
      <c r="F33" s="9"/>
      <c r="G33" s="9"/>
      <c r="H33">
        <v>0</v>
      </c>
      <c r="I33">
        <f t="shared" si="1"/>
        <v>0</v>
      </c>
      <c r="J33" s="25">
        <f t="shared" si="2"/>
        <v>0</v>
      </c>
      <c r="K33" s="25">
        <f t="shared" si="6"/>
        <v>11061.059402192826</v>
      </c>
    </row>
    <row r="34" spans="1:11" ht="16.5" customHeight="1">
      <c r="A34" s="22">
        <v>10000000</v>
      </c>
      <c r="B34" s="22">
        <f t="shared" si="3"/>
        <v>10011061.059402192</v>
      </c>
      <c r="C34" s="23">
        <f t="shared" si="4"/>
        <v>43759</v>
      </c>
      <c r="D34" s="23">
        <f t="shared" si="5"/>
        <v>43760</v>
      </c>
      <c r="E34" s="9">
        <f t="shared" si="0"/>
        <v>1</v>
      </c>
      <c r="F34" s="9"/>
      <c r="G34" s="9">
        <v>1.86</v>
      </c>
      <c r="H34">
        <v>1</v>
      </c>
      <c r="I34">
        <f t="shared" si="1"/>
        <v>5.1666666666666671E-5</v>
      </c>
      <c r="J34" s="25">
        <f t="shared" si="2"/>
        <v>517.23815473577997</v>
      </c>
      <c r="K34" s="25">
        <f t="shared" si="6"/>
        <v>11578.297556928606</v>
      </c>
    </row>
    <row r="35" spans="1:11" ht="16.5" customHeight="1">
      <c r="A35" s="22">
        <v>10000000</v>
      </c>
      <c r="B35" s="22">
        <f t="shared" si="3"/>
        <v>10011578.297556929</v>
      </c>
      <c r="C35" s="23">
        <f t="shared" si="4"/>
        <v>43760</v>
      </c>
      <c r="D35" s="23">
        <f t="shared" si="5"/>
        <v>43761</v>
      </c>
      <c r="E35" s="9">
        <f t="shared" si="0"/>
        <v>2</v>
      </c>
      <c r="F35" s="9"/>
      <c r="G35" s="9">
        <v>1.87</v>
      </c>
      <c r="H35">
        <v>1</v>
      </c>
      <c r="I35">
        <f t="shared" si="1"/>
        <v>5.1944444444444446E-5</v>
      </c>
      <c r="J35" s="25">
        <f t="shared" si="2"/>
        <v>520.04587267865168</v>
      </c>
      <c r="K35" s="25">
        <f t="shared" si="6"/>
        <v>12098.343429607257</v>
      </c>
    </row>
    <row r="36" spans="1:11" ht="16.5" customHeight="1">
      <c r="A36" s="22">
        <v>10000000</v>
      </c>
      <c r="B36" s="22">
        <f t="shared" si="3"/>
        <v>10012098.343429606</v>
      </c>
      <c r="C36" s="23">
        <f t="shared" si="4"/>
        <v>43761</v>
      </c>
      <c r="D36" s="23">
        <f t="shared" si="5"/>
        <v>43762</v>
      </c>
      <c r="E36" s="9">
        <f t="shared" si="0"/>
        <v>3</v>
      </c>
      <c r="F36" s="9"/>
      <c r="G36" s="9">
        <v>1.87</v>
      </c>
      <c r="H36">
        <v>1</v>
      </c>
      <c r="I36">
        <f t="shared" si="1"/>
        <v>5.1944444444444446E-5</v>
      </c>
      <c r="J36" s="25">
        <f t="shared" si="2"/>
        <v>520.07288617259348</v>
      </c>
      <c r="K36" s="25">
        <f t="shared" si="6"/>
        <v>12618.41631577985</v>
      </c>
    </row>
    <row r="37" spans="1:11" ht="16.5" customHeight="1">
      <c r="A37" s="22">
        <v>10000000</v>
      </c>
      <c r="B37" s="22">
        <f t="shared" si="3"/>
        <v>10012618.416315779</v>
      </c>
      <c r="C37" s="23">
        <f t="shared" si="4"/>
        <v>43762</v>
      </c>
      <c r="D37" s="23">
        <f t="shared" si="5"/>
        <v>43763</v>
      </c>
      <c r="E37" s="9">
        <f t="shared" si="0"/>
        <v>4</v>
      </c>
      <c r="F37" s="9"/>
      <c r="G37" s="9">
        <v>1.86</v>
      </c>
      <c r="H37">
        <v>1</v>
      </c>
      <c r="I37">
        <f t="shared" si="1"/>
        <v>5.1666666666666671E-5</v>
      </c>
      <c r="J37" s="25">
        <f t="shared" si="2"/>
        <v>517.31861817631534</v>
      </c>
      <c r="K37" s="25">
        <f t="shared" si="6"/>
        <v>13135.734933956166</v>
      </c>
    </row>
    <row r="38" spans="1:11" ht="16.5" customHeight="1">
      <c r="A38" s="22">
        <v>10000000</v>
      </c>
      <c r="B38" s="22">
        <f t="shared" si="3"/>
        <v>10013135.734933956</v>
      </c>
      <c r="C38" s="23">
        <f t="shared" si="4"/>
        <v>43763</v>
      </c>
      <c r="D38" s="23">
        <f t="shared" si="5"/>
        <v>43764</v>
      </c>
      <c r="E38" s="9">
        <f t="shared" si="0"/>
        <v>5</v>
      </c>
      <c r="F38" s="9"/>
      <c r="G38" s="9">
        <v>1.84</v>
      </c>
      <c r="H38">
        <v>3</v>
      </c>
      <c r="I38">
        <f t="shared" si="1"/>
        <v>1.5333333333333334E-4</v>
      </c>
      <c r="J38" s="25">
        <f t="shared" si="2"/>
        <v>1535.3474793565399</v>
      </c>
      <c r="K38" s="25">
        <f t="shared" si="6"/>
        <v>14671.082413312706</v>
      </c>
    </row>
    <row r="39" spans="1:11" ht="16.5" customHeight="1">
      <c r="A39" s="22">
        <v>10000000</v>
      </c>
      <c r="B39" s="22">
        <f t="shared" si="3"/>
        <v>10014671.082413312</v>
      </c>
      <c r="C39" s="23">
        <f t="shared" si="4"/>
        <v>43764</v>
      </c>
      <c r="D39" s="23">
        <f t="shared" si="5"/>
        <v>43765</v>
      </c>
      <c r="E39" s="9">
        <f t="shared" si="0"/>
        <v>6</v>
      </c>
      <c r="F39" s="9"/>
      <c r="G39" s="9"/>
      <c r="H39">
        <v>0</v>
      </c>
      <c r="I39">
        <f t="shared" si="1"/>
        <v>0</v>
      </c>
      <c r="J39" s="25">
        <f t="shared" si="2"/>
        <v>0</v>
      </c>
      <c r="K39" s="25">
        <f t="shared" si="6"/>
        <v>14671.082413312706</v>
      </c>
    </row>
    <row r="40" spans="1:11" ht="16.5" customHeight="1">
      <c r="A40" s="22">
        <v>10000000</v>
      </c>
      <c r="B40" s="22">
        <f t="shared" si="3"/>
        <v>10014671.082413312</v>
      </c>
      <c r="C40" s="23">
        <f t="shared" si="4"/>
        <v>43765</v>
      </c>
      <c r="D40" s="23">
        <f t="shared" si="5"/>
        <v>43766</v>
      </c>
      <c r="E40" s="9">
        <f t="shared" si="0"/>
        <v>7</v>
      </c>
      <c r="F40" s="9"/>
      <c r="G40" s="9"/>
      <c r="H40">
        <v>0</v>
      </c>
      <c r="I40">
        <f t="shared" si="1"/>
        <v>0</v>
      </c>
      <c r="J40" s="25">
        <f t="shared" si="2"/>
        <v>0</v>
      </c>
      <c r="K40" s="25">
        <f t="shared" si="6"/>
        <v>14671.082413312706</v>
      </c>
    </row>
    <row r="41" spans="1:11" ht="16.5" customHeight="1">
      <c r="A41" s="22">
        <v>10000000</v>
      </c>
      <c r="B41" s="22">
        <f t="shared" si="3"/>
        <v>10014671.082413312</v>
      </c>
      <c r="C41" s="23">
        <f t="shared" si="4"/>
        <v>43766</v>
      </c>
      <c r="D41" s="23">
        <f t="shared" si="5"/>
        <v>43767</v>
      </c>
      <c r="E41" s="9">
        <f t="shared" si="0"/>
        <v>1</v>
      </c>
      <c r="F41" s="9"/>
      <c r="G41" s="9">
        <v>1.82</v>
      </c>
      <c r="H41">
        <v>1</v>
      </c>
      <c r="I41">
        <f t="shared" si="1"/>
        <v>5.0555555555555559E-5</v>
      </c>
      <c r="J41" s="25">
        <f t="shared" si="2"/>
        <v>506.29726027756192</v>
      </c>
      <c r="K41" s="25">
        <f t="shared" si="6"/>
        <v>15177.379673590269</v>
      </c>
    </row>
    <row r="42" spans="1:11" ht="16.5" customHeight="1">
      <c r="A42" s="22">
        <v>10000000</v>
      </c>
      <c r="B42" s="22">
        <f t="shared" si="3"/>
        <v>10015177.379673591</v>
      </c>
      <c r="C42" s="23">
        <f t="shared" si="4"/>
        <v>43767</v>
      </c>
      <c r="D42" s="23">
        <f t="shared" si="5"/>
        <v>43768</v>
      </c>
      <c r="E42" s="9">
        <f t="shared" si="0"/>
        <v>2</v>
      </c>
      <c r="F42" s="9"/>
      <c r="G42" s="9">
        <v>1.81</v>
      </c>
      <c r="H42">
        <v>1</v>
      </c>
      <c r="I42">
        <f t="shared" si="1"/>
        <v>5.0277777777777784E-5</v>
      </c>
      <c r="J42" s="25">
        <f t="shared" si="2"/>
        <v>503.54086270025562</v>
      </c>
      <c r="K42" s="25">
        <f t="shared" si="6"/>
        <v>15680.920536290525</v>
      </c>
    </row>
    <row r="43" spans="1:11" ht="16.5" customHeight="1">
      <c r="A43" s="22">
        <v>10000000</v>
      </c>
      <c r="B43" s="22">
        <f t="shared" si="3"/>
        <v>10015680.920536291</v>
      </c>
      <c r="C43" s="23">
        <f t="shared" si="4"/>
        <v>43768</v>
      </c>
      <c r="D43" s="23">
        <f t="shared" si="5"/>
        <v>43769</v>
      </c>
      <c r="E43" s="9">
        <f t="shared" si="0"/>
        <v>3</v>
      </c>
      <c r="F43" s="9"/>
      <c r="G43" s="9">
        <v>1.82</v>
      </c>
      <c r="H43">
        <v>1</v>
      </c>
      <c r="I43">
        <f t="shared" si="1"/>
        <v>5.0555555555555559E-5</v>
      </c>
      <c r="J43" s="25">
        <f t="shared" si="2"/>
        <v>506.3483132048903</v>
      </c>
      <c r="K43" s="27">
        <f t="shared" si="6"/>
        <v>16187.268849495415</v>
      </c>
    </row>
    <row r="44" spans="1:11" ht="16.5" customHeight="1"/>
    <row r="45" spans="1:11" ht="16.5" customHeight="1"/>
    <row r="46" spans="1:11" ht="16.5" customHeight="1"/>
    <row r="47" spans="1:11" ht="16.5" customHeight="1"/>
    <row r="48" spans="1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7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김윤수</dc:creator>
  <cp:lastModifiedBy>infomax</cp:lastModifiedBy>
  <dcterms:created xsi:type="dcterms:W3CDTF">2025-05-08T06:23:43Z</dcterms:created>
  <dcterms:modified xsi:type="dcterms:W3CDTF">2025-05-09T05:58:23Z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0x0101003A65402FBCCE5142B745C07E133EAC3E</vt:lpwstr>
  </property>
</Properties>
</file>