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5beb211c1f5c2/1 사회이동성 분석/Presentation/"/>
    </mc:Choice>
  </mc:AlternateContent>
  <xr:revisionPtr revIDLastSave="67" documentId="13_ncr:40009_{2DC5B242-4A5B-4B7B-8D70-DA95FA7C109F}" xr6:coauthVersionLast="45" xr6:coauthVersionMax="45" xr10:uidLastSave="{A7214F81-9044-424F-A04B-EB4EEE94922C}"/>
  <bookViews>
    <workbookView xWindow="-120" yWindow="-120" windowWidth="29040" windowHeight="15840" xr2:uid="{00000000-000D-0000-FFFF-FFFF00000000}"/>
  </bookViews>
  <sheets>
    <sheet name="Table_ME_2009 (2)" sheetId="2" r:id="rId1"/>
    <sheet name="Table_ME_200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2" l="1"/>
  <c r="E59" i="2"/>
  <c r="C59" i="2"/>
  <c r="B59" i="2"/>
  <c r="A59" i="2"/>
  <c r="F57" i="2"/>
  <c r="E57" i="2"/>
  <c r="C57" i="2"/>
  <c r="B57" i="2"/>
  <c r="A57" i="2"/>
  <c r="F56" i="2"/>
  <c r="E56" i="2"/>
  <c r="C56" i="2"/>
  <c r="B56" i="2"/>
  <c r="A56" i="2"/>
  <c r="F55" i="2"/>
  <c r="E55" i="2"/>
  <c r="C55" i="2"/>
  <c r="B55" i="2"/>
  <c r="A55" i="2"/>
  <c r="C54" i="2"/>
  <c r="B54" i="2"/>
  <c r="A54" i="2"/>
  <c r="F52" i="2"/>
  <c r="E52" i="2"/>
  <c r="C52" i="2"/>
  <c r="B52" i="2"/>
  <c r="A52" i="2"/>
  <c r="C51" i="2"/>
  <c r="B51" i="2"/>
  <c r="A51" i="2"/>
  <c r="F49" i="2"/>
  <c r="E49" i="2"/>
  <c r="C49" i="2"/>
  <c r="B49" i="2"/>
  <c r="A49" i="2"/>
  <c r="C48" i="2"/>
  <c r="B48" i="2"/>
  <c r="A48" i="2"/>
  <c r="F46" i="2"/>
  <c r="E46" i="2"/>
  <c r="C46" i="2"/>
  <c r="B46" i="2"/>
  <c r="A46" i="2"/>
  <c r="F45" i="2"/>
  <c r="E45" i="2"/>
  <c r="C45" i="2"/>
  <c r="B45" i="2"/>
  <c r="A45" i="2"/>
  <c r="F44" i="2"/>
  <c r="E44" i="2"/>
  <c r="C44" i="2"/>
  <c r="B44" i="2"/>
  <c r="A44" i="2"/>
  <c r="F43" i="2"/>
  <c r="E43" i="2"/>
  <c r="C43" i="2"/>
  <c r="B43" i="2"/>
  <c r="A43" i="2"/>
  <c r="F42" i="2"/>
  <c r="E42" i="2"/>
  <c r="C42" i="2"/>
  <c r="B42" i="2"/>
  <c r="A42" i="2"/>
  <c r="F41" i="2"/>
  <c r="E41" i="2"/>
  <c r="C41" i="2"/>
  <c r="B41" i="2"/>
  <c r="A41" i="2"/>
  <c r="F40" i="2"/>
  <c r="E40" i="2"/>
  <c r="C40" i="2"/>
  <c r="B40" i="2"/>
  <c r="A40" i="2"/>
  <c r="F39" i="2"/>
  <c r="E39" i="2"/>
  <c r="C39" i="2"/>
  <c r="B39" i="2"/>
  <c r="A39" i="2"/>
  <c r="F38" i="2"/>
  <c r="E38" i="2"/>
  <c r="C38" i="2"/>
  <c r="B38" i="2"/>
  <c r="A38" i="2"/>
  <c r="F37" i="2"/>
  <c r="E37" i="2"/>
  <c r="C37" i="2"/>
  <c r="B37" i="2"/>
  <c r="A37" i="2"/>
  <c r="F36" i="2"/>
  <c r="E36" i="2"/>
  <c r="C36" i="2"/>
  <c r="B36" i="2"/>
  <c r="A36" i="2"/>
  <c r="F35" i="2"/>
  <c r="E35" i="2"/>
  <c r="C35" i="2"/>
  <c r="B35" i="2"/>
  <c r="A35" i="2"/>
  <c r="F34" i="2"/>
  <c r="E34" i="2"/>
  <c r="C34" i="2"/>
  <c r="B34" i="2"/>
  <c r="A34" i="2"/>
  <c r="F33" i="2"/>
  <c r="E33" i="2"/>
  <c r="C33" i="2"/>
  <c r="B33" i="2"/>
  <c r="A33" i="2"/>
  <c r="F32" i="2"/>
  <c r="E32" i="2"/>
  <c r="C32" i="2"/>
  <c r="B32" i="2"/>
  <c r="A32" i="2"/>
  <c r="C31" i="2"/>
  <c r="B31" i="2"/>
  <c r="A31" i="2"/>
  <c r="F29" i="2"/>
  <c r="E29" i="2"/>
  <c r="C29" i="2"/>
  <c r="B29" i="2"/>
  <c r="A29" i="2"/>
  <c r="F28" i="2"/>
  <c r="E28" i="2"/>
  <c r="C28" i="2"/>
  <c r="B28" i="2"/>
  <c r="A28" i="2"/>
  <c r="C27" i="2"/>
  <c r="B27" i="2"/>
  <c r="A27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C18" i="2"/>
  <c r="B18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C12" i="2"/>
  <c r="B12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C6" i="2"/>
  <c r="B6" i="2"/>
  <c r="F4" i="2"/>
  <c r="E4" i="2"/>
  <c r="C4" i="2"/>
  <c r="B4" i="2"/>
  <c r="C3" i="2"/>
  <c r="B3" i="2"/>
  <c r="A2" i="2"/>
  <c r="U58" i="1" l="1"/>
  <c r="T58" i="1"/>
  <c r="S58" i="1"/>
  <c r="R58" i="1"/>
  <c r="Q58" i="1"/>
  <c r="P58" i="1"/>
  <c r="N58" i="1"/>
  <c r="G58" i="1"/>
  <c r="U56" i="1"/>
  <c r="N56" i="1"/>
  <c r="G56" i="1"/>
  <c r="U55" i="1"/>
  <c r="N55" i="1"/>
  <c r="G55" i="1"/>
  <c r="U54" i="1"/>
  <c r="N54" i="1"/>
  <c r="G54" i="1"/>
  <c r="U53" i="1"/>
  <c r="G53" i="1"/>
  <c r="U51" i="1"/>
  <c r="N51" i="1"/>
  <c r="G51" i="1"/>
  <c r="U50" i="1"/>
  <c r="G50" i="1"/>
  <c r="U48" i="1"/>
  <c r="N48" i="1"/>
  <c r="G48" i="1"/>
  <c r="U47" i="1"/>
  <c r="G47" i="1"/>
  <c r="U45" i="1"/>
  <c r="N45" i="1"/>
  <c r="G45" i="1"/>
  <c r="U44" i="1"/>
  <c r="N44" i="1"/>
  <c r="G44" i="1"/>
  <c r="U43" i="1"/>
  <c r="N43" i="1"/>
  <c r="G43" i="1"/>
  <c r="U42" i="1"/>
  <c r="N42" i="1"/>
  <c r="G42" i="1"/>
  <c r="U41" i="1"/>
  <c r="N41" i="1"/>
  <c r="G41" i="1"/>
  <c r="U40" i="1"/>
  <c r="N40" i="1"/>
  <c r="G40" i="1"/>
  <c r="U39" i="1"/>
  <c r="N39" i="1"/>
  <c r="G39" i="1"/>
  <c r="U38" i="1"/>
  <c r="N38" i="1"/>
  <c r="G38" i="1"/>
  <c r="U37" i="1"/>
  <c r="N37" i="1"/>
  <c r="G37" i="1"/>
  <c r="U36" i="1"/>
  <c r="N36" i="1"/>
  <c r="G36" i="1"/>
  <c r="U35" i="1"/>
  <c r="N35" i="1"/>
  <c r="G35" i="1"/>
  <c r="U34" i="1"/>
  <c r="N34" i="1"/>
  <c r="G34" i="1"/>
  <c r="U33" i="1"/>
  <c r="N33" i="1"/>
  <c r="G33" i="1"/>
  <c r="U32" i="1"/>
  <c r="N32" i="1"/>
  <c r="G32" i="1"/>
  <c r="U31" i="1"/>
  <c r="N31" i="1"/>
  <c r="G31" i="1"/>
  <c r="U30" i="1"/>
  <c r="G30" i="1"/>
  <c r="U28" i="1"/>
  <c r="N28" i="1"/>
  <c r="G28" i="1"/>
  <c r="U27" i="1"/>
  <c r="N27" i="1"/>
  <c r="G27" i="1"/>
  <c r="U26" i="1"/>
  <c r="G26" i="1"/>
  <c r="U24" i="1"/>
  <c r="N24" i="1"/>
  <c r="G24" i="1"/>
  <c r="U23" i="1"/>
  <c r="N23" i="1"/>
  <c r="G23" i="1"/>
  <c r="U22" i="1"/>
  <c r="N22" i="1"/>
  <c r="G22" i="1"/>
  <c r="U21" i="1"/>
  <c r="N21" i="1"/>
  <c r="G21" i="1"/>
  <c r="U20" i="1"/>
  <c r="N20" i="1"/>
  <c r="G20" i="1"/>
  <c r="U19" i="1"/>
  <c r="N19" i="1"/>
  <c r="G19" i="1"/>
  <c r="U18" i="1"/>
  <c r="N18" i="1"/>
  <c r="G18" i="1"/>
  <c r="U17" i="1"/>
  <c r="G17" i="1"/>
  <c r="U15" i="1"/>
  <c r="N15" i="1"/>
  <c r="G15" i="1"/>
  <c r="U14" i="1"/>
  <c r="N14" i="1"/>
  <c r="G14" i="1"/>
  <c r="U13" i="1"/>
  <c r="N13" i="1"/>
  <c r="G13" i="1"/>
  <c r="U12" i="1"/>
  <c r="N12" i="1"/>
  <c r="G12" i="1"/>
  <c r="U11" i="1"/>
  <c r="G11" i="1"/>
  <c r="U9" i="1"/>
  <c r="N9" i="1"/>
  <c r="G9" i="1"/>
  <c r="U8" i="1"/>
  <c r="N8" i="1"/>
  <c r="G8" i="1"/>
  <c r="U7" i="1"/>
  <c r="N7" i="1"/>
  <c r="G7" i="1"/>
  <c r="U6" i="1"/>
  <c r="N6" i="1"/>
  <c r="G6" i="1"/>
  <c r="U5" i="1"/>
  <c r="G5" i="1"/>
  <c r="U3" i="1"/>
  <c r="N3" i="1"/>
  <c r="G3" i="1"/>
  <c r="U2" i="1"/>
  <c r="G2" i="1"/>
  <c r="M58" i="1"/>
  <c r="F58" i="1"/>
  <c r="T56" i="1"/>
  <c r="M56" i="1"/>
  <c r="F56" i="1"/>
  <c r="T55" i="1"/>
  <c r="M55" i="1"/>
  <c r="F55" i="1"/>
  <c r="T54" i="1"/>
  <c r="M54" i="1"/>
  <c r="F54" i="1"/>
  <c r="T53" i="1"/>
  <c r="F53" i="1"/>
  <c r="T51" i="1"/>
  <c r="M51" i="1"/>
  <c r="F51" i="1"/>
  <c r="T50" i="1"/>
  <c r="F50" i="1"/>
  <c r="T48" i="1"/>
  <c r="M48" i="1"/>
  <c r="F48" i="1"/>
  <c r="T47" i="1"/>
  <c r="F47" i="1"/>
  <c r="T45" i="1"/>
  <c r="M45" i="1"/>
  <c r="F45" i="1"/>
  <c r="T44" i="1"/>
  <c r="M44" i="1"/>
  <c r="F44" i="1"/>
  <c r="T43" i="1"/>
  <c r="M43" i="1"/>
  <c r="F43" i="1"/>
  <c r="T42" i="1"/>
  <c r="M42" i="1"/>
  <c r="F42" i="1"/>
  <c r="T41" i="1"/>
  <c r="M41" i="1"/>
  <c r="F41" i="1"/>
  <c r="T40" i="1"/>
  <c r="M40" i="1"/>
  <c r="F40" i="1"/>
  <c r="T39" i="1"/>
  <c r="M39" i="1"/>
  <c r="F39" i="1"/>
  <c r="T38" i="1"/>
  <c r="M38" i="1"/>
  <c r="F38" i="1"/>
  <c r="T37" i="1"/>
  <c r="M37" i="1"/>
  <c r="F37" i="1"/>
  <c r="T36" i="1"/>
  <c r="M36" i="1"/>
  <c r="F36" i="1"/>
  <c r="T35" i="1"/>
  <c r="M35" i="1"/>
  <c r="F35" i="1"/>
  <c r="T34" i="1"/>
  <c r="M34" i="1"/>
  <c r="F34" i="1"/>
  <c r="T33" i="1"/>
  <c r="M33" i="1"/>
  <c r="F33" i="1"/>
  <c r="T32" i="1"/>
  <c r="M32" i="1"/>
  <c r="F32" i="1"/>
  <c r="T31" i="1"/>
  <c r="M31" i="1"/>
  <c r="F31" i="1"/>
  <c r="T30" i="1"/>
  <c r="F30" i="1"/>
  <c r="T28" i="1"/>
  <c r="M28" i="1"/>
  <c r="F28" i="1"/>
  <c r="T27" i="1"/>
  <c r="M27" i="1"/>
  <c r="F27" i="1"/>
  <c r="T26" i="1"/>
  <c r="F26" i="1"/>
  <c r="T24" i="1"/>
  <c r="M24" i="1"/>
  <c r="F24" i="1"/>
  <c r="T23" i="1"/>
  <c r="M23" i="1"/>
  <c r="F23" i="1"/>
  <c r="T22" i="1"/>
  <c r="M22" i="1"/>
  <c r="F22" i="1"/>
  <c r="T21" i="1"/>
  <c r="M21" i="1"/>
  <c r="F21" i="1"/>
  <c r="T20" i="1"/>
  <c r="M20" i="1"/>
  <c r="F20" i="1"/>
  <c r="T19" i="1"/>
  <c r="M19" i="1"/>
  <c r="F19" i="1"/>
  <c r="T18" i="1"/>
  <c r="M18" i="1"/>
  <c r="F18" i="1"/>
  <c r="T17" i="1"/>
  <c r="F17" i="1"/>
  <c r="T15" i="1"/>
  <c r="M15" i="1"/>
  <c r="F15" i="1"/>
  <c r="T14" i="1"/>
  <c r="M14" i="1"/>
  <c r="F14" i="1"/>
  <c r="T13" i="1"/>
  <c r="M13" i="1"/>
  <c r="F13" i="1"/>
  <c r="T12" i="1"/>
  <c r="M12" i="1"/>
  <c r="F12" i="1"/>
  <c r="T11" i="1"/>
  <c r="F11" i="1"/>
  <c r="T9" i="1"/>
  <c r="M9" i="1"/>
  <c r="F9" i="1"/>
  <c r="T8" i="1"/>
  <c r="M8" i="1"/>
  <c r="F8" i="1"/>
  <c r="T7" i="1"/>
  <c r="M7" i="1"/>
  <c r="F7" i="1"/>
  <c r="T6" i="1"/>
  <c r="M6" i="1"/>
  <c r="F6" i="1"/>
  <c r="T5" i="1"/>
  <c r="F5" i="1"/>
  <c r="T3" i="1"/>
  <c r="M3" i="1"/>
  <c r="F3" i="1"/>
  <c r="T2" i="1"/>
  <c r="F2" i="1"/>
  <c r="L58" i="1"/>
  <c r="E58" i="1"/>
  <c r="S56" i="1"/>
  <c r="L56" i="1"/>
  <c r="E56" i="1"/>
  <c r="S55" i="1"/>
  <c r="L55" i="1"/>
  <c r="E55" i="1"/>
  <c r="S54" i="1"/>
  <c r="L54" i="1"/>
  <c r="E54" i="1"/>
  <c r="S53" i="1"/>
  <c r="E53" i="1"/>
  <c r="S51" i="1"/>
  <c r="L51" i="1"/>
  <c r="E51" i="1"/>
  <c r="S50" i="1"/>
  <c r="E50" i="1"/>
  <c r="S48" i="1"/>
  <c r="L48" i="1"/>
  <c r="E48" i="1"/>
  <c r="S47" i="1"/>
  <c r="E47" i="1"/>
  <c r="S45" i="1"/>
  <c r="L45" i="1"/>
  <c r="E45" i="1"/>
  <c r="S44" i="1"/>
  <c r="L44" i="1"/>
  <c r="E44" i="1"/>
  <c r="S43" i="1"/>
  <c r="L43" i="1"/>
  <c r="E43" i="1"/>
  <c r="S42" i="1"/>
  <c r="L42" i="1"/>
  <c r="E42" i="1"/>
  <c r="S41" i="1"/>
  <c r="L41" i="1"/>
  <c r="E41" i="1"/>
  <c r="S40" i="1"/>
  <c r="L40" i="1"/>
  <c r="E40" i="1"/>
  <c r="S39" i="1"/>
  <c r="L39" i="1"/>
  <c r="E39" i="1"/>
  <c r="S38" i="1"/>
  <c r="L38" i="1"/>
  <c r="E38" i="1"/>
  <c r="S37" i="1"/>
  <c r="L37" i="1"/>
  <c r="E37" i="1"/>
  <c r="S36" i="1"/>
  <c r="L36" i="1"/>
  <c r="E36" i="1"/>
  <c r="S35" i="1"/>
  <c r="L35" i="1"/>
  <c r="E35" i="1"/>
  <c r="S34" i="1"/>
  <c r="L34" i="1"/>
  <c r="E34" i="1"/>
  <c r="S33" i="1"/>
  <c r="L33" i="1"/>
  <c r="E33" i="1"/>
  <c r="S32" i="1"/>
  <c r="L32" i="1"/>
  <c r="E32" i="1"/>
  <c r="S31" i="1"/>
  <c r="L31" i="1"/>
  <c r="E31" i="1"/>
  <c r="S30" i="1"/>
  <c r="E30" i="1"/>
  <c r="S28" i="1"/>
  <c r="L28" i="1"/>
  <c r="E28" i="1"/>
  <c r="S27" i="1"/>
  <c r="L27" i="1"/>
  <c r="E27" i="1"/>
  <c r="S26" i="1"/>
  <c r="E26" i="1"/>
  <c r="S24" i="1"/>
  <c r="L24" i="1"/>
  <c r="E24" i="1"/>
  <c r="S23" i="1"/>
  <c r="L23" i="1"/>
  <c r="E23" i="1"/>
  <c r="S22" i="1"/>
  <c r="L22" i="1"/>
  <c r="E22" i="1"/>
  <c r="S21" i="1"/>
  <c r="L21" i="1"/>
  <c r="E21" i="1"/>
  <c r="S20" i="1"/>
  <c r="L20" i="1"/>
  <c r="E20" i="1"/>
  <c r="S19" i="1"/>
  <c r="L19" i="1"/>
  <c r="E19" i="1"/>
  <c r="S18" i="1"/>
  <c r="L18" i="1"/>
  <c r="E18" i="1"/>
  <c r="S17" i="1"/>
  <c r="E17" i="1"/>
  <c r="S15" i="1"/>
  <c r="L15" i="1"/>
  <c r="E15" i="1"/>
  <c r="S14" i="1"/>
  <c r="L14" i="1"/>
  <c r="E14" i="1"/>
  <c r="S13" i="1"/>
  <c r="L13" i="1"/>
  <c r="E13" i="1"/>
  <c r="S12" i="1"/>
  <c r="L12" i="1"/>
  <c r="E12" i="1"/>
  <c r="S11" i="1"/>
  <c r="E11" i="1"/>
  <c r="S9" i="1"/>
  <c r="L9" i="1"/>
  <c r="E9" i="1"/>
  <c r="S8" i="1"/>
  <c r="L8" i="1"/>
  <c r="E8" i="1"/>
  <c r="S7" i="1"/>
  <c r="L7" i="1"/>
  <c r="E7" i="1"/>
  <c r="S6" i="1"/>
  <c r="L6" i="1"/>
  <c r="E6" i="1"/>
  <c r="S5" i="1"/>
  <c r="E5" i="1"/>
  <c r="S3" i="1"/>
  <c r="L3" i="1"/>
  <c r="E3" i="1"/>
  <c r="S2" i="1"/>
  <c r="E2" i="1"/>
  <c r="K58" i="1"/>
  <c r="D58" i="1"/>
  <c r="R56" i="1"/>
  <c r="K56" i="1"/>
  <c r="D56" i="1"/>
  <c r="R55" i="1"/>
  <c r="K55" i="1"/>
  <c r="D55" i="1"/>
  <c r="R54" i="1"/>
  <c r="K54" i="1"/>
  <c r="D54" i="1"/>
  <c r="R53" i="1"/>
  <c r="D53" i="1"/>
  <c r="R51" i="1"/>
  <c r="K51" i="1"/>
  <c r="D51" i="1"/>
  <c r="R50" i="1"/>
  <c r="D50" i="1"/>
  <c r="R48" i="1"/>
  <c r="K48" i="1"/>
  <c r="D48" i="1"/>
  <c r="R47" i="1"/>
  <c r="D47" i="1"/>
  <c r="R45" i="1"/>
  <c r="K45" i="1"/>
  <c r="D45" i="1"/>
  <c r="R44" i="1"/>
  <c r="K44" i="1"/>
  <c r="D44" i="1"/>
  <c r="R43" i="1"/>
  <c r="K43" i="1"/>
  <c r="D43" i="1"/>
  <c r="R42" i="1"/>
  <c r="K42" i="1"/>
  <c r="D42" i="1"/>
  <c r="R41" i="1"/>
  <c r="K41" i="1"/>
  <c r="D41" i="1"/>
  <c r="R40" i="1"/>
  <c r="K40" i="1"/>
  <c r="D40" i="1"/>
  <c r="R39" i="1"/>
  <c r="K39" i="1"/>
  <c r="D39" i="1"/>
  <c r="R38" i="1"/>
  <c r="K38" i="1"/>
  <c r="D38" i="1"/>
  <c r="R37" i="1"/>
  <c r="K37" i="1"/>
  <c r="D37" i="1"/>
  <c r="R36" i="1"/>
  <c r="K36" i="1"/>
  <c r="D36" i="1"/>
  <c r="R35" i="1"/>
  <c r="K35" i="1"/>
  <c r="D35" i="1"/>
  <c r="R34" i="1"/>
  <c r="K34" i="1"/>
  <c r="D34" i="1"/>
  <c r="R33" i="1"/>
  <c r="K33" i="1"/>
  <c r="D33" i="1"/>
  <c r="R32" i="1"/>
  <c r="K32" i="1"/>
  <c r="D32" i="1"/>
  <c r="R31" i="1"/>
  <c r="K31" i="1"/>
  <c r="D31" i="1"/>
  <c r="R30" i="1"/>
  <c r="D30" i="1"/>
  <c r="R28" i="1"/>
  <c r="K28" i="1"/>
  <c r="D28" i="1"/>
  <c r="R27" i="1"/>
  <c r="K27" i="1"/>
  <c r="D27" i="1"/>
  <c r="R26" i="1"/>
  <c r="D26" i="1"/>
  <c r="R24" i="1"/>
  <c r="K24" i="1"/>
  <c r="D24" i="1"/>
  <c r="R23" i="1"/>
  <c r="K23" i="1"/>
  <c r="D23" i="1"/>
  <c r="R22" i="1"/>
  <c r="K22" i="1"/>
  <c r="D22" i="1"/>
  <c r="R21" i="1"/>
  <c r="K21" i="1"/>
  <c r="D21" i="1"/>
  <c r="R20" i="1"/>
  <c r="K20" i="1"/>
  <c r="D20" i="1"/>
  <c r="R19" i="1"/>
  <c r="K19" i="1"/>
  <c r="D19" i="1"/>
  <c r="R18" i="1"/>
  <c r="K18" i="1"/>
  <c r="D18" i="1"/>
  <c r="R17" i="1"/>
  <c r="D17" i="1"/>
  <c r="R15" i="1"/>
  <c r="K15" i="1"/>
  <c r="D15" i="1"/>
  <c r="R14" i="1"/>
  <c r="K14" i="1"/>
  <c r="D14" i="1"/>
  <c r="R13" i="1"/>
  <c r="K13" i="1"/>
  <c r="D13" i="1"/>
  <c r="R12" i="1"/>
  <c r="K12" i="1"/>
  <c r="D12" i="1"/>
  <c r="R11" i="1"/>
  <c r="D11" i="1"/>
  <c r="R9" i="1"/>
  <c r="K9" i="1"/>
  <c r="D9" i="1"/>
  <c r="R8" i="1"/>
  <c r="K8" i="1"/>
  <c r="D8" i="1"/>
  <c r="R7" i="1"/>
  <c r="K7" i="1"/>
  <c r="D7" i="1"/>
  <c r="R6" i="1"/>
  <c r="K6" i="1"/>
  <c r="D6" i="1"/>
  <c r="R5" i="1"/>
  <c r="D5" i="1"/>
  <c r="R3" i="1"/>
  <c r="K3" i="1"/>
  <c r="D3" i="1"/>
  <c r="R2" i="1"/>
  <c r="D2" i="1"/>
  <c r="J58" i="1"/>
  <c r="C58" i="1"/>
  <c r="Q56" i="1"/>
  <c r="J56" i="1"/>
  <c r="C56" i="1"/>
  <c r="Q55" i="1"/>
  <c r="J55" i="1"/>
  <c r="C55" i="1"/>
  <c r="Q54" i="1"/>
  <c r="J54" i="1"/>
  <c r="C54" i="1"/>
  <c r="Q53" i="1"/>
  <c r="C53" i="1"/>
  <c r="Q51" i="1"/>
  <c r="J51" i="1"/>
  <c r="C51" i="1"/>
  <c r="Q50" i="1"/>
  <c r="C50" i="1"/>
  <c r="Q48" i="1"/>
  <c r="J48" i="1"/>
  <c r="C48" i="1"/>
  <c r="Q47" i="1"/>
  <c r="C47" i="1"/>
  <c r="Q45" i="1"/>
  <c r="J45" i="1"/>
  <c r="C45" i="1"/>
  <c r="Q44" i="1"/>
  <c r="J44" i="1"/>
  <c r="C44" i="1"/>
  <c r="Q43" i="1"/>
  <c r="J43" i="1"/>
  <c r="C43" i="1"/>
  <c r="Q42" i="1"/>
  <c r="J42" i="1"/>
  <c r="C42" i="1"/>
  <c r="Q41" i="1"/>
  <c r="J41" i="1"/>
  <c r="C41" i="1"/>
  <c r="Q40" i="1"/>
  <c r="J40" i="1"/>
  <c r="C40" i="1"/>
  <c r="Q39" i="1"/>
  <c r="J39" i="1"/>
  <c r="C39" i="1"/>
  <c r="Q38" i="1"/>
  <c r="J38" i="1"/>
  <c r="C38" i="1"/>
  <c r="Q37" i="1"/>
  <c r="J37" i="1"/>
  <c r="C37" i="1"/>
  <c r="Q36" i="1"/>
  <c r="J36" i="1"/>
  <c r="C36" i="1"/>
  <c r="Q35" i="1"/>
  <c r="J35" i="1"/>
  <c r="C35" i="1"/>
  <c r="Q34" i="1"/>
  <c r="J34" i="1"/>
  <c r="C34" i="1"/>
  <c r="Q33" i="1"/>
  <c r="J33" i="1"/>
  <c r="C33" i="1"/>
  <c r="Q32" i="1"/>
  <c r="J32" i="1"/>
  <c r="C32" i="1"/>
  <c r="Q31" i="1"/>
  <c r="J31" i="1"/>
  <c r="C31" i="1"/>
  <c r="Q30" i="1"/>
  <c r="C30" i="1"/>
  <c r="Q28" i="1"/>
  <c r="J28" i="1"/>
  <c r="C28" i="1"/>
  <c r="Q27" i="1"/>
  <c r="J27" i="1"/>
  <c r="C27" i="1"/>
  <c r="Q26" i="1"/>
  <c r="C26" i="1"/>
  <c r="Q24" i="1"/>
  <c r="J24" i="1"/>
  <c r="C24" i="1"/>
  <c r="Q23" i="1"/>
  <c r="J23" i="1"/>
  <c r="C23" i="1"/>
  <c r="Q22" i="1"/>
  <c r="J22" i="1"/>
  <c r="C22" i="1"/>
  <c r="Q21" i="1"/>
  <c r="J21" i="1"/>
  <c r="C21" i="1"/>
  <c r="Q20" i="1"/>
  <c r="J20" i="1"/>
  <c r="C20" i="1"/>
  <c r="Q19" i="1"/>
  <c r="J19" i="1"/>
  <c r="C19" i="1"/>
  <c r="Q18" i="1"/>
  <c r="J18" i="1"/>
  <c r="C18" i="1"/>
  <c r="Q17" i="1"/>
  <c r="C17" i="1"/>
  <c r="Q15" i="1"/>
  <c r="J15" i="1"/>
  <c r="C15" i="1"/>
  <c r="Q14" i="1"/>
  <c r="J14" i="1"/>
  <c r="C14" i="1"/>
  <c r="Q13" i="1"/>
  <c r="J13" i="1"/>
  <c r="C13" i="1"/>
  <c r="Q12" i="1"/>
  <c r="J12" i="1"/>
  <c r="C12" i="1"/>
  <c r="Q11" i="1"/>
  <c r="C11" i="1"/>
  <c r="Q9" i="1"/>
  <c r="J9" i="1"/>
  <c r="C9" i="1"/>
  <c r="Q8" i="1"/>
  <c r="J8" i="1"/>
  <c r="C8" i="1"/>
  <c r="Q7" i="1"/>
  <c r="J7" i="1"/>
  <c r="C7" i="1"/>
  <c r="Q6" i="1"/>
  <c r="J6" i="1"/>
  <c r="C6" i="1"/>
  <c r="Q5" i="1"/>
  <c r="C5" i="1"/>
  <c r="Q3" i="1"/>
  <c r="J3" i="1"/>
  <c r="C3" i="1"/>
  <c r="Q2" i="1"/>
  <c r="C2" i="1"/>
  <c r="A1" i="1"/>
  <c r="B2" i="1"/>
  <c r="P2" i="1"/>
  <c r="B3" i="1"/>
  <c r="I3" i="1"/>
  <c r="P3" i="1"/>
  <c r="B5" i="1"/>
  <c r="P5" i="1"/>
  <c r="B6" i="1"/>
  <c r="I6" i="1"/>
  <c r="P6" i="1"/>
  <c r="B7" i="1"/>
  <c r="I7" i="1"/>
  <c r="P7" i="1"/>
  <c r="B8" i="1"/>
  <c r="I8" i="1"/>
  <c r="P8" i="1"/>
  <c r="B9" i="1"/>
  <c r="I9" i="1"/>
  <c r="P9" i="1"/>
  <c r="B11" i="1"/>
  <c r="P11" i="1"/>
  <c r="B12" i="1"/>
  <c r="I12" i="1"/>
  <c r="P12" i="1"/>
  <c r="B13" i="1"/>
  <c r="I13" i="1"/>
  <c r="P13" i="1"/>
  <c r="B14" i="1"/>
  <c r="I14" i="1"/>
  <c r="P14" i="1"/>
  <c r="B15" i="1"/>
  <c r="I15" i="1"/>
  <c r="P15" i="1"/>
  <c r="B17" i="1"/>
  <c r="P17" i="1"/>
  <c r="B18" i="1"/>
  <c r="I18" i="1"/>
  <c r="P18" i="1"/>
  <c r="B19" i="1"/>
  <c r="I19" i="1"/>
  <c r="P19" i="1"/>
  <c r="B20" i="1"/>
  <c r="I20" i="1"/>
  <c r="P20" i="1"/>
  <c r="B21" i="1"/>
  <c r="I21" i="1"/>
  <c r="P21" i="1"/>
  <c r="B22" i="1"/>
  <c r="I22" i="1"/>
  <c r="P22" i="1"/>
  <c r="B23" i="1"/>
  <c r="I23" i="1"/>
  <c r="P23" i="1"/>
  <c r="B24" i="1"/>
  <c r="I24" i="1"/>
  <c r="P24" i="1"/>
  <c r="A26" i="1"/>
  <c r="B26" i="1"/>
  <c r="P26" i="1"/>
  <c r="A27" i="1"/>
  <c r="B27" i="1"/>
  <c r="I27" i="1"/>
  <c r="P27" i="1"/>
  <c r="A28" i="1"/>
  <c r="B28" i="1"/>
  <c r="I28" i="1"/>
  <c r="P28" i="1"/>
  <c r="A30" i="1"/>
  <c r="B30" i="1"/>
  <c r="P30" i="1"/>
  <c r="A31" i="1"/>
  <c r="B31" i="1"/>
  <c r="I31" i="1"/>
  <c r="P31" i="1"/>
  <c r="A32" i="1"/>
  <c r="B32" i="1"/>
  <c r="I32" i="1"/>
  <c r="P32" i="1"/>
  <c r="A33" i="1"/>
  <c r="B33" i="1"/>
  <c r="I33" i="1"/>
  <c r="P33" i="1"/>
  <c r="A34" i="1"/>
  <c r="B34" i="1"/>
  <c r="I34" i="1"/>
  <c r="P34" i="1"/>
  <c r="A35" i="1"/>
  <c r="B35" i="1"/>
  <c r="I35" i="1"/>
  <c r="P35" i="1"/>
  <c r="A36" i="1"/>
  <c r="B36" i="1"/>
  <c r="I36" i="1"/>
  <c r="P36" i="1"/>
  <c r="A37" i="1"/>
  <c r="B37" i="1"/>
  <c r="I37" i="1"/>
  <c r="P37" i="1"/>
  <c r="A38" i="1"/>
  <c r="B38" i="1"/>
  <c r="I38" i="1"/>
  <c r="P38" i="1"/>
  <c r="A39" i="1"/>
  <c r="B39" i="1"/>
  <c r="I39" i="1"/>
  <c r="P39" i="1"/>
  <c r="A40" i="1"/>
  <c r="B40" i="1"/>
  <c r="I40" i="1"/>
  <c r="P40" i="1"/>
  <c r="A41" i="1"/>
  <c r="B41" i="1"/>
  <c r="I41" i="1"/>
  <c r="P41" i="1"/>
  <c r="A42" i="1"/>
  <c r="B42" i="1"/>
  <c r="I42" i="1"/>
  <c r="P42" i="1"/>
  <c r="A43" i="1"/>
  <c r="B43" i="1"/>
  <c r="I43" i="1"/>
  <c r="P43" i="1"/>
  <c r="A44" i="1"/>
  <c r="B44" i="1"/>
  <c r="I44" i="1"/>
  <c r="P44" i="1"/>
  <c r="A45" i="1"/>
  <c r="B45" i="1"/>
  <c r="I45" i="1"/>
  <c r="P45" i="1"/>
  <c r="A47" i="1"/>
  <c r="B47" i="1"/>
  <c r="P47" i="1"/>
  <c r="A48" i="1"/>
  <c r="B48" i="1"/>
  <c r="I48" i="1"/>
  <c r="P48" i="1"/>
  <c r="A50" i="1"/>
  <c r="B50" i="1"/>
  <c r="P50" i="1"/>
  <c r="A51" i="1"/>
  <c r="B51" i="1"/>
  <c r="I51" i="1"/>
  <c r="P51" i="1"/>
  <c r="A53" i="1"/>
  <c r="B53" i="1"/>
  <c r="P53" i="1"/>
  <c r="A54" i="1"/>
  <c r="B54" i="1"/>
  <c r="I54" i="1"/>
  <c r="P54" i="1"/>
  <c r="A55" i="1"/>
  <c r="B55" i="1"/>
  <c r="I55" i="1"/>
  <c r="P55" i="1"/>
  <c r="A56" i="1"/>
  <c r="B56" i="1"/>
  <c r="I56" i="1"/>
  <c r="P56" i="1"/>
  <c r="A58" i="1"/>
  <c r="B58" i="1"/>
  <c r="I58" i="1"/>
</calcChain>
</file>

<file path=xl/sharedStrings.xml><?xml version="1.0" encoding="utf-8"?>
<sst xmlns="http://schemas.openxmlformats.org/spreadsheetml/2006/main" count="42" uniqueCount="22">
  <si>
    <t>Female</t>
    <phoneticPr fontId="18" type="noConversion"/>
  </si>
  <si>
    <t>Male</t>
    <phoneticPr fontId="18" type="noConversion"/>
  </si>
  <si>
    <t>20s</t>
    <phoneticPr fontId="18" type="noConversion"/>
  </si>
  <si>
    <t>30s</t>
    <phoneticPr fontId="18" type="noConversion"/>
  </si>
  <si>
    <t>40s</t>
    <phoneticPr fontId="18" type="noConversion"/>
  </si>
  <si>
    <t>50s</t>
    <phoneticPr fontId="18" type="noConversion"/>
  </si>
  <si>
    <t>60s</t>
    <phoneticPr fontId="18" type="noConversion"/>
  </si>
  <si>
    <t>MS</t>
    <phoneticPr fontId="18" type="noConversion"/>
  </si>
  <si>
    <t>HS</t>
    <phoneticPr fontId="18" type="noConversion"/>
  </si>
  <si>
    <t>JC</t>
    <phoneticPr fontId="18" type="noConversion"/>
  </si>
  <si>
    <t>Univ</t>
    <phoneticPr fontId="18" type="noConversion"/>
  </si>
  <si>
    <t>Master+</t>
    <phoneticPr fontId="18" type="noConversion"/>
  </si>
  <si>
    <t>~100</t>
    <phoneticPr fontId="18" type="noConversion"/>
  </si>
  <si>
    <t>101~</t>
    <phoneticPr fontId="18" type="noConversion"/>
  </si>
  <si>
    <t>201~</t>
    <phoneticPr fontId="18" type="noConversion"/>
  </si>
  <si>
    <t>301~</t>
    <phoneticPr fontId="18" type="noConversion"/>
  </si>
  <si>
    <t>401~</t>
    <phoneticPr fontId="18" type="noConversion"/>
  </si>
  <si>
    <t>501~</t>
    <phoneticPr fontId="18" type="noConversion"/>
  </si>
  <si>
    <t>601~</t>
    <phoneticPr fontId="18" type="noConversion"/>
  </si>
  <si>
    <t>701~</t>
    <phoneticPr fontId="18" type="noConversion"/>
  </si>
  <si>
    <t>Predicted Probability</t>
    <phoneticPr fontId="18" type="noConversion"/>
  </si>
  <si>
    <t>Marginal Effect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</si>
</sst>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4D6E-2708-47E0-B75F-0E0FBD207A1D}">
  <dimension ref="A1:F59"/>
  <sheetViews>
    <sheetView tabSelected="1" workbookViewId="0">
      <selection activeCell="H7" sqref="H7"/>
    </sheetView>
  </sheetViews>
  <sheetFormatPr defaultRowHeight="16.5" x14ac:dyDescent="0.3"/>
  <cols>
    <col min="1" max="1" width="21.125" bestFit="1" customWidth="1"/>
    <col min="2" max="3" width="13.375" customWidth="1"/>
    <col min="4" max="4" width="1.375" customWidth="1"/>
    <col min="5" max="6" width="14" customWidth="1"/>
  </cols>
  <sheetData>
    <row r="1" spans="1:6" x14ac:dyDescent="0.3">
      <c r="B1" s="6" t="s">
        <v>20</v>
      </c>
      <c r="C1" s="6"/>
      <c r="E1" s="6" t="s">
        <v>21</v>
      </c>
      <c r="F1" s="6"/>
    </row>
    <row r="2" spans="1:6" x14ac:dyDescent="0.3">
      <c r="A2" s="4" t="str">
        <f>""</f>
        <v/>
      </c>
      <c r="B2" s="5">
        <v>2009</v>
      </c>
      <c r="C2" s="5">
        <v>2019</v>
      </c>
      <c r="D2" s="5"/>
      <c r="E2" s="5">
        <v>2009</v>
      </c>
      <c r="F2" s="5">
        <v>2019</v>
      </c>
    </row>
    <row r="3" spans="1:6" x14ac:dyDescent="0.3">
      <c r="A3" t="s">
        <v>0</v>
      </c>
      <c r="B3" t="str">
        <f>"0.438***"</f>
        <v>0.438***</v>
      </c>
      <c r="C3" t="str">
        <f>"0.273***"</f>
        <v>0.273***</v>
      </c>
    </row>
    <row r="4" spans="1:6" x14ac:dyDescent="0.3">
      <c r="A4" t="s">
        <v>1</v>
      </c>
      <c r="B4" t="str">
        <f>"0.418***"</f>
        <v>0.418***</v>
      </c>
      <c r="C4" t="str">
        <f>"0.249***"</f>
        <v>0.249***</v>
      </c>
      <c r="E4" t="str">
        <f>"-0.020***"</f>
        <v>-0.020***</v>
      </c>
      <c r="F4" t="str">
        <f>"-0.023***"</f>
        <v>-0.023***</v>
      </c>
    </row>
    <row r="6" spans="1:6" x14ac:dyDescent="0.3">
      <c r="A6" t="s">
        <v>2</v>
      </c>
      <c r="B6" t="str">
        <f>"0.460***"</f>
        <v>0.460***</v>
      </c>
      <c r="C6" s="2" t="str">
        <f>"0.285***"</f>
        <v>0.285***</v>
      </c>
    </row>
    <row r="7" spans="1:6" x14ac:dyDescent="0.3">
      <c r="A7" t="s">
        <v>3</v>
      </c>
      <c r="B7" t="str">
        <f>"0.389***"</f>
        <v>0.389***</v>
      </c>
      <c r="C7" s="2" t="str">
        <f>"0.227***"</f>
        <v>0.227***</v>
      </c>
      <c r="E7" t="str">
        <f>"-0.072***"</f>
        <v>-0.072***</v>
      </c>
      <c r="F7" s="2" t="str">
        <f>"-0.058***"</f>
        <v>-0.058***</v>
      </c>
    </row>
    <row r="8" spans="1:6" x14ac:dyDescent="0.3">
      <c r="A8" t="s">
        <v>4</v>
      </c>
      <c r="B8" t="str">
        <f>"0.390***"</f>
        <v>0.390***</v>
      </c>
      <c r="C8" s="2" t="str">
        <f>"0.250***"</f>
        <v>0.250***</v>
      </c>
      <c r="E8" t="str">
        <f>"-0.070***"</f>
        <v>-0.070***</v>
      </c>
      <c r="F8" s="2" t="str">
        <f>"-0.035***"</f>
        <v>-0.035***</v>
      </c>
    </row>
    <row r="9" spans="1:6" x14ac:dyDescent="0.3">
      <c r="A9" t="s">
        <v>5</v>
      </c>
      <c r="B9" t="str">
        <f>"0.453***"</f>
        <v>0.453***</v>
      </c>
      <c r="C9" s="2" t="str">
        <f>"0.254***"</f>
        <v>0.254***</v>
      </c>
      <c r="E9" t="str">
        <f>"-0.007"</f>
        <v>-0.007</v>
      </c>
      <c r="F9" s="2" t="str">
        <f>"-0.031***"</f>
        <v>-0.031***</v>
      </c>
    </row>
    <row r="10" spans="1:6" x14ac:dyDescent="0.3">
      <c r="A10" t="s">
        <v>6</v>
      </c>
      <c r="B10" t="str">
        <f>"0.515***"</f>
        <v>0.515***</v>
      </c>
      <c r="C10" s="2" t="str">
        <f>"0.301***"</f>
        <v>0.301***</v>
      </c>
      <c r="E10" t="str">
        <f>"0.055***"</f>
        <v>0.055***</v>
      </c>
      <c r="F10" s="2" t="str">
        <f>"0.017"</f>
        <v>0.017</v>
      </c>
    </row>
    <row r="12" spans="1:6" x14ac:dyDescent="0.3">
      <c r="A12" t="s">
        <v>7</v>
      </c>
      <c r="B12" t="str">
        <f>"0.344***"</f>
        <v>0.344***</v>
      </c>
      <c r="C12" s="2" t="str">
        <f>"0.221***"</f>
        <v>0.221***</v>
      </c>
    </row>
    <row r="13" spans="1:6" x14ac:dyDescent="0.3">
      <c r="A13" t="s">
        <v>8</v>
      </c>
      <c r="B13" t="str">
        <f>"0.416***"</f>
        <v>0.416***</v>
      </c>
      <c r="C13" s="2" t="str">
        <f>"0.246***"</f>
        <v>0.246***</v>
      </c>
      <c r="E13" t="str">
        <f>"0.072***"</f>
        <v>0.072***</v>
      </c>
      <c r="F13" s="2" t="str">
        <f>"0.026***"</f>
        <v>0.026***</v>
      </c>
    </row>
    <row r="14" spans="1:6" x14ac:dyDescent="0.3">
      <c r="A14" t="s">
        <v>9</v>
      </c>
      <c r="B14" t="str">
        <f>"0.454***"</f>
        <v>0.454***</v>
      </c>
      <c r="C14" s="2" t="str">
        <f>"0.263***"</f>
        <v>0.263***</v>
      </c>
      <c r="E14" t="str">
        <f>"0.110***"</f>
        <v>0.110***</v>
      </c>
      <c r="F14" s="2" t="str">
        <f>"0.042***"</f>
        <v>0.042***</v>
      </c>
    </row>
    <row r="15" spans="1:6" x14ac:dyDescent="0.3">
      <c r="A15" t="s">
        <v>10</v>
      </c>
      <c r="B15" t="str">
        <f>"0.502***"</f>
        <v>0.502***</v>
      </c>
      <c r="C15" s="2" t="str">
        <f>"0.296***"</f>
        <v>0.296***</v>
      </c>
      <c r="E15" t="str">
        <f>"0.157***"</f>
        <v>0.157***</v>
      </c>
      <c r="F15" s="2" t="str">
        <f>"0.075***"</f>
        <v>0.075***</v>
      </c>
    </row>
    <row r="16" spans="1:6" x14ac:dyDescent="0.3">
      <c r="A16" t="s">
        <v>11</v>
      </c>
      <c r="B16" t="str">
        <f>"0.589***"</f>
        <v>0.589***</v>
      </c>
      <c r="C16" s="2" t="str">
        <f>"0.355***"</f>
        <v>0.355***</v>
      </c>
      <c r="E16" t="str">
        <f>"0.245***"</f>
        <v>0.245***</v>
      </c>
      <c r="F16" s="2" t="str">
        <f>"0.134***"</f>
        <v>0.134***</v>
      </c>
    </row>
    <row r="18" spans="1:6" x14ac:dyDescent="0.3">
      <c r="A18" t="s">
        <v>12</v>
      </c>
      <c r="B18" t="str">
        <f>"0.343***"</f>
        <v>0.343***</v>
      </c>
      <c r="C18" s="2" t="str">
        <f>"0.189***"</f>
        <v>0.189***</v>
      </c>
    </row>
    <row r="19" spans="1:6" x14ac:dyDescent="0.3">
      <c r="A19" t="s">
        <v>13</v>
      </c>
      <c r="B19" t="str">
        <f>"0.385***"</f>
        <v>0.385***</v>
      </c>
      <c r="C19" s="2" t="str">
        <f>"0.210***"</f>
        <v>0.210***</v>
      </c>
      <c r="E19" t="str">
        <f>"0.042***"</f>
        <v>0.042***</v>
      </c>
      <c r="F19" s="2" t="str">
        <f>"0.021**"</f>
        <v>0.021**</v>
      </c>
    </row>
    <row r="20" spans="1:6" x14ac:dyDescent="0.3">
      <c r="A20" t="s">
        <v>14</v>
      </c>
      <c r="B20" t="str">
        <f>"0.421***"</f>
        <v>0.421***</v>
      </c>
      <c r="C20" s="2" t="str">
        <f>"0.239***"</f>
        <v>0.239***</v>
      </c>
      <c r="E20" t="str">
        <f>"0.078***"</f>
        <v>0.078***</v>
      </c>
      <c r="F20" s="2" t="str">
        <f>"0.050***"</f>
        <v>0.050***</v>
      </c>
    </row>
    <row r="21" spans="1:6" x14ac:dyDescent="0.3">
      <c r="A21" t="s">
        <v>15</v>
      </c>
      <c r="B21" t="str">
        <f>"0.446***"</f>
        <v>0.446***</v>
      </c>
      <c r="C21" s="2" t="str">
        <f>"0.254***"</f>
        <v>0.254***</v>
      </c>
      <c r="E21" t="str">
        <f>"0.103***"</f>
        <v>0.103***</v>
      </c>
      <c r="F21" s="2" t="str">
        <f>"0.065***"</f>
        <v>0.065***</v>
      </c>
    </row>
    <row r="22" spans="1:6" x14ac:dyDescent="0.3">
      <c r="A22" t="s">
        <v>16</v>
      </c>
      <c r="B22" t="str">
        <f>"0.489***"</f>
        <v>0.489***</v>
      </c>
      <c r="C22" s="2" t="str">
        <f>"0.279***"</f>
        <v>0.279***</v>
      </c>
      <c r="E22" t="str">
        <f>"0.146***"</f>
        <v>0.146***</v>
      </c>
      <c r="F22" s="2" t="str">
        <f>"0.090***"</f>
        <v>0.090***</v>
      </c>
    </row>
    <row r="23" spans="1:6" x14ac:dyDescent="0.3">
      <c r="A23" t="s">
        <v>17</v>
      </c>
      <c r="B23" t="str">
        <f>"0.528***"</f>
        <v>0.528***</v>
      </c>
      <c r="C23" s="2" t="str">
        <f>"0.323***"</f>
        <v>0.323***</v>
      </c>
      <c r="E23" t="str">
        <f>"0.186***"</f>
        <v>0.186***</v>
      </c>
      <c r="F23" s="2" t="str">
        <f>"0.134***"</f>
        <v>0.134***</v>
      </c>
    </row>
    <row r="24" spans="1:6" x14ac:dyDescent="0.3">
      <c r="A24" t="s">
        <v>18</v>
      </c>
      <c r="B24" t="str">
        <f>"0.579***"</f>
        <v>0.579***</v>
      </c>
      <c r="C24" s="2" t="str">
        <f>"0.288***"</f>
        <v>0.288***</v>
      </c>
      <c r="E24" t="str">
        <f>"0.236***"</f>
        <v>0.236***</v>
      </c>
      <c r="F24" s="2" t="str">
        <f>"0.099***"</f>
        <v>0.099***</v>
      </c>
    </row>
    <row r="25" spans="1:6" x14ac:dyDescent="0.3">
      <c r="A25" t="s">
        <v>19</v>
      </c>
      <c r="B25" t="str">
        <f>"0.578***"</f>
        <v>0.578***</v>
      </c>
      <c r="C25" s="2" t="str">
        <f>"0.346***"</f>
        <v>0.346***</v>
      </c>
      <c r="E25" t="str">
        <f>"0.235***"</f>
        <v>0.235***</v>
      </c>
      <c r="F25" s="2" t="str">
        <f>"0.156***"</f>
        <v>0.156***</v>
      </c>
    </row>
    <row r="27" spans="1:6" x14ac:dyDescent="0.3">
      <c r="A27" t="str">
        <f>"1.c_marriage"</f>
        <v>1.c_marriage</v>
      </c>
      <c r="B27" t="str">
        <f>"0.445***"</f>
        <v>0.445***</v>
      </c>
      <c r="C27" t="str">
        <f>"0.248***"</f>
        <v>0.248***</v>
      </c>
    </row>
    <row r="28" spans="1:6" x14ac:dyDescent="0.3">
      <c r="A28" t="str">
        <f>"2.c_marriage"</f>
        <v>2.c_marriage</v>
      </c>
      <c r="B28" t="str">
        <f>"0.427***"</f>
        <v>0.427***</v>
      </c>
      <c r="C28" t="str">
        <f>"0.270***"</f>
        <v>0.270***</v>
      </c>
      <c r="E28" t="str">
        <f>"-0.018*"</f>
        <v>-0.018*</v>
      </c>
      <c r="F28" t="str">
        <f>"0.021***"</f>
        <v>0.021***</v>
      </c>
    </row>
    <row r="29" spans="1:6" x14ac:dyDescent="0.3">
      <c r="A29" t="str">
        <f>"3.c_marriage"</f>
        <v>3.c_marriage</v>
      </c>
      <c r="B29" t="str">
        <f>"0.393***"</f>
        <v>0.393***</v>
      </c>
      <c r="C29" t="str">
        <f>"0.225***"</f>
        <v>0.225***</v>
      </c>
      <c r="E29" t="str">
        <f>"-0.052***"</f>
        <v>-0.052***</v>
      </c>
      <c r="F29" t="str">
        <f>"-0.024**"</f>
        <v>-0.024**</v>
      </c>
    </row>
    <row r="31" spans="1:6" x14ac:dyDescent="0.3">
      <c r="A31" t="str">
        <f>"1.region_code_figure"</f>
        <v>1.region_code_figure</v>
      </c>
      <c r="B31" t="str">
        <f>"0.439***"</f>
        <v>0.439***</v>
      </c>
      <c r="C31" s="3" t="str">
        <f>"0.222***"</f>
        <v>0.222***</v>
      </c>
    </row>
    <row r="32" spans="1:6" x14ac:dyDescent="0.3">
      <c r="A32" t="str">
        <f>"2.region_code_figure"</f>
        <v>2.region_code_figure</v>
      </c>
      <c r="B32" t="str">
        <f>"0.373***"</f>
        <v>0.373***</v>
      </c>
      <c r="C32" s="2" t="str">
        <f>"0.293***"</f>
        <v>0.293***</v>
      </c>
      <c r="E32" t="str">
        <f>"-0.066***"</f>
        <v>-0.066***</v>
      </c>
      <c r="F32" s="2" t="str">
        <f>"0.070***"</f>
        <v>0.070***</v>
      </c>
    </row>
    <row r="33" spans="1:6" x14ac:dyDescent="0.3">
      <c r="A33" t="str">
        <f>"3.region_code_figure"</f>
        <v>3.region_code_figure</v>
      </c>
      <c r="B33" t="str">
        <f>"0.378***"</f>
        <v>0.378***</v>
      </c>
      <c r="C33" s="2" t="str">
        <f>"0.262***"</f>
        <v>0.262***</v>
      </c>
      <c r="E33" t="str">
        <f>"-0.061***"</f>
        <v>-0.061***</v>
      </c>
      <c r="F33" s="2" t="str">
        <f>"0.039***"</f>
        <v>0.039***</v>
      </c>
    </row>
    <row r="34" spans="1:6" x14ac:dyDescent="0.3">
      <c r="A34" t="str">
        <f>"4.region_code_figure"</f>
        <v>4.region_code_figure</v>
      </c>
      <c r="B34" t="str">
        <f>"0.391***"</f>
        <v>0.391***</v>
      </c>
      <c r="C34" s="2" t="str">
        <f>"0.237***"</f>
        <v>0.237***</v>
      </c>
      <c r="E34" t="str">
        <f>"-0.048***"</f>
        <v>-0.048***</v>
      </c>
      <c r="F34" s="2" t="str">
        <f>"0.014"</f>
        <v>0.014</v>
      </c>
    </row>
    <row r="35" spans="1:6" x14ac:dyDescent="0.3">
      <c r="A35" t="str">
        <f>"5.region_code_figure"</f>
        <v>5.region_code_figure</v>
      </c>
      <c r="B35" t="str">
        <f>"0.426***"</f>
        <v>0.426***</v>
      </c>
      <c r="C35" s="2" t="str">
        <f>"0.249***"</f>
        <v>0.249***</v>
      </c>
      <c r="E35" t="str">
        <f>"-0.013"</f>
        <v>-0.013</v>
      </c>
      <c r="F35" s="2" t="str">
        <f>"0.027**"</f>
        <v>0.027**</v>
      </c>
    </row>
    <row r="36" spans="1:6" x14ac:dyDescent="0.3">
      <c r="A36" t="str">
        <f>"6.region_code_figure"</f>
        <v>6.region_code_figure</v>
      </c>
      <c r="B36" t="str">
        <f>"0.423***"</f>
        <v>0.423***</v>
      </c>
      <c r="C36" s="2" t="str">
        <f>"0.284***"</f>
        <v>0.284***</v>
      </c>
      <c r="E36" t="str">
        <f>"-0.016"</f>
        <v>-0.016</v>
      </c>
      <c r="F36" s="2" t="str">
        <f>"0.061***"</f>
        <v>0.061***</v>
      </c>
    </row>
    <row r="37" spans="1:6" x14ac:dyDescent="0.3">
      <c r="A37" t="str">
        <f>"7.region_code_figure"</f>
        <v>7.region_code_figure</v>
      </c>
      <c r="B37" t="str">
        <f>"0.377***"</f>
        <v>0.377***</v>
      </c>
      <c r="C37" s="2" t="str">
        <f>"0.276***"</f>
        <v>0.276***</v>
      </c>
      <c r="E37" t="str">
        <f>"-0.062***"</f>
        <v>-0.062***</v>
      </c>
      <c r="F37" s="2" t="str">
        <f>"0.054***"</f>
        <v>0.054***</v>
      </c>
    </row>
    <row r="38" spans="1:6" x14ac:dyDescent="0.3">
      <c r="A38" t="str">
        <f>"8.region_code_figure"</f>
        <v>8.region_code_figure</v>
      </c>
      <c r="B38" t="str">
        <f>"0.392***"</f>
        <v>0.392***</v>
      </c>
      <c r="C38" s="2" t="str">
        <f>"0.235***"</f>
        <v>0.235***</v>
      </c>
      <c r="E38" t="str">
        <f>"-0.047***"</f>
        <v>-0.047***</v>
      </c>
      <c r="F38" s="2" t="str">
        <f>"0.012"</f>
        <v>0.012</v>
      </c>
    </row>
    <row r="39" spans="1:6" x14ac:dyDescent="0.3">
      <c r="A39" t="str">
        <f>"9.region_code_figure"</f>
        <v>9.region_code_figure</v>
      </c>
      <c r="B39" t="str">
        <f>"0.431***"</f>
        <v>0.431***</v>
      </c>
      <c r="C39" s="2" t="str">
        <f>"0.300***"</f>
        <v>0.300***</v>
      </c>
      <c r="E39" t="str">
        <f>"-0.007"</f>
        <v>-0.007</v>
      </c>
      <c r="F39" s="2" t="str">
        <f>"0.078***"</f>
        <v>0.078***</v>
      </c>
    </row>
    <row r="40" spans="1:6" x14ac:dyDescent="0.3">
      <c r="A40" t="str">
        <f>"10.region_code_figure"</f>
        <v>10.region_code_figure</v>
      </c>
      <c r="B40" t="str">
        <f>"0.458***"</f>
        <v>0.458***</v>
      </c>
      <c r="C40" s="2" t="str">
        <f>"0.248***"</f>
        <v>0.248***</v>
      </c>
      <c r="E40" t="str">
        <f>"0.019"</f>
        <v>0.019</v>
      </c>
      <c r="F40" s="2" t="str">
        <f>"0.026**"</f>
        <v>0.026**</v>
      </c>
    </row>
    <row r="41" spans="1:6" x14ac:dyDescent="0.3">
      <c r="A41" t="str">
        <f>"11.region_code_figure"</f>
        <v>11.region_code_figure</v>
      </c>
      <c r="B41" t="str">
        <f>"0.461***"</f>
        <v>0.461***</v>
      </c>
      <c r="C41" s="2" t="str">
        <f>"0.233***"</f>
        <v>0.233***</v>
      </c>
      <c r="E41" t="str">
        <f>"0.022"</f>
        <v>0.022</v>
      </c>
      <c r="F41" s="2" t="str">
        <f>"0.011"</f>
        <v>0.011</v>
      </c>
    </row>
    <row r="42" spans="1:6" x14ac:dyDescent="0.3">
      <c r="A42" t="str">
        <f>"12.region_code_figure"</f>
        <v>12.region_code_figure</v>
      </c>
      <c r="B42" t="str">
        <f>"0.448***"</f>
        <v>0.448***</v>
      </c>
      <c r="C42" s="2" t="str">
        <f>"0.271***"</f>
        <v>0.271***</v>
      </c>
      <c r="E42" t="str">
        <f>"0.009"</f>
        <v>0.009</v>
      </c>
      <c r="F42" s="2" t="str">
        <f>"0.049***"</f>
        <v>0.049***</v>
      </c>
    </row>
    <row r="43" spans="1:6" x14ac:dyDescent="0.3">
      <c r="A43" t="str">
        <f>"13.region_code_figure"</f>
        <v>13.region_code_figure</v>
      </c>
      <c r="B43" t="str">
        <f>"0.474***"</f>
        <v>0.474***</v>
      </c>
      <c r="C43" s="2" t="str">
        <f>"0.345***"</f>
        <v>0.345***</v>
      </c>
      <c r="E43" t="str">
        <f>"0.035**"</f>
        <v>0.035**</v>
      </c>
      <c r="F43" s="2" t="str">
        <f>"0.122***"</f>
        <v>0.122***</v>
      </c>
    </row>
    <row r="44" spans="1:6" x14ac:dyDescent="0.3">
      <c r="A44" t="str">
        <f>"14.region_code_figure"</f>
        <v>14.region_code_figure</v>
      </c>
      <c r="B44" t="str">
        <f>"0.477***"</f>
        <v>0.477***</v>
      </c>
      <c r="C44" s="2" t="str">
        <f>"0.241***"</f>
        <v>0.241***</v>
      </c>
      <c r="E44" t="str">
        <f>"0.038**"</f>
        <v>0.038**</v>
      </c>
      <c r="F44" s="2" t="str">
        <f>"0.018*"</f>
        <v>0.018*</v>
      </c>
    </row>
    <row r="45" spans="1:6" x14ac:dyDescent="0.3">
      <c r="A45" t="str">
        <f>"15.region_code_figure"</f>
        <v>15.region_code_figure</v>
      </c>
      <c r="B45" t="str">
        <f>"0.409***"</f>
        <v>0.409***</v>
      </c>
      <c r="C45" s="2" t="str">
        <f>"0.261***"</f>
        <v>0.261***</v>
      </c>
      <c r="E45" t="str">
        <f>"-0.030**"</f>
        <v>-0.030**</v>
      </c>
      <c r="F45" s="2" t="str">
        <f>"0.038***"</f>
        <v>0.038***</v>
      </c>
    </row>
    <row r="46" spans="1:6" x14ac:dyDescent="0.3">
      <c r="A46" t="str">
        <f>"16.region_code_figure"</f>
        <v>16.region_code_figure</v>
      </c>
      <c r="B46" t="str">
        <f>"0.629***"</f>
        <v>0.629***</v>
      </c>
      <c r="C46" s="2" t="str">
        <f>"0.339***"</f>
        <v>0.339***</v>
      </c>
      <c r="E46" t="str">
        <f>"0.191***"</f>
        <v>0.191***</v>
      </c>
      <c r="F46" s="2" t="str">
        <f>"0.116***"</f>
        <v>0.116***</v>
      </c>
    </row>
    <row r="48" spans="1:6" x14ac:dyDescent="0.3">
      <c r="A48" t="str">
        <f>"0.d_work"</f>
        <v>0.d_work</v>
      </c>
      <c r="B48" t="str">
        <f>"0.432***"</f>
        <v>0.432***</v>
      </c>
      <c r="C48" t="str">
        <f>"0.262***"</f>
        <v>0.262***</v>
      </c>
    </row>
    <row r="49" spans="1:6" x14ac:dyDescent="0.3">
      <c r="A49" t="str">
        <f>"1.d_work"</f>
        <v>1.d_work</v>
      </c>
      <c r="B49" t="str">
        <f>"0.426***"</f>
        <v>0.426***</v>
      </c>
      <c r="C49" t="str">
        <f>"0.261***"</f>
        <v>0.261***</v>
      </c>
      <c r="E49" t="str">
        <f>"-0.006"</f>
        <v>-0.006</v>
      </c>
      <c r="F49" t="str">
        <f>"-0.001"</f>
        <v>-0.001</v>
      </c>
    </row>
    <row r="51" spans="1:6" x14ac:dyDescent="0.3">
      <c r="A51" t="str">
        <f>"0.d_own_house"</f>
        <v>0.d_own_house</v>
      </c>
      <c r="B51" t="str">
        <f>"0.407***"</f>
        <v>0.407***</v>
      </c>
      <c r="C51" t="str">
        <f>"0.255***"</f>
        <v>0.255***</v>
      </c>
    </row>
    <row r="52" spans="1:6" x14ac:dyDescent="0.3">
      <c r="A52" t="str">
        <f>"1.d_own_house"</f>
        <v>1.d_own_house</v>
      </c>
      <c r="B52" t="str">
        <f>"0.440***"</f>
        <v>0.440***</v>
      </c>
      <c r="C52" t="str">
        <f>"0.264***"</f>
        <v>0.264***</v>
      </c>
      <c r="E52" t="str">
        <f>"0.033***"</f>
        <v>0.033***</v>
      </c>
      <c r="F52" t="str">
        <f>"0.008"</f>
        <v>0.008</v>
      </c>
    </row>
    <row r="54" spans="1:6" x14ac:dyDescent="0.3">
      <c r="A54" t="str">
        <f>"1.c_house_type"</f>
        <v>1.c_house_type</v>
      </c>
      <c r="B54" t="str">
        <f>"0.441***"</f>
        <v>0.441***</v>
      </c>
      <c r="C54" t="str">
        <f>"0.289***"</f>
        <v>0.289***</v>
      </c>
    </row>
    <row r="55" spans="1:6" x14ac:dyDescent="0.3">
      <c r="A55" t="str">
        <f>"2.c_house_type"</f>
        <v>2.c_house_type</v>
      </c>
      <c r="B55" t="str">
        <f>"0.424***"</f>
        <v>0.424***</v>
      </c>
      <c r="C55" t="str">
        <f>"0.253***"</f>
        <v>0.253***</v>
      </c>
      <c r="E55" t="str">
        <f>"-0.017**"</f>
        <v>-0.017**</v>
      </c>
      <c r="F55" t="str">
        <f>"-0.036***"</f>
        <v>-0.036***</v>
      </c>
    </row>
    <row r="56" spans="1:6" x14ac:dyDescent="0.3">
      <c r="A56" t="str">
        <f>"3.c_house_type"</f>
        <v>3.c_house_type</v>
      </c>
      <c r="B56" t="str">
        <f>"0.401***"</f>
        <v>0.401***</v>
      </c>
      <c r="C56" t="str">
        <f>"0.236***"</f>
        <v>0.236***</v>
      </c>
      <c r="E56" t="str">
        <f>"-0.040***"</f>
        <v>-0.040***</v>
      </c>
      <c r="F56" t="str">
        <f>"-0.053***"</f>
        <v>-0.053***</v>
      </c>
    </row>
    <row r="57" spans="1:6" x14ac:dyDescent="0.3">
      <c r="A57" t="str">
        <f>"4.c_house_type"</f>
        <v>4.c_house_type</v>
      </c>
      <c r="B57" t="str">
        <f>"0.574***"</f>
        <v>0.574***</v>
      </c>
      <c r="C57" t="str">
        <f>"0.290***"</f>
        <v>0.290***</v>
      </c>
      <c r="E57" t="str">
        <f>"0.133***"</f>
        <v>0.133***</v>
      </c>
      <c r="F57" t="str">
        <f>"0.001"</f>
        <v>0.001</v>
      </c>
    </row>
    <row r="59" spans="1:6" x14ac:dyDescent="0.3">
      <c r="A59" t="str">
        <f>"N"</f>
        <v>N</v>
      </c>
      <c r="B59" t="str">
        <f>"25404"</f>
        <v>25404</v>
      </c>
      <c r="C59" t="str">
        <f>"23973"</f>
        <v>23973</v>
      </c>
      <c r="E59" t="str">
        <f>"25404"</f>
        <v>25404</v>
      </c>
      <c r="F59" t="str">
        <f>"23973"</f>
        <v>23973</v>
      </c>
    </row>
  </sheetData>
  <mergeCells count="2">
    <mergeCell ref="B1:C1"/>
    <mergeCell ref="E1:F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workbookViewId="0">
      <selection activeCell="H27" sqref="H27"/>
    </sheetView>
  </sheetViews>
  <sheetFormatPr defaultRowHeight="16.5" x14ac:dyDescent="0.3"/>
  <cols>
    <col min="1" max="1" width="21.125" bestFit="1" customWidth="1"/>
    <col min="3" max="6" width="1" customWidth="1"/>
    <col min="10" max="13" width="0.75" customWidth="1"/>
    <col min="16" max="21" width="1.875" customWidth="1"/>
  </cols>
  <sheetData>
    <row r="1" spans="1:21" x14ac:dyDescent="0.3">
      <c r="A1" t="str">
        <f>""</f>
        <v/>
      </c>
      <c r="B1" s="1">
        <v>2009</v>
      </c>
      <c r="C1" s="1">
        <v>2011</v>
      </c>
      <c r="D1" s="1">
        <v>2013</v>
      </c>
      <c r="E1" s="1">
        <v>2015</v>
      </c>
      <c r="F1" s="1">
        <v>2017</v>
      </c>
      <c r="G1" s="1">
        <v>2019</v>
      </c>
      <c r="I1" s="1">
        <v>2009</v>
      </c>
      <c r="J1" s="1">
        <v>2011</v>
      </c>
      <c r="K1" s="1">
        <v>2013</v>
      </c>
      <c r="L1" s="1">
        <v>2015</v>
      </c>
      <c r="M1" s="1">
        <v>2017</v>
      </c>
      <c r="N1" s="1">
        <v>2019</v>
      </c>
      <c r="P1" s="1">
        <v>2009</v>
      </c>
      <c r="Q1" s="1">
        <v>2011</v>
      </c>
      <c r="R1" s="1">
        <v>2013</v>
      </c>
      <c r="S1" s="1">
        <v>2015</v>
      </c>
      <c r="T1" s="1">
        <v>2017</v>
      </c>
      <c r="U1" s="1">
        <v>2019</v>
      </c>
    </row>
    <row r="2" spans="1:21" x14ac:dyDescent="0.3">
      <c r="A2" t="s">
        <v>0</v>
      </c>
      <c r="B2" t="str">
        <f>"0.438***"</f>
        <v>0.438***</v>
      </c>
      <c r="C2" t="str">
        <f>"0.355***"</f>
        <v>0.355***</v>
      </c>
      <c r="D2" t="str">
        <f>"0.348***"</f>
        <v>0.348***</v>
      </c>
      <c r="E2" t="str">
        <f>"0.266***"</f>
        <v>0.266***</v>
      </c>
      <c r="F2" t="str">
        <f>"0.273***"</f>
        <v>0.273***</v>
      </c>
      <c r="G2" t="str">
        <f>"0.273***"</f>
        <v>0.273***</v>
      </c>
      <c r="P2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</row>
    <row r="3" spans="1:21" x14ac:dyDescent="0.3">
      <c r="A3" t="s">
        <v>1</v>
      </c>
      <c r="B3" t="str">
        <f>"0.418***"</f>
        <v>0.418***</v>
      </c>
      <c r="C3" t="str">
        <f>"0.318***"</f>
        <v>0.318***</v>
      </c>
      <c r="D3" t="str">
        <f>"0.326***"</f>
        <v>0.326***</v>
      </c>
      <c r="E3" t="str">
        <f>"0.253***"</f>
        <v>0.253***</v>
      </c>
      <c r="F3" t="str">
        <f>"0.258***"</f>
        <v>0.258***</v>
      </c>
      <c r="G3" t="str">
        <f>"0.249***"</f>
        <v>0.249***</v>
      </c>
      <c r="I3" t="str">
        <f>"-0.020***"</f>
        <v>-0.020***</v>
      </c>
      <c r="J3" t="str">
        <f>"-0.036***"</f>
        <v>-0.036***</v>
      </c>
      <c r="K3" t="str">
        <f>"-0.022***"</f>
        <v>-0.022***</v>
      </c>
      <c r="L3" t="str">
        <f>"-0.013***"</f>
        <v>-0.013***</v>
      </c>
      <c r="M3" t="str">
        <f>"-0.015***"</f>
        <v>-0.015***</v>
      </c>
      <c r="N3" t="str">
        <f>"-0.023***"</f>
        <v>-0.023***</v>
      </c>
      <c r="P3" t="str">
        <f>"-0.020"</f>
        <v>-0.020</v>
      </c>
      <c r="Q3" t="str">
        <f>"-0.036"</f>
        <v>-0.036</v>
      </c>
      <c r="R3" t="str">
        <f>"-0.022"</f>
        <v>-0.022</v>
      </c>
      <c r="S3" t="str">
        <f>"-0.013"</f>
        <v>-0.013</v>
      </c>
      <c r="T3" t="str">
        <f>"-0.015"</f>
        <v>-0.015</v>
      </c>
      <c r="U3" t="str">
        <f>"-0.023"</f>
        <v>-0.023</v>
      </c>
    </row>
    <row r="5" spans="1:21" x14ac:dyDescent="0.3">
      <c r="A5" t="s">
        <v>2</v>
      </c>
      <c r="B5" t="str">
        <f>"0.460***"</f>
        <v>0.460***</v>
      </c>
      <c r="C5" t="str">
        <f>"0.370***"</f>
        <v>0.370***</v>
      </c>
      <c r="D5" t="str">
        <f>"0.398***"</f>
        <v>0.398***</v>
      </c>
      <c r="E5" t="str">
        <f>"0.292***"</f>
        <v>0.292***</v>
      </c>
      <c r="F5" t="str">
        <f>"0.300***"</f>
        <v>0.300***</v>
      </c>
      <c r="G5" s="2" t="str">
        <f>"0.285***"</f>
        <v>0.285***</v>
      </c>
      <c r="P5" t="str">
        <f>""</f>
        <v/>
      </c>
      <c r="Q5" t="str">
        <f>""</f>
        <v/>
      </c>
      <c r="R5" t="str">
        <f>""</f>
        <v/>
      </c>
      <c r="S5" t="str">
        <f>""</f>
        <v/>
      </c>
      <c r="T5" t="str">
        <f>""</f>
        <v/>
      </c>
      <c r="U5" t="str">
        <f>""</f>
        <v/>
      </c>
    </row>
    <row r="6" spans="1:21" x14ac:dyDescent="0.3">
      <c r="A6" t="s">
        <v>3</v>
      </c>
      <c r="B6" t="str">
        <f>"0.389***"</f>
        <v>0.389***</v>
      </c>
      <c r="C6" t="str">
        <f>"0.290***"</f>
        <v>0.290***</v>
      </c>
      <c r="D6" t="str">
        <f>"0.304***"</f>
        <v>0.304***</v>
      </c>
      <c r="E6" t="str">
        <f>"0.234***"</f>
        <v>0.234***</v>
      </c>
      <c r="F6" t="str">
        <f>"0.239***"</f>
        <v>0.239***</v>
      </c>
      <c r="G6" s="2" t="str">
        <f>"0.227***"</f>
        <v>0.227***</v>
      </c>
      <c r="I6" t="str">
        <f>"-0.072***"</f>
        <v>-0.072***</v>
      </c>
      <c r="J6" t="str">
        <f>"-0.079***"</f>
        <v>-0.079***</v>
      </c>
      <c r="K6" t="str">
        <f>"-0.095***"</f>
        <v>-0.095***</v>
      </c>
      <c r="L6" t="str">
        <f>"-0.058***"</f>
        <v>-0.058***</v>
      </c>
      <c r="M6" t="str">
        <f>"-0.062***"</f>
        <v>-0.062***</v>
      </c>
      <c r="N6" s="2" t="str">
        <f>"-0.058***"</f>
        <v>-0.058***</v>
      </c>
      <c r="P6" t="str">
        <f>"-0.072"</f>
        <v>-0.072</v>
      </c>
      <c r="Q6" t="str">
        <f>"-0.079"</f>
        <v>-0.079</v>
      </c>
      <c r="R6" t="str">
        <f>"-0.095"</f>
        <v>-0.095</v>
      </c>
      <c r="S6" t="str">
        <f>"-0.058"</f>
        <v>-0.058</v>
      </c>
      <c r="T6" t="str">
        <f>"-0.062"</f>
        <v>-0.062</v>
      </c>
      <c r="U6" t="str">
        <f>"-0.058"</f>
        <v>-0.058</v>
      </c>
    </row>
    <row r="7" spans="1:21" x14ac:dyDescent="0.3">
      <c r="A7" t="s">
        <v>4</v>
      </c>
      <c r="B7" t="str">
        <f>"0.390***"</f>
        <v>0.390***</v>
      </c>
      <c r="C7" t="str">
        <f>"0.301***"</f>
        <v>0.301***</v>
      </c>
      <c r="D7" t="str">
        <f>"0.295***"</f>
        <v>0.295***</v>
      </c>
      <c r="E7" t="str">
        <f>"0.227***"</f>
        <v>0.227***</v>
      </c>
      <c r="F7" t="str">
        <f>"0.248***"</f>
        <v>0.248***</v>
      </c>
      <c r="G7" s="2" t="str">
        <f>"0.250***"</f>
        <v>0.250***</v>
      </c>
      <c r="I7" t="str">
        <f>"-0.070***"</f>
        <v>-0.070***</v>
      </c>
      <c r="J7" t="str">
        <f>"-0.069***"</f>
        <v>-0.069***</v>
      </c>
      <c r="K7" t="str">
        <f>"-0.103***"</f>
        <v>-0.103***</v>
      </c>
      <c r="L7" t="str">
        <f>"-0.065***"</f>
        <v>-0.065***</v>
      </c>
      <c r="M7" t="str">
        <f>"-0.053***"</f>
        <v>-0.053***</v>
      </c>
      <c r="N7" s="2" t="str">
        <f>"-0.035***"</f>
        <v>-0.035***</v>
      </c>
      <c r="P7" t="str">
        <f>"-0.070"</f>
        <v>-0.070</v>
      </c>
      <c r="Q7" t="str">
        <f>"-0.069"</f>
        <v>-0.069</v>
      </c>
      <c r="R7" t="str">
        <f>"-0.103"</f>
        <v>-0.103</v>
      </c>
      <c r="S7" t="str">
        <f>"-0.065"</f>
        <v>-0.065</v>
      </c>
      <c r="T7" t="str">
        <f>"-0.053"</f>
        <v>-0.053</v>
      </c>
      <c r="U7" t="str">
        <f>"-0.035"</f>
        <v>-0.035</v>
      </c>
    </row>
    <row r="8" spans="1:21" x14ac:dyDescent="0.3">
      <c r="A8" t="s">
        <v>5</v>
      </c>
      <c r="B8" t="str">
        <f>"0.453***"</f>
        <v>0.453***</v>
      </c>
      <c r="C8" t="str">
        <f>"0.354***"</f>
        <v>0.354***</v>
      </c>
      <c r="D8" t="str">
        <f>"0.334***"</f>
        <v>0.334***</v>
      </c>
      <c r="E8" t="str">
        <f>"0.258***"</f>
        <v>0.258***</v>
      </c>
      <c r="F8" t="str">
        <f>"0.255***"</f>
        <v>0.255***</v>
      </c>
      <c r="G8" s="2" t="str">
        <f>"0.254***"</f>
        <v>0.254***</v>
      </c>
      <c r="I8" t="str">
        <f>"-0.007"</f>
        <v>-0.007</v>
      </c>
      <c r="J8" t="str">
        <f>"-0.016"</f>
        <v>-0.016</v>
      </c>
      <c r="K8" t="str">
        <f>"-0.064***"</f>
        <v>-0.064***</v>
      </c>
      <c r="L8" t="str">
        <f>"-0.034***"</f>
        <v>-0.034***</v>
      </c>
      <c r="M8" t="str">
        <f>"-0.045***"</f>
        <v>-0.045***</v>
      </c>
      <c r="N8" s="2" t="str">
        <f>"-0.031***"</f>
        <v>-0.031***</v>
      </c>
      <c r="P8" t="str">
        <f>"-0.007"</f>
        <v>-0.007</v>
      </c>
      <c r="Q8" t="str">
        <f>"-0.016"</f>
        <v>-0.016</v>
      </c>
      <c r="R8" t="str">
        <f>"-0.064"</f>
        <v>-0.064</v>
      </c>
      <c r="S8" t="str">
        <f>"-0.034"</f>
        <v>-0.034</v>
      </c>
      <c r="T8" t="str">
        <f>"-0.045"</f>
        <v>-0.045</v>
      </c>
      <c r="U8" t="str">
        <f>"-0.031"</f>
        <v>-0.031</v>
      </c>
    </row>
    <row r="9" spans="1:21" x14ac:dyDescent="0.3">
      <c r="A9" t="s">
        <v>6</v>
      </c>
      <c r="B9" t="str">
        <f>"0.515***"</f>
        <v>0.515***</v>
      </c>
      <c r="C9" t="str">
        <f>"0.425***"</f>
        <v>0.425***</v>
      </c>
      <c r="D9" t="str">
        <f>"0.410***"</f>
        <v>0.410***</v>
      </c>
      <c r="E9" t="str">
        <f>"0.317***"</f>
        <v>0.317***</v>
      </c>
      <c r="F9" t="str">
        <f>"0.314***"</f>
        <v>0.314***</v>
      </c>
      <c r="G9" s="2" t="str">
        <f>"0.301***"</f>
        <v>0.301***</v>
      </c>
      <c r="I9" t="str">
        <f>"0.055***"</f>
        <v>0.055***</v>
      </c>
      <c r="J9" t="str">
        <f>"0.055***"</f>
        <v>0.055***</v>
      </c>
      <c r="K9" t="str">
        <f>"0.011"</f>
        <v>0.011</v>
      </c>
      <c r="L9" t="str">
        <f>"0.025*"</f>
        <v>0.025*</v>
      </c>
      <c r="M9" t="str">
        <f>"0.014"</f>
        <v>0.014</v>
      </c>
      <c r="N9" s="2" t="str">
        <f>"0.017"</f>
        <v>0.017</v>
      </c>
      <c r="P9" t="str">
        <f>"0.055"</f>
        <v>0.055</v>
      </c>
      <c r="Q9" t="str">
        <f>"0.055"</f>
        <v>0.055</v>
      </c>
      <c r="R9" t="str">
        <f>"0.011"</f>
        <v>0.011</v>
      </c>
      <c r="S9" t="str">
        <f>"0.025"</f>
        <v>0.025</v>
      </c>
      <c r="T9" t="str">
        <f>"0.014"</f>
        <v>0.014</v>
      </c>
      <c r="U9" t="str">
        <f>"0.017"</f>
        <v>0.017</v>
      </c>
    </row>
    <row r="11" spans="1:21" x14ac:dyDescent="0.3">
      <c r="A11" t="s">
        <v>7</v>
      </c>
      <c r="B11" t="str">
        <f>"0.344***"</f>
        <v>0.344***</v>
      </c>
      <c r="C11" t="str">
        <f>"0.296***"</f>
        <v>0.296***</v>
      </c>
      <c r="D11" t="str">
        <f>"0.287***"</f>
        <v>0.287***</v>
      </c>
      <c r="E11" t="str">
        <f>"0.242***"</f>
        <v>0.242***</v>
      </c>
      <c r="F11" t="str">
        <f>"0.230***"</f>
        <v>0.230***</v>
      </c>
      <c r="G11" s="2" t="str">
        <f>"0.221***"</f>
        <v>0.221***</v>
      </c>
      <c r="P11" t="str">
        <f>""</f>
        <v/>
      </c>
      <c r="Q11" t="str">
        <f>""</f>
        <v/>
      </c>
      <c r="R11" t="str">
        <f>""</f>
        <v/>
      </c>
      <c r="S11" t="str">
        <f>""</f>
        <v/>
      </c>
      <c r="T11" t="str">
        <f>""</f>
        <v/>
      </c>
      <c r="U11" t="str">
        <f>""</f>
        <v/>
      </c>
    </row>
    <row r="12" spans="1:21" x14ac:dyDescent="0.3">
      <c r="A12" t="s">
        <v>8</v>
      </c>
      <c r="B12" t="str">
        <f>"0.416***"</f>
        <v>0.416***</v>
      </c>
      <c r="C12" t="str">
        <f>"0.328***"</f>
        <v>0.328***</v>
      </c>
      <c r="D12" t="str">
        <f>"0.323***"</f>
        <v>0.323***</v>
      </c>
      <c r="E12" t="str">
        <f>"0.252***"</f>
        <v>0.252***</v>
      </c>
      <c r="F12" t="str">
        <f>"0.260***"</f>
        <v>0.260***</v>
      </c>
      <c r="G12" s="2" t="str">
        <f>"0.246***"</f>
        <v>0.246***</v>
      </c>
      <c r="I12" t="str">
        <f>"0.072***"</f>
        <v>0.072***</v>
      </c>
      <c r="J12" t="str">
        <f>"0.031***"</f>
        <v>0.031***</v>
      </c>
      <c r="K12" t="str">
        <f>"0.036***"</f>
        <v>0.036***</v>
      </c>
      <c r="L12" t="str">
        <f>"0.010"</f>
        <v>0.010</v>
      </c>
      <c r="M12" t="str">
        <f>"0.030***"</f>
        <v>0.030***</v>
      </c>
      <c r="N12" s="2" t="str">
        <f>"0.026***"</f>
        <v>0.026***</v>
      </c>
      <c r="P12" t="str">
        <f>"0.072"</f>
        <v>0.072</v>
      </c>
      <c r="Q12" t="str">
        <f>"0.031"</f>
        <v>0.031</v>
      </c>
      <c r="R12" t="str">
        <f>"0.036"</f>
        <v>0.036</v>
      </c>
      <c r="S12" t="str">
        <f>"0.010"</f>
        <v>0.010</v>
      </c>
      <c r="T12" t="str">
        <f>"0.030"</f>
        <v>0.030</v>
      </c>
      <c r="U12" t="str">
        <f>"0.026"</f>
        <v>0.026</v>
      </c>
    </row>
    <row r="13" spans="1:21" x14ac:dyDescent="0.3">
      <c r="A13" t="s">
        <v>9</v>
      </c>
      <c r="B13" t="str">
        <f>"0.454***"</f>
        <v>0.454***</v>
      </c>
      <c r="C13" t="str">
        <f>"0.338***"</f>
        <v>0.338***</v>
      </c>
      <c r="D13" t="str">
        <f>"0.329***"</f>
        <v>0.329***</v>
      </c>
      <c r="E13" t="str">
        <f>"0.259***"</f>
        <v>0.259***</v>
      </c>
      <c r="F13" t="str">
        <f>"0.270***"</f>
        <v>0.270***</v>
      </c>
      <c r="G13" s="2" t="str">
        <f>"0.263***"</f>
        <v>0.263***</v>
      </c>
      <c r="I13" t="str">
        <f>"0.110***"</f>
        <v>0.110***</v>
      </c>
      <c r="J13" t="str">
        <f>"0.041***"</f>
        <v>0.041***</v>
      </c>
      <c r="K13" t="str">
        <f>"0.042***"</f>
        <v>0.042***</v>
      </c>
      <c r="L13" t="str">
        <f>"0.017*"</f>
        <v>0.017*</v>
      </c>
      <c r="M13" t="str">
        <f>"0.040***"</f>
        <v>0.040***</v>
      </c>
      <c r="N13" s="2" t="str">
        <f>"0.042***"</f>
        <v>0.042***</v>
      </c>
      <c r="P13" t="str">
        <f>"0.110"</f>
        <v>0.110</v>
      </c>
      <c r="Q13" t="str">
        <f>"0.041"</f>
        <v>0.041</v>
      </c>
      <c r="R13" t="str">
        <f>"0.042"</f>
        <v>0.042</v>
      </c>
      <c r="S13" t="str">
        <f>"0.017"</f>
        <v>0.017</v>
      </c>
      <c r="T13" t="str">
        <f>"0.040"</f>
        <v>0.040</v>
      </c>
      <c r="U13" t="str">
        <f>"0.042"</f>
        <v>0.042</v>
      </c>
    </row>
    <row r="14" spans="1:21" x14ac:dyDescent="0.3">
      <c r="A14" t="s">
        <v>10</v>
      </c>
      <c r="B14" t="str">
        <f>"0.502***"</f>
        <v>0.502***</v>
      </c>
      <c r="C14" t="str">
        <f>"0.379***"</f>
        <v>0.379***</v>
      </c>
      <c r="D14" t="str">
        <f>"0.387***"</f>
        <v>0.387***</v>
      </c>
      <c r="E14" t="str">
        <f>"0.274***"</f>
        <v>0.274***</v>
      </c>
      <c r="F14" t="str">
        <f>"0.283***"</f>
        <v>0.283***</v>
      </c>
      <c r="G14" s="2" t="str">
        <f>"0.296***"</f>
        <v>0.296***</v>
      </c>
      <c r="I14" t="str">
        <f>"0.157***"</f>
        <v>0.157***</v>
      </c>
      <c r="J14" t="str">
        <f>"0.083***"</f>
        <v>0.083***</v>
      </c>
      <c r="K14" t="str">
        <f>"0.100***"</f>
        <v>0.100***</v>
      </c>
      <c r="L14" t="str">
        <f>"0.033***"</f>
        <v>0.033***</v>
      </c>
      <c r="M14" t="str">
        <f>"0.053***"</f>
        <v>0.053***</v>
      </c>
      <c r="N14" s="2" t="str">
        <f>"0.075***"</f>
        <v>0.075***</v>
      </c>
      <c r="P14" t="str">
        <f>"0.157"</f>
        <v>0.157</v>
      </c>
      <c r="Q14" t="str">
        <f>"0.083"</f>
        <v>0.083</v>
      </c>
      <c r="R14" t="str">
        <f>"0.100"</f>
        <v>0.100</v>
      </c>
      <c r="S14" t="str">
        <f>"0.033"</f>
        <v>0.033</v>
      </c>
      <c r="T14" t="str">
        <f>"0.053"</f>
        <v>0.053</v>
      </c>
      <c r="U14" t="str">
        <f>"0.075"</f>
        <v>0.075</v>
      </c>
    </row>
    <row r="15" spans="1:21" x14ac:dyDescent="0.3">
      <c r="A15" t="s">
        <v>11</v>
      </c>
      <c r="B15" t="str">
        <f>"0.589***"</f>
        <v>0.589***</v>
      </c>
      <c r="C15" t="str">
        <f>"0.434***"</f>
        <v>0.434***</v>
      </c>
      <c r="D15" t="str">
        <f>"0.466***"</f>
        <v>0.466***</v>
      </c>
      <c r="E15" t="str">
        <f>"0.332***"</f>
        <v>0.332***</v>
      </c>
      <c r="F15" t="str">
        <f>"0.339***"</f>
        <v>0.339***</v>
      </c>
      <c r="G15" s="2" t="str">
        <f>"0.355***"</f>
        <v>0.355***</v>
      </c>
      <c r="I15" t="str">
        <f>"0.245***"</f>
        <v>0.245***</v>
      </c>
      <c r="J15" t="str">
        <f>"0.137***"</f>
        <v>0.137***</v>
      </c>
      <c r="K15" t="str">
        <f>"0.179***"</f>
        <v>0.179***</v>
      </c>
      <c r="L15" t="str">
        <f>"0.090***"</f>
        <v>0.090***</v>
      </c>
      <c r="M15" t="str">
        <f>"0.109***"</f>
        <v>0.109***</v>
      </c>
      <c r="N15" s="2" t="str">
        <f>"0.134***"</f>
        <v>0.134***</v>
      </c>
      <c r="P15" t="str">
        <f>"0.245"</f>
        <v>0.245</v>
      </c>
      <c r="Q15" t="str">
        <f>"0.137"</f>
        <v>0.137</v>
      </c>
      <c r="R15" t="str">
        <f>"0.179"</f>
        <v>0.179</v>
      </c>
      <c r="S15" t="str">
        <f>"0.090"</f>
        <v>0.090</v>
      </c>
      <c r="T15" t="str">
        <f>"0.109"</f>
        <v>0.109</v>
      </c>
      <c r="U15" t="str">
        <f>"0.134"</f>
        <v>0.134</v>
      </c>
    </row>
    <row r="17" spans="1:21" x14ac:dyDescent="0.3">
      <c r="A17" t="s">
        <v>12</v>
      </c>
      <c r="B17" t="str">
        <f>"0.343***"</f>
        <v>0.343***</v>
      </c>
      <c r="C17" t="str">
        <f>"0.261***"</f>
        <v>0.261***</v>
      </c>
      <c r="D17" t="str">
        <f>"0.249***"</f>
        <v>0.249***</v>
      </c>
      <c r="E17" t="str">
        <f>"0.197***"</f>
        <v>0.197***</v>
      </c>
      <c r="F17" t="str">
        <f>"0.204***"</f>
        <v>0.204***</v>
      </c>
      <c r="G17" s="2" t="str">
        <f>"0.189***"</f>
        <v>0.189***</v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  <c r="U17" t="str">
        <f>""</f>
        <v/>
      </c>
    </row>
    <row r="18" spans="1:21" x14ac:dyDescent="0.3">
      <c r="A18" t="s">
        <v>13</v>
      </c>
      <c r="B18" t="str">
        <f>"0.385***"</f>
        <v>0.385***</v>
      </c>
      <c r="C18" t="str">
        <f>"0.278***"</f>
        <v>0.278***</v>
      </c>
      <c r="D18" t="str">
        <f>"0.283***"</f>
        <v>0.283***</v>
      </c>
      <c r="E18" t="str">
        <f>"0.214***"</f>
        <v>0.214***</v>
      </c>
      <c r="F18" t="str">
        <f>"0.211***"</f>
        <v>0.211***</v>
      </c>
      <c r="G18" s="2" t="str">
        <f>"0.210***"</f>
        <v>0.210***</v>
      </c>
      <c r="I18" t="str">
        <f>"0.042***"</f>
        <v>0.042***</v>
      </c>
      <c r="J18" t="str">
        <f>"0.017**"</f>
        <v>0.017**</v>
      </c>
      <c r="K18" t="str">
        <f>"0.034***"</f>
        <v>0.034***</v>
      </c>
      <c r="L18" t="str">
        <f>"0.017**"</f>
        <v>0.017**</v>
      </c>
      <c r="M18" t="str">
        <f>"0.007"</f>
        <v>0.007</v>
      </c>
      <c r="N18" s="2" t="str">
        <f>"0.021**"</f>
        <v>0.021**</v>
      </c>
      <c r="P18" t="str">
        <f>"0.042"</f>
        <v>0.042</v>
      </c>
      <c r="Q18" t="str">
        <f>"0.017"</f>
        <v>0.017</v>
      </c>
      <c r="R18" t="str">
        <f>"0.034"</f>
        <v>0.034</v>
      </c>
      <c r="S18" t="str">
        <f>"0.017"</f>
        <v>0.017</v>
      </c>
      <c r="T18" t="str">
        <f>"0.007"</f>
        <v>0.007</v>
      </c>
      <c r="U18" t="str">
        <f>"0.021"</f>
        <v>0.021</v>
      </c>
    </row>
    <row r="19" spans="1:21" x14ac:dyDescent="0.3">
      <c r="A19" t="s">
        <v>14</v>
      </c>
      <c r="B19" t="str">
        <f>"0.421***"</f>
        <v>0.421***</v>
      </c>
      <c r="C19" t="str">
        <f>"0.318***"</f>
        <v>0.318***</v>
      </c>
      <c r="D19" t="str">
        <f>"0.317***"</f>
        <v>0.317***</v>
      </c>
      <c r="E19" t="str">
        <f>"0.242***"</f>
        <v>0.242***</v>
      </c>
      <c r="F19" t="str">
        <f>"0.230***"</f>
        <v>0.230***</v>
      </c>
      <c r="G19" s="2" t="str">
        <f>"0.239***"</f>
        <v>0.239***</v>
      </c>
      <c r="I19" t="str">
        <f>"0.078***"</f>
        <v>0.078***</v>
      </c>
      <c r="J19" t="str">
        <f>"0.057***"</f>
        <v>0.057***</v>
      </c>
      <c r="K19" t="str">
        <f>"0.068***"</f>
        <v>0.068***</v>
      </c>
      <c r="L19" t="str">
        <f>"0.045***"</f>
        <v>0.045***</v>
      </c>
      <c r="M19" t="str">
        <f>"0.027***"</f>
        <v>0.027***</v>
      </c>
      <c r="N19" s="2" t="str">
        <f>"0.050***"</f>
        <v>0.050***</v>
      </c>
      <c r="P19" t="str">
        <f>"0.078"</f>
        <v>0.078</v>
      </c>
      <c r="Q19" t="str">
        <f>"0.057"</f>
        <v>0.057</v>
      </c>
      <c r="R19" t="str">
        <f>"0.068"</f>
        <v>0.068</v>
      </c>
      <c r="S19" t="str">
        <f>"0.045"</f>
        <v>0.045</v>
      </c>
      <c r="T19" t="str">
        <f>"0.027"</f>
        <v>0.027</v>
      </c>
      <c r="U19" t="str">
        <f>"0.050"</f>
        <v>0.050</v>
      </c>
    </row>
    <row r="20" spans="1:21" x14ac:dyDescent="0.3">
      <c r="A20" t="s">
        <v>15</v>
      </c>
      <c r="B20" t="str">
        <f>"0.446***"</f>
        <v>0.446***</v>
      </c>
      <c r="C20" t="str">
        <f>"0.369***"</f>
        <v>0.369***</v>
      </c>
      <c r="D20" t="str">
        <f>"0.353***"</f>
        <v>0.353***</v>
      </c>
      <c r="E20" t="str">
        <f>"0.266***"</f>
        <v>0.266***</v>
      </c>
      <c r="F20" t="str">
        <f>"0.269***"</f>
        <v>0.269***</v>
      </c>
      <c r="G20" s="2" t="str">
        <f>"0.254***"</f>
        <v>0.254***</v>
      </c>
      <c r="I20" t="str">
        <f>"0.103***"</f>
        <v>0.103***</v>
      </c>
      <c r="J20" t="str">
        <f>"0.108***"</f>
        <v>0.108***</v>
      </c>
      <c r="K20" t="str">
        <f>"0.104***"</f>
        <v>0.104***</v>
      </c>
      <c r="L20" t="str">
        <f>"0.069***"</f>
        <v>0.069***</v>
      </c>
      <c r="M20" t="str">
        <f>"0.065***"</f>
        <v>0.065***</v>
      </c>
      <c r="N20" s="2" t="str">
        <f>"0.065***"</f>
        <v>0.065***</v>
      </c>
      <c r="P20" t="str">
        <f>"0.103"</f>
        <v>0.103</v>
      </c>
      <c r="Q20" t="str">
        <f>"0.108"</f>
        <v>0.108</v>
      </c>
      <c r="R20" t="str">
        <f>"0.104"</f>
        <v>0.104</v>
      </c>
      <c r="S20" t="str">
        <f>"0.069"</f>
        <v>0.069</v>
      </c>
      <c r="T20" t="str">
        <f>"0.065"</f>
        <v>0.065</v>
      </c>
      <c r="U20" t="str">
        <f>"0.065"</f>
        <v>0.065</v>
      </c>
    </row>
    <row r="21" spans="1:21" x14ac:dyDescent="0.3">
      <c r="A21" t="s">
        <v>16</v>
      </c>
      <c r="B21" t="str">
        <f>"0.489***"</f>
        <v>0.489***</v>
      </c>
      <c r="C21" t="str">
        <f>"0.390***"</f>
        <v>0.390***</v>
      </c>
      <c r="D21" t="str">
        <f>"0.396***"</f>
        <v>0.396***</v>
      </c>
      <c r="E21" t="str">
        <f>"0.285***"</f>
        <v>0.285***</v>
      </c>
      <c r="F21" t="str">
        <f>"0.290***"</f>
        <v>0.290***</v>
      </c>
      <c r="G21" s="2" t="str">
        <f>"0.279***"</f>
        <v>0.279***</v>
      </c>
      <c r="I21" t="str">
        <f>"0.146***"</f>
        <v>0.146***</v>
      </c>
      <c r="J21" t="str">
        <f>"0.129***"</f>
        <v>0.129***</v>
      </c>
      <c r="K21" t="str">
        <f>"0.147***"</f>
        <v>0.147***</v>
      </c>
      <c r="L21" t="str">
        <f>"0.088***"</f>
        <v>0.088***</v>
      </c>
      <c r="M21" t="str">
        <f>"0.087***"</f>
        <v>0.087***</v>
      </c>
      <c r="N21" s="2" t="str">
        <f>"0.090***"</f>
        <v>0.090***</v>
      </c>
      <c r="P21" t="str">
        <f>"0.146"</f>
        <v>0.146</v>
      </c>
      <c r="Q21" t="str">
        <f>"0.129"</f>
        <v>0.129</v>
      </c>
      <c r="R21" t="str">
        <f>"0.147"</f>
        <v>0.147</v>
      </c>
      <c r="S21" t="str">
        <f>"0.088"</f>
        <v>0.088</v>
      </c>
      <c r="T21" t="str">
        <f>"0.087"</f>
        <v>0.087</v>
      </c>
      <c r="U21" t="str">
        <f>"0.090"</f>
        <v>0.090</v>
      </c>
    </row>
    <row r="22" spans="1:21" x14ac:dyDescent="0.3">
      <c r="A22" t="s">
        <v>17</v>
      </c>
      <c r="B22" t="str">
        <f>"0.528***"</f>
        <v>0.528***</v>
      </c>
      <c r="C22" t="str">
        <f>"0.433***"</f>
        <v>0.433***</v>
      </c>
      <c r="D22" t="str">
        <f>"0.416***"</f>
        <v>0.416***</v>
      </c>
      <c r="E22" t="str">
        <f>"0.324***"</f>
        <v>0.324***</v>
      </c>
      <c r="F22" t="str">
        <f>"0.310***"</f>
        <v>0.310***</v>
      </c>
      <c r="G22" s="2" t="str">
        <f>"0.323***"</f>
        <v>0.323***</v>
      </c>
      <c r="I22" t="str">
        <f>"0.186***"</f>
        <v>0.186***</v>
      </c>
      <c r="J22" t="str">
        <f>"0.172***"</f>
        <v>0.172***</v>
      </c>
      <c r="K22" t="str">
        <f>"0.167***"</f>
        <v>0.167***</v>
      </c>
      <c r="L22" t="str">
        <f>"0.127***"</f>
        <v>0.127***</v>
      </c>
      <c r="M22" t="str">
        <f>"0.106***"</f>
        <v>0.106***</v>
      </c>
      <c r="N22" s="2" t="str">
        <f>"0.134***"</f>
        <v>0.134***</v>
      </c>
      <c r="P22" t="str">
        <f>"0.186"</f>
        <v>0.186</v>
      </c>
      <c r="Q22" t="str">
        <f>"0.172"</f>
        <v>0.172</v>
      </c>
      <c r="R22" t="str">
        <f>"0.167"</f>
        <v>0.167</v>
      </c>
      <c r="S22" t="str">
        <f>"0.127"</f>
        <v>0.127</v>
      </c>
      <c r="T22" t="str">
        <f>"0.106"</f>
        <v>0.106</v>
      </c>
      <c r="U22" t="str">
        <f>"0.134"</f>
        <v>0.134</v>
      </c>
    </row>
    <row r="23" spans="1:21" x14ac:dyDescent="0.3">
      <c r="A23" t="s">
        <v>18</v>
      </c>
      <c r="B23" t="str">
        <f>"0.579***"</f>
        <v>0.579***</v>
      </c>
      <c r="C23" t="str">
        <f>"0.467***"</f>
        <v>0.467***</v>
      </c>
      <c r="D23" t="str">
        <f>"0.423***"</f>
        <v>0.423***</v>
      </c>
      <c r="E23" t="str">
        <f>"0.308***"</f>
        <v>0.308***</v>
      </c>
      <c r="F23" t="str">
        <f>"0.334***"</f>
        <v>0.334***</v>
      </c>
      <c r="G23" s="2" t="str">
        <f>"0.288***"</f>
        <v>0.288***</v>
      </c>
      <c r="I23" t="str">
        <f>"0.236***"</f>
        <v>0.236***</v>
      </c>
      <c r="J23" t="str">
        <f>"0.206***"</f>
        <v>0.206***</v>
      </c>
      <c r="K23" t="str">
        <f>"0.174***"</f>
        <v>0.174***</v>
      </c>
      <c r="L23" t="str">
        <f>"0.111***"</f>
        <v>0.111***</v>
      </c>
      <c r="M23" t="str">
        <f>"0.130***"</f>
        <v>0.130***</v>
      </c>
      <c r="N23" s="2" t="str">
        <f>"0.099***"</f>
        <v>0.099***</v>
      </c>
      <c r="P23" t="str">
        <f>"0.236"</f>
        <v>0.236</v>
      </c>
      <c r="Q23" t="str">
        <f>"0.206"</f>
        <v>0.206</v>
      </c>
      <c r="R23" t="str">
        <f>"0.174"</f>
        <v>0.174</v>
      </c>
      <c r="S23" t="str">
        <f>"0.111"</f>
        <v>0.111</v>
      </c>
      <c r="T23" t="str">
        <f>"0.130"</f>
        <v>0.130</v>
      </c>
      <c r="U23" t="str">
        <f>"0.099"</f>
        <v>0.099</v>
      </c>
    </row>
    <row r="24" spans="1:21" x14ac:dyDescent="0.3">
      <c r="A24" t="s">
        <v>19</v>
      </c>
      <c r="B24" t="str">
        <f>"0.578***"</f>
        <v>0.578***</v>
      </c>
      <c r="C24" t="str">
        <f>"0.513***"</f>
        <v>0.513***</v>
      </c>
      <c r="D24" t="str">
        <f>"0.491***"</f>
        <v>0.491***</v>
      </c>
      <c r="E24" t="str">
        <f>"0.374***"</f>
        <v>0.374***</v>
      </c>
      <c r="F24" t="str">
        <f>"0.386***"</f>
        <v>0.386***</v>
      </c>
      <c r="G24" s="2" t="str">
        <f>"0.346***"</f>
        <v>0.346***</v>
      </c>
      <c r="I24" t="str">
        <f>"0.235***"</f>
        <v>0.235***</v>
      </c>
      <c r="J24" t="str">
        <f>"0.252***"</f>
        <v>0.252***</v>
      </c>
      <c r="K24" t="str">
        <f>"0.242***"</f>
        <v>0.242***</v>
      </c>
      <c r="L24" t="str">
        <f>"0.177***"</f>
        <v>0.177***</v>
      </c>
      <c r="M24" t="str">
        <f>"0.183***"</f>
        <v>0.183***</v>
      </c>
      <c r="N24" s="2" t="str">
        <f>"0.156***"</f>
        <v>0.156***</v>
      </c>
      <c r="P24" t="str">
        <f>"0.235"</f>
        <v>0.235</v>
      </c>
      <c r="Q24" t="str">
        <f>"0.252"</f>
        <v>0.252</v>
      </c>
      <c r="R24" t="str">
        <f>"0.242"</f>
        <v>0.242</v>
      </c>
      <c r="S24" t="str">
        <f>"0.177"</f>
        <v>0.177</v>
      </c>
      <c r="T24" t="str">
        <f>"0.183"</f>
        <v>0.183</v>
      </c>
      <c r="U24" t="str">
        <f>"0.156"</f>
        <v>0.156</v>
      </c>
    </row>
    <row r="26" spans="1:21" x14ac:dyDescent="0.3">
      <c r="A26" t="str">
        <f>"1.c_marriage"</f>
        <v>1.c_marriage</v>
      </c>
      <c r="B26" t="str">
        <f>"0.445***"</f>
        <v>0.445***</v>
      </c>
      <c r="C26" t="str">
        <f>"0.341***"</f>
        <v>0.341***</v>
      </c>
      <c r="D26" t="str">
        <f>"0.331***"</f>
        <v>0.331***</v>
      </c>
      <c r="E26" t="str">
        <f>"0.248***"</f>
        <v>0.248***</v>
      </c>
      <c r="F26" t="str">
        <f>"0.245***"</f>
        <v>0.245***</v>
      </c>
      <c r="G26" t="str">
        <f>"0.248***"</f>
        <v>0.248***</v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</row>
    <row r="27" spans="1:21" x14ac:dyDescent="0.3">
      <c r="A27" t="str">
        <f>"2.c_marriage"</f>
        <v>2.c_marriage</v>
      </c>
      <c r="B27" t="str">
        <f>"0.427***"</f>
        <v>0.427***</v>
      </c>
      <c r="C27" t="str">
        <f>"0.340***"</f>
        <v>0.340***</v>
      </c>
      <c r="D27" t="str">
        <f>"0.341***"</f>
        <v>0.341***</v>
      </c>
      <c r="E27" t="str">
        <f>"0.265***"</f>
        <v>0.265***</v>
      </c>
      <c r="F27" t="str">
        <f>"0.276***"</f>
        <v>0.276***</v>
      </c>
      <c r="G27" t="str">
        <f>"0.270***"</f>
        <v>0.270***</v>
      </c>
      <c r="I27" t="str">
        <f>"-0.018*"</f>
        <v>-0.018*</v>
      </c>
      <c r="J27" t="str">
        <f>"-0.001"</f>
        <v>-0.001</v>
      </c>
      <c r="K27" t="str">
        <f>"0.010"</f>
        <v>0.010</v>
      </c>
      <c r="L27" t="str">
        <f>"0.017**"</f>
        <v>0.017**</v>
      </c>
      <c r="M27" t="str">
        <f>"0.031***"</f>
        <v>0.031***</v>
      </c>
      <c r="N27" t="str">
        <f>"0.021***"</f>
        <v>0.021***</v>
      </c>
      <c r="P27" t="str">
        <f>"-0.018"</f>
        <v>-0.018</v>
      </c>
      <c r="Q27" t="str">
        <f>"-0.001"</f>
        <v>-0.001</v>
      </c>
      <c r="R27" t="str">
        <f>"0.010"</f>
        <v>0.010</v>
      </c>
      <c r="S27" t="str">
        <f>"0.017"</f>
        <v>0.017</v>
      </c>
      <c r="T27" t="str">
        <f>"0.031"</f>
        <v>0.031</v>
      </c>
      <c r="U27" t="str">
        <f>"0.021"</f>
        <v>0.021</v>
      </c>
    </row>
    <row r="28" spans="1:21" x14ac:dyDescent="0.3">
      <c r="A28" t="str">
        <f>"3.c_marriage"</f>
        <v>3.c_marriage</v>
      </c>
      <c r="B28" t="str">
        <f>"0.393***"</f>
        <v>0.393***</v>
      </c>
      <c r="C28" t="str">
        <f>"0.298***"</f>
        <v>0.298***</v>
      </c>
      <c r="D28" t="str">
        <f>"0.310***"</f>
        <v>0.310***</v>
      </c>
      <c r="E28" t="str">
        <f>"0.235***"</f>
        <v>0.235***</v>
      </c>
      <c r="F28" t="str">
        <f>"0.232***"</f>
        <v>0.232***</v>
      </c>
      <c r="G28" t="str">
        <f>"0.225***"</f>
        <v>0.225***</v>
      </c>
      <c r="I28" t="str">
        <f>"-0.052***"</f>
        <v>-0.052***</v>
      </c>
      <c r="J28" t="str">
        <f>"-0.043***"</f>
        <v>-0.043***</v>
      </c>
      <c r="K28" t="str">
        <f>"-0.022*"</f>
        <v>-0.022*</v>
      </c>
      <c r="L28" t="str">
        <f>"-0.014"</f>
        <v>-0.014</v>
      </c>
      <c r="M28" t="str">
        <f>"-0.013"</f>
        <v>-0.013</v>
      </c>
      <c r="N28" t="str">
        <f>"-0.024**"</f>
        <v>-0.024**</v>
      </c>
      <c r="P28" t="str">
        <f>"-0.052"</f>
        <v>-0.052</v>
      </c>
      <c r="Q28" t="str">
        <f>"-0.043"</f>
        <v>-0.043</v>
      </c>
      <c r="R28" t="str">
        <f>"-0.022"</f>
        <v>-0.022</v>
      </c>
      <c r="S28" t="str">
        <f>"-0.014"</f>
        <v>-0.014</v>
      </c>
      <c r="T28" t="str">
        <f>"-0.013"</f>
        <v>-0.013</v>
      </c>
      <c r="U28" t="str">
        <f>"-0.024"</f>
        <v>-0.024</v>
      </c>
    </row>
    <row r="30" spans="1:21" x14ac:dyDescent="0.3">
      <c r="A30" t="str">
        <f>"1.region_code_figure"</f>
        <v>1.region_code_figure</v>
      </c>
      <c r="B30" t="str">
        <f>"0.439***"</f>
        <v>0.439***</v>
      </c>
      <c r="C30" t="str">
        <f>"0.328***"</f>
        <v>0.328***</v>
      </c>
      <c r="D30" t="str">
        <f>"0.318***"</f>
        <v>0.318***</v>
      </c>
      <c r="E30" t="str">
        <f>"0.219***"</f>
        <v>0.219***</v>
      </c>
      <c r="F30" t="str">
        <f>"0.225***"</f>
        <v>0.225***</v>
      </c>
      <c r="G30" s="3" t="str">
        <f>"0.222***"</f>
        <v>0.222***</v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</row>
    <row r="31" spans="1:21" x14ac:dyDescent="0.3">
      <c r="A31" t="str">
        <f>"2.region_code_figure"</f>
        <v>2.region_code_figure</v>
      </c>
      <c r="B31" t="str">
        <f>"0.373***"</f>
        <v>0.373***</v>
      </c>
      <c r="C31" t="str">
        <f>"0.336***"</f>
        <v>0.336***</v>
      </c>
      <c r="D31" t="str">
        <f>"0.341***"</f>
        <v>0.341***</v>
      </c>
      <c r="E31" t="str">
        <f>"0.261***"</f>
        <v>0.261***</v>
      </c>
      <c r="F31" t="str">
        <f>"0.255***"</f>
        <v>0.255***</v>
      </c>
      <c r="G31" s="2" t="str">
        <f>"0.293***"</f>
        <v>0.293***</v>
      </c>
      <c r="I31" t="str">
        <f>"-0.066***"</f>
        <v>-0.066***</v>
      </c>
      <c r="J31" t="str">
        <f>"0.009"</f>
        <v>0.009</v>
      </c>
      <c r="K31" t="str">
        <f>"0.023*"</f>
        <v>0.023*</v>
      </c>
      <c r="L31" t="str">
        <f>"0.042***"</f>
        <v>0.042***</v>
      </c>
      <c r="M31" t="str">
        <f>"0.030***"</f>
        <v>0.030***</v>
      </c>
      <c r="N31" s="2" t="str">
        <f>"0.070***"</f>
        <v>0.070***</v>
      </c>
      <c r="P31" t="str">
        <f>"-0.066"</f>
        <v>-0.066</v>
      </c>
      <c r="Q31" t="str">
        <f>"0.009"</f>
        <v>0.009</v>
      </c>
      <c r="R31" t="str">
        <f>"0.023"</f>
        <v>0.023</v>
      </c>
      <c r="S31" t="str">
        <f>"0.042"</f>
        <v>0.042</v>
      </c>
      <c r="T31" t="str">
        <f>"0.030"</f>
        <v>0.030</v>
      </c>
      <c r="U31" t="str">
        <f>"0.070"</f>
        <v>0.070</v>
      </c>
    </row>
    <row r="32" spans="1:21" x14ac:dyDescent="0.3">
      <c r="A32" t="str">
        <f>"3.region_code_figure"</f>
        <v>3.region_code_figure</v>
      </c>
      <c r="B32" t="str">
        <f>"0.378***"</f>
        <v>0.378***</v>
      </c>
      <c r="C32" t="str">
        <f>"0.329***"</f>
        <v>0.329***</v>
      </c>
      <c r="D32" t="str">
        <f>"0.301***"</f>
        <v>0.301***</v>
      </c>
      <c r="E32" t="str">
        <f>"0.301***"</f>
        <v>0.301***</v>
      </c>
      <c r="F32" t="str">
        <f>"0.268***"</f>
        <v>0.268***</v>
      </c>
      <c r="G32" s="2" t="str">
        <f>"0.262***"</f>
        <v>0.262***</v>
      </c>
      <c r="I32" t="str">
        <f>"-0.061***"</f>
        <v>-0.061***</v>
      </c>
      <c r="J32" t="str">
        <f>"0.001"</f>
        <v>0.001</v>
      </c>
      <c r="K32" t="str">
        <f>"-0.017"</f>
        <v>-0.017</v>
      </c>
      <c r="L32" t="str">
        <f>"0.082***"</f>
        <v>0.082***</v>
      </c>
      <c r="M32" t="str">
        <f>"0.043***"</f>
        <v>0.043***</v>
      </c>
      <c r="N32" s="2" t="str">
        <f>"0.039***"</f>
        <v>0.039***</v>
      </c>
      <c r="P32" t="str">
        <f>"-0.061"</f>
        <v>-0.061</v>
      </c>
      <c r="Q32" t="str">
        <f>"0.001"</f>
        <v>0.001</v>
      </c>
      <c r="R32" t="str">
        <f>"-0.017"</f>
        <v>-0.017</v>
      </c>
      <c r="S32" t="str">
        <f>"0.082"</f>
        <v>0.082</v>
      </c>
      <c r="T32" t="str">
        <f>"0.043"</f>
        <v>0.043</v>
      </c>
      <c r="U32" t="str">
        <f>"0.039"</f>
        <v>0.039</v>
      </c>
    </row>
    <row r="33" spans="1:21" x14ac:dyDescent="0.3">
      <c r="A33" t="str">
        <f>"4.region_code_figure"</f>
        <v>4.region_code_figure</v>
      </c>
      <c r="B33" t="str">
        <f>"0.391***"</f>
        <v>0.391***</v>
      </c>
      <c r="C33" t="str">
        <f>"0.313***"</f>
        <v>0.313***</v>
      </c>
      <c r="D33" t="str">
        <f>"0.297***"</f>
        <v>0.297***</v>
      </c>
      <c r="E33" t="str">
        <f>"0.242***"</f>
        <v>0.242***</v>
      </c>
      <c r="F33" t="str">
        <f>"0.243***"</f>
        <v>0.243***</v>
      </c>
      <c r="G33" s="2" t="str">
        <f>"0.237***"</f>
        <v>0.237***</v>
      </c>
      <c r="I33" t="str">
        <f>"-0.048***"</f>
        <v>-0.048***</v>
      </c>
      <c r="J33" t="str">
        <f>"-0.014"</f>
        <v>-0.014</v>
      </c>
      <c r="K33" t="str">
        <f>"-0.021*"</f>
        <v>-0.021*</v>
      </c>
      <c r="L33" t="str">
        <f>"0.022**"</f>
        <v>0.022**</v>
      </c>
      <c r="M33" t="str">
        <f>"0.018"</f>
        <v>0.018</v>
      </c>
      <c r="N33" s="2" t="str">
        <f>"0.014"</f>
        <v>0.014</v>
      </c>
      <c r="P33" t="str">
        <f>"-0.048"</f>
        <v>-0.048</v>
      </c>
      <c r="Q33" t="str">
        <f>"-0.014"</f>
        <v>-0.014</v>
      </c>
      <c r="R33" t="str">
        <f>"-0.021"</f>
        <v>-0.021</v>
      </c>
      <c r="S33" t="str">
        <f>"0.022"</f>
        <v>0.022</v>
      </c>
      <c r="T33" t="str">
        <f>"0.018"</f>
        <v>0.018</v>
      </c>
      <c r="U33" t="str">
        <f>"0.014"</f>
        <v>0.014</v>
      </c>
    </row>
    <row r="34" spans="1:21" x14ac:dyDescent="0.3">
      <c r="A34" t="str">
        <f>"5.region_code_figure"</f>
        <v>5.region_code_figure</v>
      </c>
      <c r="B34" t="str">
        <f>"0.426***"</f>
        <v>0.426***</v>
      </c>
      <c r="C34" t="str">
        <f>"0.336***"</f>
        <v>0.336***</v>
      </c>
      <c r="D34" t="str">
        <f>"0.290***"</f>
        <v>0.290***</v>
      </c>
      <c r="E34" t="str">
        <f>"0.241***"</f>
        <v>0.241***</v>
      </c>
      <c r="F34" t="str">
        <f>"0.286***"</f>
        <v>0.286***</v>
      </c>
      <c r="G34" s="2" t="str">
        <f>"0.249***"</f>
        <v>0.249***</v>
      </c>
      <c r="I34" t="str">
        <f>"-0.013"</f>
        <v>-0.013</v>
      </c>
      <c r="J34" t="str">
        <f>"0.008"</f>
        <v>0.008</v>
      </c>
      <c r="K34" t="str">
        <f>"-0.028**"</f>
        <v>-0.028**</v>
      </c>
      <c r="L34" t="str">
        <f>"0.021*"</f>
        <v>0.021*</v>
      </c>
      <c r="M34" t="str">
        <f>"0.061***"</f>
        <v>0.061***</v>
      </c>
      <c r="N34" s="2" t="str">
        <f>"0.027**"</f>
        <v>0.027**</v>
      </c>
      <c r="P34" t="str">
        <f>"-0.013"</f>
        <v>-0.013</v>
      </c>
      <c r="Q34" t="str">
        <f>"0.008"</f>
        <v>0.008</v>
      </c>
      <c r="R34" t="str">
        <f>"-0.028"</f>
        <v>-0.028</v>
      </c>
      <c r="S34" t="str">
        <f>"0.021"</f>
        <v>0.021</v>
      </c>
      <c r="T34" t="str">
        <f>"0.061"</f>
        <v>0.061</v>
      </c>
      <c r="U34" t="str">
        <f>"0.027"</f>
        <v>0.027</v>
      </c>
    </row>
    <row r="35" spans="1:21" x14ac:dyDescent="0.3">
      <c r="A35" t="str">
        <f>"6.region_code_figure"</f>
        <v>6.region_code_figure</v>
      </c>
      <c r="B35" t="str">
        <f>"0.423***"</f>
        <v>0.423***</v>
      </c>
      <c r="C35" t="str">
        <f>"0.359***"</f>
        <v>0.359***</v>
      </c>
      <c r="D35" t="str">
        <f>"0.344***"</f>
        <v>0.344***</v>
      </c>
      <c r="E35" t="str">
        <f>"0.272***"</f>
        <v>0.272***</v>
      </c>
      <c r="F35" t="str">
        <f>"0.302***"</f>
        <v>0.302***</v>
      </c>
      <c r="G35" s="2" t="str">
        <f>"0.284***"</f>
        <v>0.284***</v>
      </c>
      <c r="I35" t="str">
        <f>"-0.016"</f>
        <v>-0.016</v>
      </c>
      <c r="J35" t="str">
        <f>"0.031**"</f>
        <v>0.031**</v>
      </c>
      <c r="K35" t="str">
        <f>"0.026**"</f>
        <v>0.026**</v>
      </c>
      <c r="L35" t="str">
        <f>"0.052***"</f>
        <v>0.052***</v>
      </c>
      <c r="M35" t="str">
        <f>"0.077***"</f>
        <v>0.077***</v>
      </c>
      <c r="N35" s="2" t="str">
        <f>"0.061***"</f>
        <v>0.061***</v>
      </c>
      <c r="P35" t="str">
        <f>"-0.016"</f>
        <v>-0.016</v>
      </c>
      <c r="Q35" t="str">
        <f>"0.031"</f>
        <v>0.031</v>
      </c>
      <c r="R35" t="str">
        <f>"0.026"</f>
        <v>0.026</v>
      </c>
      <c r="S35" t="str">
        <f>"0.052"</f>
        <v>0.052</v>
      </c>
      <c r="T35" t="str">
        <f>"0.077"</f>
        <v>0.077</v>
      </c>
      <c r="U35" t="str">
        <f>"0.061"</f>
        <v>0.061</v>
      </c>
    </row>
    <row r="36" spans="1:21" x14ac:dyDescent="0.3">
      <c r="A36" t="str">
        <f>"7.region_code_figure"</f>
        <v>7.region_code_figure</v>
      </c>
      <c r="B36" t="str">
        <f>"0.377***"</f>
        <v>0.377***</v>
      </c>
      <c r="C36" t="str">
        <f>"0.294***"</f>
        <v>0.294***</v>
      </c>
      <c r="D36" t="str">
        <f>"0.337***"</f>
        <v>0.337***</v>
      </c>
      <c r="E36" t="str">
        <f>"0.239***"</f>
        <v>0.239***</v>
      </c>
      <c r="F36" t="str">
        <f>"0.271***"</f>
        <v>0.271***</v>
      </c>
      <c r="G36" s="2" t="str">
        <f>"0.276***"</f>
        <v>0.276***</v>
      </c>
      <c r="I36" t="str">
        <f>"-0.062***"</f>
        <v>-0.062***</v>
      </c>
      <c r="J36" t="str">
        <f>"-0.033**"</f>
        <v>-0.033**</v>
      </c>
      <c r="K36" t="str">
        <f>"0.019"</f>
        <v>0.019</v>
      </c>
      <c r="L36" t="str">
        <f>"0.020*"</f>
        <v>0.020*</v>
      </c>
      <c r="M36" t="str">
        <f>"0.045***"</f>
        <v>0.045***</v>
      </c>
      <c r="N36" s="2" t="str">
        <f>"0.054***"</f>
        <v>0.054***</v>
      </c>
      <c r="P36" t="str">
        <f>"-0.062"</f>
        <v>-0.062</v>
      </c>
      <c r="Q36" t="str">
        <f>"-0.033"</f>
        <v>-0.033</v>
      </c>
      <c r="R36" t="str">
        <f>"0.019"</f>
        <v>0.019</v>
      </c>
      <c r="S36" t="str">
        <f>"0.020"</f>
        <v>0.020</v>
      </c>
      <c r="T36" t="str">
        <f>"0.045"</f>
        <v>0.045</v>
      </c>
      <c r="U36" t="str">
        <f>"0.054"</f>
        <v>0.054</v>
      </c>
    </row>
    <row r="37" spans="1:21" x14ac:dyDescent="0.3">
      <c r="A37" t="str">
        <f>"8.region_code_figure"</f>
        <v>8.region_code_figure</v>
      </c>
      <c r="B37" t="str">
        <f>"0.392***"</f>
        <v>0.392***</v>
      </c>
      <c r="C37" t="str">
        <f>"0.309***"</f>
        <v>0.309***</v>
      </c>
      <c r="D37" t="str">
        <f>"0.302***"</f>
        <v>0.302***</v>
      </c>
      <c r="E37" t="str">
        <f>"0.216***"</f>
        <v>0.216***</v>
      </c>
      <c r="F37" t="str">
        <f>"0.229***"</f>
        <v>0.229***</v>
      </c>
      <c r="G37" s="2" t="str">
        <f>"0.235***"</f>
        <v>0.235***</v>
      </c>
      <c r="I37" t="str">
        <f>"-0.047***"</f>
        <v>-0.047***</v>
      </c>
      <c r="J37" t="str">
        <f>"-0.019*"</f>
        <v>-0.019*</v>
      </c>
      <c r="K37" t="str">
        <f>"-0.016"</f>
        <v>-0.016</v>
      </c>
      <c r="L37" t="str">
        <f>"-0.003"</f>
        <v>-0.003</v>
      </c>
      <c r="M37" t="str">
        <f>"0.004"</f>
        <v>0.004</v>
      </c>
      <c r="N37" s="2" t="str">
        <f>"0.012"</f>
        <v>0.012</v>
      </c>
      <c r="P37" t="str">
        <f>"-0.047"</f>
        <v>-0.047</v>
      </c>
      <c r="Q37" t="str">
        <f>"-0.019"</f>
        <v>-0.019</v>
      </c>
      <c r="R37" t="str">
        <f>"-0.016"</f>
        <v>-0.016</v>
      </c>
      <c r="S37" t="str">
        <f>"-0.003"</f>
        <v>-0.003</v>
      </c>
      <c r="T37" t="str">
        <f>"0.004"</f>
        <v>0.004</v>
      </c>
      <c r="U37" t="str">
        <f>"0.012"</f>
        <v>0.012</v>
      </c>
    </row>
    <row r="38" spans="1:21" x14ac:dyDescent="0.3">
      <c r="A38" t="str">
        <f>"9.region_code_figure"</f>
        <v>9.region_code_figure</v>
      </c>
      <c r="B38" t="str">
        <f>"0.431***"</f>
        <v>0.431***</v>
      </c>
      <c r="C38" t="str">
        <f>"0.385***"</f>
        <v>0.385***</v>
      </c>
      <c r="D38" t="str">
        <f>"0.387***"</f>
        <v>0.387***</v>
      </c>
      <c r="E38" t="str">
        <f>"0.311***"</f>
        <v>0.311***</v>
      </c>
      <c r="F38" t="str">
        <f>"0.327***"</f>
        <v>0.327***</v>
      </c>
      <c r="G38" s="2" t="str">
        <f>"0.300***"</f>
        <v>0.300***</v>
      </c>
      <c r="I38" t="str">
        <f>"-0.007"</f>
        <v>-0.007</v>
      </c>
      <c r="J38" t="str">
        <f>"0.057***"</f>
        <v>0.057***</v>
      </c>
      <c r="K38" t="str">
        <f>"0.069***"</f>
        <v>0.069***</v>
      </c>
      <c r="L38" t="str">
        <f>"0.092***"</f>
        <v>0.092***</v>
      </c>
      <c r="M38" t="str">
        <f>"0.101***"</f>
        <v>0.101***</v>
      </c>
      <c r="N38" s="2" t="str">
        <f>"0.078***"</f>
        <v>0.078***</v>
      </c>
      <c r="P38" t="str">
        <f>"-0.007"</f>
        <v>-0.007</v>
      </c>
      <c r="Q38" t="str">
        <f>"0.057"</f>
        <v>0.057</v>
      </c>
      <c r="R38" t="str">
        <f>"0.069"</f>
        <v>0.069</v>
      </c>
      <c r="S38" t="str">
        <f>"0.092"</f>
        <v>0.092</v>
      </c>
      <c r="T38" t="str">
        <f>"0.101"</f>
        <v>0.101</v>
      </c>
      <c r="U38" t="str">
        <f>"0.078"</f>
        <v>0.078</v>
      </c>
    </row>
    <row r="39" spans="1:21" x14ac:dyDescent="0.3">
      <c r="A39" t="str">
        <f>"10.region_code_figure"</f>
        <v>10.region_code_figure</v>
      </c>
      <c r="B39" t="str">
        <f>"0.458***"</f>
        <v>0.458***</v>
      </c>
      <c r="C39" t="str">
        <f>"0.396***"</f>
        <v>0.396***</v>
      </c>
      <c r="D39" t="str">
        <f>"0.387***"</f>
        <v>0.387***</v>
      </c>
      <c r="E39" t="str">
        <f>"0.288***"</f>
        <v>0.288***</v>
      </c>
      <c r="F39" t="str">
        <f>"0.243***"</f>
        <v>0.243***</v>
      </c>
      <c r="G39" s="2" t="str">
        <f>"0.248***"</f>
        <v>0.248***</v>
      </c>
      <c r="I39" t="str">
        <f>"0.019"</f>
        <v>0.019</v>
      </c>
      <c r="J39" t="str">
        <f>"0.068***"</f>
        <v>0.068***</v>
      </c>
      <c r="K39" t="str">
        <f>"0.069***"</f>
        <v>0.069***</v>
      </c>
      <c r="L39" t="str">
        <f>"0.068***"</f>
        <v>0.068***</v>
      </c>
      <c r="M39" t="str">
        <f>"0.017"</f>
        <v>0.017</v>
      </c>
      <c r="N39" s="2" t="str">
        <f>"0.026**"</f>
        <v>0.026**</v>
      </c>
      <c r="P39" t="str">
        <f>"0.019"</f>
        <v>0.019</v>
      </c>
      <c r="Q39" t="str">
        <f>"0.068"</f>
        <v>0.068</v>
      </c>
      <c r="R39" t="str">
        <f>"0.069"</f>
        <v>0.069</v>
      </c>
      <c r="S39" t="str">
        <f>"0.068"</f>
        <v>0.068</v>
      </c>
      <c r="T39" t="str">
        <f>"0.017"</f>
        <v>0.017</v>
      </c>
      <c r="U39" t="str">
        <f>"0.026"</f>
        <v>0.026</v>
      </c>
    </row>
    <row r="40" spans="1:21" x14ac:dyDescent="0.3">
      <c r="A40" t="str">
        <f>"11.region_code_figure"</f>
        <v>11.region_code_figure</v>
      </c>
      <c r="B40" t="str">
        <f>"0.461***"</f>
        <v>0.461***</v>
      </c>
      <c r="C40" t="str">
        <f>"0.334***"</f>
        <v>0.334***</v>
      </c>
      <c r="D40" t="str">
        <f>"0.307***"</f>
        <v>0.307***</v>
      </c>
      <c r="E40" t="str">
        <f>"0.253***"</f>
        <v>0.253***</v>
      </c>
      <c r="F40" t="str">
        <f>"0.277***"</f>
        <v>0.277***</v>
      </c>
      <c r="G40" s="2" t="str">
        <f>"0.233***"</f>
        <v>0.233***</v>
      </c>
      <c r="I40" t="str">
        <f>"0.022"</f>
        <v>0.022</v>
      </c>
      <c r="J40" t="str">
        <f>"0.007"</f>
        <v>0.007</v>
      </c>
      <c r="K40" t="str">
        <f>"-0.011"</f>
        <v>-0.011</v>
      </c>
      <c r="L40" t="str">
        <f>"0.034***"</f>
        <v>0.034***</v>
      </c>
      <c r="M40" t="str">
        <f>"0.052***"</f>
        <v>0.052***</v>
      </c>
      <c r="N40" s="2" t="str">
        <f>"0.011"</f>
        <v>0.011</v>
      </c>
      <c r="P40" t="str">
        <f>"0.022"</f>
        <v>0.022</v>
      </c>
      <c r="Q40" t="str">
        <f>"0.007"</f>
        <v>0.007</v>
      </c>
      <c r="R40" t="str">
        <f>"-0.011"</f>
        <v>-0.011</v>
      </c>
      <c r="S40" t="str">
        <f>"0.034"</f>
        <v>0.034</v>
      </c>
      <c r="T40" t="str">
        <f>"0.052"</f>
        <v>0.052</v>
      </c>
      <c r="U40" t="str">
        <f>"0.011"</f>
        <v>0.011</v>
      </c>
    </row>
    <row r="41" spans="1:21" x14ac:dyDescent="0.3">
      <c r="A41" t="str">
        <f>"12.region_code_figure"</f>
        <v>12.region_code_figure</v>
      </c>
      <c r="B41" t="str">
        <f>"0.448***"</f>
        <v>0.448***</v>
      </c>
      <c r="C41" t="str">
        <f>"0.347***"</f>
        <v>0.347***</v>
      </c>
      <c r="D41" t="str">
        <f>"0.382***"</f>
        <v>0.382***</v>
      </c>
      <c r="E41" t="str">
        <f>"0.272***"</f>
        <v>0.272***</v>
      </c>
      <c r="F41" t="str">
        <f>"0.276***"</f>
        <v>0.276***</v>
      </c>
      <c r="G41" s="2" t="str">
        <f>"0.271***"</f>
        <v>0.271***</v>
      </c>
      <c r="I41" t="str">
        <f>"0.009"</f>
        <v>0.009</v>
      </c>
      <c r="J41" t="str">
        <f>"0.019"</f>
        <v>0.019</v>
      </c>
      <c r="K41" t="str">
        <f>"0.064***"</f>
        <v>0.064***</v>
      </c>
      <c r="L41" t="str">
        <f>"0.053***"</f>
        <v>0.053***</v>
      </c>
      <c r="M41" t="str">
        <f>"0.051***"</f>
        <v>0.051***</v>
      </c>
      <c r="N41" s="2" t="str">
        <f>"0.049***"</f>
        <v>0.049***</v>
      </c>
      <c r="P41" t="str">
        <f>"0.009"</f>
        <v>0.009</v>
      </c>
      <c r="Q41" t="str">
        <f>"0.019"</f>
        <v>0.019</v>
      </c>
      <c r="R41" t="str">
        <f>"0.064"</f>
        <v>0.064</v>
      </c>
      <c r="S41" t="str">
        <f>"0.053"</f>
        <v>0.053</v>
      </c>
      <c r="T41" t="str">
        <f>"0.051"</f>
        <v>0.051</v>
      </c>
      <c r="U41" t="str">
        <f>"0.049"</f>
        <v>0.049</v>
      </c>
    </row>
    <row r="42" spans="1:21" x14ac:dyDescent="0.3">
      <c r="A42" t="str">
        <f>"13.region_code_figure"</f>
        <v>13.region_code_figure</v>
      </c>
      <c r="B42" t="str">
        <f>"0.474***"</f>
        <v>0.474***</v>
      </c>
      <c r="C42" t="str">
        <f>"0.366***"</f>
        <v>0.366***</v>
      </c>
      <c r="D42" t="str">
        <f>"0.372***"</f>
        <v>0.372***</v>
      </c>
      <c r="E42" t="str">
        <f>"0.281***"</f>
        <v>0.281***</v>
      </c>
      <c r="F42" t="str">
        <f>"0.351***"</f>
        <v>0.351***</v>
      </c>
      <c r="G42" s="2" t="str">
        <f>"0.345***"</f>
        <v>0.345***</v>
      </c>
      <c r="I42" t="str">
        <f>"0.035**"</f>
        <v>0.035**</v>
      </c>
      <c r="J42" t="str">
        <f>"0.039***"</f>
        <v>0.039***</v>
      </c>
      <c r="K42" t="str">
        <f>"0.054***"</f>
        <v>0.054***</v>
      </c>
      <c r="L42" t="str">
        <f>"0.061***"</f>
        <v>0.061***</v>
      </c>
      <c r="M42" t="str">
        <f>"0.126***"</f>
        <v>0.126***</v>
      </c>
      <c r="N42" s="2" t="str">
        <f>"0.122***"</f>
        <v>0.122***</v>
      </c>
      <c r="P42" t="str">
        <f>"0.035"</f>
        <v>0.035</v>
      </c>
      <c r="Q42" t="str">
        <f>"0.039"</f>
        <v>0.039</v>
      </c>
      <c r="R42" t="str">
        <f>"0.054"</f>
        <v>0.054</v>
      </c>
      <c r="S42" t="str">
        <f>"0.061"</f>
        <v>0.061</v>
      </c>
      <c r="T42" t="str">
        <f>"0.126"</f>
        <v>0.126</v>
      </c>
      <c r="U42" t="str">
        <f>"0.122"</f>
        <v>0.122</v>
      </c>
    </row>
    <row r="43" spans="1:21" x14ac:dyDescent="0.3">
      <c r="A43" t="str">
        <f>"14.region_code_figure"</f>
        <v>14.region_code_figure</v>
      </c>
      <c r="B43" t="str">
        <f>"0.477***"</f>
        <v>0.477***</v>
      </c>
      <c r="C43" t="str">
        <f>"0.362***"</f>
        <v>0.362***</v>
      </c>
      <c r="D43" t="str">
        <f>"0.410***"</f>
        <v>0.410***</v>
      </c>
      <c r="E43" t="str">
        <f>"0.276***"</f>
        <v>0.276***</v>
      </c>
      <c r="F43" t="str">
        <f>"0.308***"</f>
        <v>0.308***</v>
      </c>
      <c r="G43" s="2" t="str">
        <f>"0.241***"</f>
        <v>0.241***</v>
      </c>
      <c r="I43" t="str">
        <f>"0.038**"</f>
        <v>0.038**</v>
      </c>
      <c r="J43" t="str">
        <f>"0.034**"</f>
        <v>0.034**</v>
      </c>
      <c r="K43" t="str">
        <f>"0.092***"</f>
        <v>0.092***</v>
      </c>
      <c r="L43" t="str">
        <f>"0.057***"</f>
        <v>0.057***</v>
      </c>
      <c r="M43" t="str">
        <f>"0.083***"</f>
        <v>0.083***</v>
      </c>
      <c r="N43" s="2" t="str">
        <f>"0.018*"</f>
        <v>0.018*</v>
      </c>
      <c r="P43" t="str">
        <f>"0.038"</f>
        <v>0.038</v>
      </c>
      <c r="Q43" t="str">
        <f>"0.034"</f>
        <v>0.034</v>
      </c>
      <c r="R43" t="str">
        <f>"0.092"</f>
        <v>0.092</v>
      </c>
      <c r="S43" t="str">
        <f>"0.057"</f>
        <v>0.057</v>
      </c>
      <c r="T43" t="str">
        <f>"0.083"</f>
        <v>0.083</v>
      </c>
      <c r="U43" t="str">
        <f>"0.018"</f>
        <v>0.018</v>
      </c>
    </row>
    <row r="44" spans="1:21" x14ac:dyDescent="0.3">
      <c r="A44" t="str">
        <f>"15.region_code_figure"</f>
        <v>15.region_code_figure</v>
      </c>
      <c r="B44" t="str">
        <f>"0.409***"</f>
        <v>0.409***</v>
      </c>
      <c r="C44" t="str">
        <f>"0.284***"</f>
        <v>0.284***</v>
      </c>
      <c r="D44" t="str">
        <f>"0.366***"</f>
        <v>0.366***</v>
      </c>
      <c r="E44" t="str">
        <f>"0.293***"</f>
        <v>0.293***</v>
      </c>
      <c r="F44" t="str">
        <f>"0.249***"</f>
        <v>0.249***</v>
      </c>
      <c r="G44" s="2" t="str">
        <f>"0.261***"</f>
        <v>0.261***</v>
      </c>
      <c r="I44" t="str">
        <f>"-0.030**"</f>
        <v>-0.030**</v>
      </c>
      <c r="J44" t="str">
        <f>"-0.044***"</f>
        <v>-0.044***</v>
      </c>
      <c r="K44" t="str">
        <f>"0.048***"</f>
        <v>0.048***</v>
      </c>
      <c r="L44" t="str">
        <f>"0.074***"</f>
        <v>0.074***</v>
      </c>
      <c r="M44" t="str">
        <f>"0.023**"</f>
        <v>0.023**</v>
      </c>
      <c r="N44" s="2" t="str">
        <f>"0.038***"</f>
        <v>0.038***</v>
      </c>
      <c r="P44" t="str">
        <f>"-0.030"</f>
        <v>-0.030</v>
      </c>
      <c r="Q44" t="str">
        <f>"-0.044"</f>
        <v>-0.044</v>
      </c>
      <c r="R44" t="str">
        <f>"0.048"</f>
        <v>0.048</v>
      </c>
      <c r="S44" t="str">
        <f>"0.074"</f>
        <v>0.074</v>
      </c>
      <c r="T44" t="str">
        <f>"0.023"</f>
        <v>0.023</v>
      </c>
      <c r="U44" t="str">
        <f>"0.038"</f>
        <v>0.038</v>
      </c>
    </row>
    <row r="45" spans="1:21" x14ac:dyDescent="0.3">
      <c r="A45" t="str">
        <f>"16.region_code_figure"</f>
        <v>16.region_code_figure</v>
      </c>
      <c r="B45" t="str">
        <f>"0.629***"</f>
        <v>0.629***</v>
      </c>
      <c r="C45" t="str">
        <f>"0.398***"</f>
        <v>0.398***</v>
      </c>
      <c r="D45" t="str">
        <f>"0.359***"</f>
        <v>0.359***</v>
      </c>
      <c r="E45" t="str">
        <f>"0.329***"</f>
        <v>0.329***</v>
      </c>
      <c r="F45" t="str">
        <f>"0.260***"</f>
        <v>0.260***</v>
      </c>
      <c r="G45" s="2" t="str">
        <f>"0.339***"</f>
        <v>0.339***</v>
      </c>
      <c r="I45" t="str">
        <f>"0.191***"</f>
        <v>0.191***</v>
      </c>
      <c r="J45" t="str">
        <f>"0.070***"</f>
        <v>0.070***</v>
      </c>
      <c r="K45" t="str">
        <f>"0.042***"</f>
        <v>0.042***</v>
      </c>
      <c r="L45" t="str">
        <f>"0.110***"</f>
        <v>0.110***</v>
      </c>
      <c r="M45" t="str">
        <f>"0.035**"</f>
        <v>0.035**</v>
      </c>
      <c r="N45" s="2" t="str">
        <f>"0.116***"</f>
        <v>0.116***</v>
      </c>
      <c r="P45" t="str">
        <f>"0.191"</f>
        <v>0.191</v>
      </c>
      <c r="Q45" t="str">
        <f>"0.070"</f>
        <v>0.070</v>
      </c>
      <c r="R45" t="str">
        <f>"0.042"</f>
        <v>0.042</v>
      </c>
      <c r="S45" t="str">
        <f>"0.110"</f>
        <v>0.110</v>
      </c>
      <c r="T45" t="str">
        <f>"0.035"</f>
        <v>0.035</v>
      </c>
      <c r="U45" t="str">
        <f>"0.116"</f>
        <v>0.116</v>
      </c>
    </row>
    <row r="47" spans="1:21" x14ac:dyDescent="0.3">
      <c r="A47" t="str">
        <f>"0.d_work"</f>
        <v>0.d_work</v>
      </c>
      <c r="B47" t="str">
        <f>"0.432***"</f>
        <v>0.432***</v>
      </c>
      <c r="C47" t="str">
        <f>"0.340***"</f>
        <v>0.340***</v>
      </c>
      <c r="D47" t="str">
        <f>"0.348***"</f>
        <v>0.348***</v>
      </c>
      <c r="E47" t="str">
        <f>"0.256***"</f>
        <v>0.256***</v>
      </c>
      <c r="F47" t="str">
        <f>"0.268***"</f>
        <v>0.268***</v>
      </c>
      <c r="G47" t="str">
        <f>"0.262***"</f>
        <v>0.262***</v>
      </c>
      <c r="P47" t="str">
        <f>""</f>
        <v/>
      </c>
      <c r="Q47" t="str">
        <f>""</f>
        <v/>
      </c>
      <c r="R47" t="str">
        <f>""</f>
        <v/>
      </c>
      <c r="S47" t="str">
        <f>""</f>
        <v/>
      </c>
      <c r="T47" t="str">
        <f>""</f>
        <v/>
      </c>
      <c r="U47" t="str">
        <f>""</f>
        <v/>
      </c>
    </row>
    <row r="48" spans="1:21" x14ac:dyDescent="0.3">
      <c r="A48" t="str">
        <f>"1.d_work"</f>
        <v>1.d_work</v>
      </c>
      <c r="B48" t="str">
        <f>"0.426***"</f>
        <v>0.426***</v>
      </c>
      <c r="C48" t="str">
        <f>"0.335***"</f>
        <v>0.335***</v>
      </c>
      <c r="D48" t="str">
        <f>"0.332***"</f>
        <v>0.332***</v>
      </c>
      <c r="E48" t="str">
        <f>"0.261***"</f>
        <v>0.261***</v>
      </c>
      <c r="F48" t="str">
        <f>"0.265***"</f>
        <v>0.265***</v>
      </c>
      <c r="G48" t="str">
        <f>"0.261***"</f>
        <v>0.261***</v>
      </c>
      <c r="I48" t="str">
        <f>"-0.006"</f>
        <v>-0.006</v>
      </c>
      <c r="J48" t="str">
        <f>"-0.006"</f>
        <v>-0.006</v>
      </c>
      <c r="K48" t="str">
        <f>"-0.017***"</f>
        <v>-0.017***</v>
      </c>
      <c r="L48" t="str">
        <f>"0.004"</f>
        <v>0.004</v>
      </c>
      <c r="M48" t="str">
        <f>"-0.003"</f>
        <v>-0.003</v>
      </c>
      <c r="N48" t="str">
        <f>"-0.001"</f>
        <v>-0.001</v>
      </c>
      <c r="P48" t="str">
        <f>"-0.006"</f>
        <v>-0.006</v>
      </c>
      <c r="Q48" t="str">
        <f>"-0.006"</f>
        <v>-0.006</v>
      </c>
      <c r="R48" t="str">
        <f>"-0.017"</f>
        <v>-0.017</v>
      </c>
      <c r="S48" t="str">
        <f>"0.004"</f>
        <v>0.004</v>
      </c>
      <c r="T48" t="str">
        <f>"-0.003"</f>
        <v>-0.003</v>
      </c>
      <c r="U48" t="str">
        <f>"-0.001"</f>
        <v>-0.001</v>
      </c>
    </row>
    <row r="50" spans="1:21" x14ac:dyDescent="0.3">
      <c r="A50" t="str">
        <f>"0.d_own_house"</f>
        <v>0.d_own_house</v>
      </c>
      <c r="B50" t="str">
        <f>"0.407***"</f>
        <v>0.407***</v>
      </c>
      <c r="C50" t="str">
        <f>"0.315***"</f>
        <v>0.315***</v>
      </c>
      <c r="D50" t="str">
        <f>"0.310***"</f>
        <v>0.310***</v>
      </c>
      <c r="E50" t="str">
        <f>"0.236***"</f>
        <v>0.236***</v>
      </c>
      <c r="F50" t="str">
        <f>"0.245***"</f>
        <v>0.245***</v>
      </c>
      <c r="G50" t="str">
        <f>"0.255***"</f>
        <v>0.255***</v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</row>
    <row r="51" spans="1:21" x14ac:dyDescent="0.3">
      <c r="A51" t="str">
        <f>"1.d_own_house"</f>
        <v>1.d_own_house</v>
      </c>
      <c r="B51" t="str">
        <f>"0.440***"</f>
        <v>0.440***</v>
      </c>
      <c r="C51" t="str">
        <f>"0.347***"</f>
        <v>0.347***</v>
      </c>
      <c r="D51" t="str">
        <f>"0.352***"</f>
        <v>0.352***</v>
      </c>
      <c r="E51" t="str">
        <f>"0.271***"</f>
        <v>0.271***</v>
      </c>
      <c r="F51" t="str">
        <f>"0.276***"</f>
        <v>0.276***</v>
      </c>
      <c r="G51" t="str">
        <f>"0.264***"</f>
        <v>0.264***</v>
      </c>
      <c r="I51" t="str">
        <f>"0.033***"</f>
        <v>0.033***</v>
      </c>
      <c r="J51" t="str">
        <f>"0.032***"</f>
        <v>0.032***</v>
      </c>
      <c r="K51" t="str">
        <f>"0.042***"</f>
        <v>0.042***</v>
      </c>
      <c r="L51" t="str">
        <f>"0.035***"</f>
        <v>0.035***</v>
      </c>
      <c r="M51" t="str">
        <f>"0.031***"</f>
        <v>0.031***</v>
      </c>
      <c r="N51" t="str">
        <f>"0.008"</f>
        <v>0.008</v>
      </c>
      <c r="P51" t="str">
        <f>"0.033"</f>
        <v>0.033</v>
      </c>
      <c r="Q51" t="str">
        <f>"0.032"</f>
        <v>0.032</v>
      </c>
      <c r="R51" t="str">
        <f>"0.042"</f>
        <v>0.042</v>
      </c>
      <c r="S51" t="str">
        <f>"0.035"</f>
        <v>0.035</v>
      </c>
      <c r="T51" t="str">
        <f>"0.031"</f>
        <v>0.031</v>
      </c>
      <c r="U51" t="str">
        <f>"0.008"</f>
        <v>0.008</v>
      </c>
    </row>
    <row r="53" spans="1:21" x14ac:dyDescent="0.3">
      <c r="A53" t="str">
        <f>"1.c_house_type"</f>
        <v>1.c_house_type</v>
      </c>
      <c r="B53" t="str">
        <f>"0.441***"</f>
        <v>0.441***</v>
      </c>
      <c r="C53" t="str">
        <f>"0.350***"</f>
        <v>0.350***</v>
      </c>
      <c r="D53" t="str">
        <f>"0.358***"</f>
        <v>0.358***</v>
      </c>
      <c r="E53" t="str">
        <f>"0.270***"</f>
        <v>0.270***</v>
      </c>
      <c r="F53" t="str">
        <f>"0.285***"</f>
        <v>0.285***</v>
      </c>
      <c r="G53" t="str">
        <f>"0.289***"</f>
        <v>0.289***</v>
      </c>
      <c r="P53" t="str">
        <f>""</f>
        <v/>
      </c>
      <c r="Q53" t="str">
        <f>""</f>
        <v/>
      </c>
      <c r="R53" t="str">
        <f>""</f>
        <v/>
      </c>
      <c r="S53" t="str">
        <f>""</f>
        <v/>
      </c>
      <c r="T53" t="str">
        <f>""</f>
        <v/>
      </c>
      <c r="U53" t="str">
        <f>""</f>
        <v/>
      </c>
    </row>
    <row r="54" spans="1:21" x14ac:dyDescent="0.3">
      <c r="A54" t="str">
        <f>"2.c_house_type"</f>
        <v>2.c_house_type</v>
      </c>
      <c r="B54" t="str">
        <f>"0.424***"</f>
        <v>0.424***</v>
      </c>
      <c r="C54" t="str">
        <f>"0.331***"</f>
        <v>0.331***</v>
      </c>
      <c r="D54" t="str">
        <f>"0.329***"</f>
        <v>0.329***</v>
      </c>
      <c r="E54" t="str">
        <f>"0.258***"</f>
        <v>0.258***</v>
      </c>
      <c r="F54" t="str">
        <f>"0.261***"</f>
        <v>0.261***</v>
      </c>
      <c r="G54" t="str">
        <f>"0.253***"</f>
        <v>0.253***</v>
      </c>
      <c r="I54" t="str">
        <f>"-0.017**"</f>
        <v>-0.017**</v>
      </c>
      <c r="J54" t="str">
        <f>"-0.019***"</f>
        <v>-0.019***</v>
      </c>
      <c r="K54" t="str">
        <f>"-0.029***"</f>
        <v>-0.029***</v>
      </c>
      <c r="L54" t="str">
        <f>"-0.012**"</f>
        <v>-0.012**</v>
      </c>
      <c r="M54" t="str">
        <f>"-0.023***"</f>
        <v>-0.023***</v>
      </c>
      <c r="N54" t="str">
        <f>"-0.036***"</f>
        <v>-0.036***</v>
      </c>
      <c r="P54" t="str">
        <f>"-0.017"</f>
        <v>-0.017</v>
      </c>
      <c r="Q54" t="str">
        <f>"-0.019"</f>
        <v>-0.019</v>
      </c>
      <c r="R54" t="str">
        <f>"-0.029"</f>
        <v>-0.029</v>
      </c>
      <c r="S54" t="str">
        <f>"-0.012"</f>
        <v>-0.012</v>
      </c>
      <c r="T54" t="str">
        <f>"-0.023"</f>
        <v>-0.023</v>
      </c>
      <c r="U54" t="str">
        <f>"-0.036"</f>
        <v>-0.036</v>
      </c>
    </row>
    <row r="55" spans="1:21" x14ac:dyDescent="0.3">
      <c r="A55" t="str">
        <f>"3.c_house_type"</f>
        <v>3.c_house_type</v>
      </c>
      <c r="B55" t="str">
        <f>"0.401***"</f>
        <v>0.401***</v>
      </c>
      <c r="C55" t="str">
        <f>"0.323***"</f>
        <v>0.323***</v>
      </c>
      <c r="D55" t="str">
        <f>"0.319***"</f>
        <v>0.319***</v>
      </c>
      <c r="E55" t="str">
        <f>"0.239***"</f>
        <v>0.239***</v>
      </c>
      <c r="F55" t="str">
        <f>"0.241***"</f>
        <v>0.241***</v>
      </c>
      <c r="G55" t="str">
        <f>"0.236***"</f>
        <v>0.236***</v>
      </c>
      <c r="I55" t="str">
        <f>"-0.040***"</f>
        <v>-0.040***</v>
      </c>
      <c r="J55" t="str">
        <f>"-0.027***"</f>
        <v>-0.027***</v>
      </c>
      <c r="K55" t="str">
        <f>"-0.039***"</f>
        <v>-0.039***</v>
      </c>
      <c r="L55" t="str">
        <f>"-0.031***"</f>
        <v>-0.031***</v>
      </c>
      <c r="M55" t="str">
        <f>"-0.043***"</f>
        <v>-0.043***</v>
      </c>
      <c r="N55" t="str">
        <f>"-0.053***"</f>
        <v>-0.053***</v>
      </c>
      <c r="P55" t="str">
        <f>"-0.040"</f>
        <v>-0.040</v>
      </c>
      <c r="Q55" t="str">
        <f>"-0.027"</f>
        <v>-0.027</v>
      </c>
      <c r="R55" t="str">
        <f>"-0.039"</f>
        <v>-0.039</v>
      </c>
      <c r="S55" t="str">
        <f>"-0.031"</f>
        <v>-0.031</v>
      </c>
      <c r="T55" t="str">
        <f>"-0.043"</f>
        <v>-0.043</v>
      </c>
      <c r="U55" t="str">
        <f>"-0.053"</f>
        <v>-0.053</v>
      </c>
    </row>
    <row r="56" spans="1:21" x14ac:dyDescent="0.3">
      <c r="A56" t="str">
        <f>"4.c_house_type"</f>
        <v>4.c_house_type</v>
      </c>
      <c r="B56" t="str">
        <f>"0.574***"</f>
        <v>0.574***</v>
      </c>
      <c r="C56" t="str">
        <f>"0.389***"</f>
        <v>0.389***</v>
      </c>
      <c r="D56" t="str">
        <f>"0.363***"</f>
        <v>0.363***</v>
      </c>
      <c r="E56" t="str">
        <f>"0.239***"</f>
        <v>0.239***</v>
      </c>
      <c r="F56" t="str">
        <f>"0.284***"</f>
        <v>0.284***</v>
      </c>
      <c r="G56" t="str">
        <f>"0.290***"</f>
        <v>0.290***</v>
      </c>
      <c r="I56" t="str">
        <f>"0.133***"</f>
        <v>0.133***</v>
      </c>
      <c r="J56" t="str">
        <f>"0.039"</f>
        <v>0.039</v>
      </c>
      <c r="K56" t="str">
        <f>"0.005"</f>
        <v>0.005</v>
      </c>
      <c r="L56" t="str">
        <f>"-0.031"</f>
        <v>-0.031</v>
      </c>
      <c r="M56" t="str">
        <f>"-0.000"</f>
        <v>-0.000</v>
      </c>
      <c r="N56" t="str">
        <f>"0.001"</f>
        <v>0.001</v>
      </c>
      <c r="P56" t="str">
        <f>"0.133"</f>
        <v>0.133</v>
      </c>
      <c r="Q56" t="str">
        <f>"0.039"</f>
        <v>0.039</v>
      </c>
      <c r="R56" t="str">
        <f>"0.005"</f>
        <v>0.005</v>
      </c>
      <c r="S56" t="str">
        <f>"-0.031"</f>
        <v>-0.031</v>
      </c>
      <c r="T56" t="str">
        <f>"-0.000"</f>
        <v>-0.000</v>
      </c>
      <c r="U56" t="str">
        <f>"0.001"</f>
        <v>0.001</v>
      </c>
    </row>
    <row r="58" spans="1:21" x14ac:dyDescent="0.3">
      <c r="A58" t="str">
        <f>"N"</f>
        <v>N</v>
      </c>
      <c r="B58" t="str">
        <f>"25404"</f>
        <v>25404</v>
      </c>
      <c r="C58" t="str">
        <f>"25746"</f>
        <v>25746</v>
      </c>
      <c r="D58" t="str">
        <f>"25084"</f>
        <v>25084</v>
      </c>
      <c r="E58" t="str">
        <f>"24472"</f>
        <v>24472</v>
      </c>
      <c r="F58" t="str">
        <f>"25130"</f>
        <v>25130</v>
      </c>
      <c r="G58" t="str">
        <f>"23973"</f>
        <v>23973</v>
      </c>
      <c r="I58" t="str">
        <f>"25404"</f>
        <v>25404</v>
      </c>
      <c r="J58" t="str">
        <f>"25746"</f>
        <v>25746</v>
      </c>
      <c r="K58" t="str">
        <f>"25084"</f>
        <v>25084</v>
      </c>
      <c r="L58" t="str">
        <f>"24472"</f>
        <v>24472</v>
      </c>
      <c r="M58" t="str">
        <f>"25130"</f>
        <v>25130</v>
      </c>
      <c r="N58" t="str">
        <f>"23973"</f>
        <v>23973</v>
      </c>
      <c r="P58" t="str">
        <f>"25404"</f>
        <v>25404</v>
      </c>
      <c r="Q58" t="str">
        <f>"25746"</f>
        <v>25746</v>
      </c>
      <c r="R58" t="str">
        <f>"25084"</f>
        <v>25084</v>
      </c>
      <c r="S58" t="str">
        <f>"24472"</f>
        <v>24472</v>
      </c>
      <c r="T58" t="str">
        <f>"25130"</f>
        <v>25130</v>
      </c>
      <c r="U58" t="str">
        <f>"23973"</f>
        <v>23973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Table_ME_2009 (2)</vt:lpstr>
      <vt:lpstr>Table_ME_2009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Choi Jaesung</cp:lastModifiedBy>
  <dcterms:created xsi:type="dcterms:W3CDTF">2020-02-04T22:57:03Z</dcterms:created>
  <dcterms:modified xsi:type="dcterms:W3CDTF">2020-02-07T04:54:04Z</dcterms:modified>
</cp:coreProperties>
</file>